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785" windowWidth="20190" windowHeight="7335" tabRatio="983" firstSheet="2" activeTab="11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projekty UE" sheetId="10" r:id="rId11"/>
    <sheet name="Dane do WPF" sheetId="12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1" hidden="1">'Tab. 6A -Drogi'!$A$12:$EK$551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1">'Dane do WPF'!$A$1:$R$394</definedName>
    <definedName name="_xlnm.Print_Area" localSheetId="1">'Tab. 6A -Drogi'!$A$1:$Y$651</definedName>
    <definedName name="_xlnm.Print_Area" localSheetId="2">'Tab. 6B Polit społ i rozwój prz'!$A$1:$Y$219</definedName>
    <definedName name="_xlnm.Print_Area" localSheetId="3">'Tab. 6C - Ochrona zdrowia'!$A$1:$Y$139</definedName>
    <definedName name="_xlnm.Print_Area" localSheetId="4">'Tab. 6D - Oświata'!$A$1:$Y$70</definedName>
    <definedName name="_xlnm.Print_Area" localSheetId="5">'Tab. 6E - Administracja'!$A$1:$Y$247</definedName>
    <definedName name="_xlnm.Print_Area" localSheetId="6">'Tab. 6F - Kultura'!$A$1:$Y$92</definedName>
    <definedName name="_xlnm.Print_Area" localSheetId="7">'Tab. 6G - Roln i ochrona środ.'!$A$1:$Y$222</definedName>
    <definedName name="_xlnm.Print_Area" localSheetId="8">'Tab. 6H - Kultura fiz. i turyst'!$A$1:$Y$143</definedName>
    <definedName name="_xlnm.Print_Area" localSheetId="0">'Tabela nr 6'!$A$1:$V$93</definedName>
    <definedName name="_xlnm.Print_Titles" localSheetId="11">'Dane do WPF'!$4:$8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B27" i="12" l="1"/>
  <c r="B32" i="12"/>
  <c r="B37" i="12"/>
  <c r="B42" i="12"/>
  <c r="B47" i="12"/>
  <c r="B52" i="12"/>
  <c r="B57" i="12"/>
  <c r="B62" i="12"/>
  <c r="B69" i="12"/>
  <c r="B74" i="12"/>
  <c r="B87" i="12"/>
  <c r="B92" i="12"/>
  <c r="B97" i="12"/>
  <c r="B102" i="12"/>
  <c r="B110" i="12"/>
  <c r="B115" i="12"/>
  <c r="B120" i="12"/>
  <c r="B125" i="12"/>
  <c r="B130" i="12"/>
  <c r="B135" i="12"/>
  <c r="B140" i="12"/>
  <c r="B145" i="12"/>
  <c r="B150" i="12"/>
  <c r="B155" i="12"/>
  <c r="B160" i="12"/>
  <c r="B165" i="12"/>
  <c r="B170" i="12"/>
  <c r="B175" i="12"/>
  <c r="B180" i="12"/>
  <c r="B185" i="12"/>
  <c r="B193" i="12"/>
  <c r="B215" i="12"/>
  <c r="B220" i="12"/>
  <c r="B225" i="12"/>
  <c r="B230" i="12"/>
  <c r="B235" i="12"/>
  <c r="B240" i="12"/>
  <c r="B245" i="12"/>
  <c r="B250" i="12"/>
  <c r="B255" i="12"/>
  <c r="B260" i="12"/>
  <c r="B265" i="12"/>
  <c r="B270" i="12"/>
  <c r="B275" i="12"/>
  <c r="B280" i="12"/>
  <c r="B285" i="12"/>
  <c r="B290" i="12"/>
  <c r="B295" i="12"/>
  <c r="B300" i="12"/>
  <c r="B305" i="12"/>
  <c r="B310" i="12"/>
  <c r="B315" i="12"/>
  <c r="L360" i="12" l="1"/>
  <c r="L359" i="12"/>
  <c r="K360" i="12"/>
  <c r="K359" i="12"/>
  <c r="J360" i="12"/>
  <c r="J359" i="12"/>
  <c r="I360" i="12"/>
  <c r="I359" i="12"/>
  <c r="I358" i="12" l="1"/>
  <c r="J358" i="12"/>
  <c r="K358" i="12"/>
  <c r="L358" i="12"/>
  <c r="L352" i="12"/>
  <c r="K352" i="12"/>
  <c r="J352" i="12"/>
  <c r="I352" i="12"/>
  <c r="L350" i="12"/>
  <c r="K350" i="12"/>
  <c r="J350" i="12"/>
  <c r="I350" i="12"/>
  <c r="L344" i="12"/>
  <c r="K344" i="12"/>
  <c r="J344" i="12"/>
  <c r="I344" i="12"/>
  <c r="J394" i="12" l="1"/>
  <c r="J373" i="12" s="1"/>
  <c r="I394" i="12"/>
  <c r="I393" i="12"/>
  <c r="I392" i="12"/>
  <c r="K390" i="12"/>
  <c r="K389" i="12"/>
  <c r="I388" i="12"/>
  <c r="I385" i="12"/>
  <c r="I384" i="12"/>
  <c r="I383" i="12"/>
  <c r="I382" i="12"/>
  <c r="I381" i="12"/>
  <c r="I380" i="12"/>
  <c r="I379" i="12"/>
  <c r="I378" i="12"/>
  <c r="I377" i="12"/>
  <c r="I376" i="12"/>
  <c r="H375" i="12"/>
  <c r="I374" i="12"/>
  <c r="H374" i="12"/>
  <c r="H373" i="12" s="1"/>
  <c r="I373" i="12" l="1"/>
  <c r="K373" i="12"/>
  <c r="K36" i="12" l="1"/>
  <c r="J36" i="12"/>
  <c r="I36" i="12"/>
  <c r="H36" i="12"/>
  <c r="K35" i="12"/>
  <c r="J35" i="12"/>
  <c r="I35" i="12"/>
  <c r="H35" i="12"/>
  <c r="K34" i="12"/>
  <c r="J34" i="12"/>
  <c r="I34" i="12"/>
  <c r="H34" i="12"/>
  <c r="K33" i="12"/>
  <c r="J33" i="12"/>
  <c r="I33" i="12"/>
  <c r="H33" i="12"/>
  <c r="F36" i="12"/>
  <c r="F35" i="12"/>
  <c r="F34" i="12"/>
  <c r="F33" i="12"/>
  <c r="E33" i="12" l="1"/>
  <c r="E35" i="12"/>
  <c r="E34" i="12"/>
  <c r="E36" i="12"/>
  <c r="J106" i="12"/>
  <c r="I106" i="12"/>
  <c r="H106" i="12"/>
  <c r="J105" i="12"/>
  <c r="I105" i="12"/>
  <c r="H105" i="12"/>
  <c r="J104" i="12"/>
  <c r="I104" i="12"/>
  <c r="H104" i="12"/>
  <c r="J103" i="12"/>
  <c r="I103" i="12"/>
  <c r="H103" i="12"/>
  <c r="F106" i="12"/>
  <c r="F105" i="12"/>
  <c r="F104" i="12"/>
  <c r="F103" i="12"/>
  <c r="J101" i="12"/>
  <c r="I101" i="12"/>
  <c r="H101" i="12"/>
  <c r="J100" i="12"/>
  <c r="I100" i="12"/>
  <c r="H100" i="12"/>
  <c r="J99" i="12"/>
  <c r="I99" i="12"/>
  <c r="H99" i="12"/>
  <c r="J98" i="12"/>
  <c r="I98" i="12"/>
  <c r="H98" i="12"/>
  <c r="F100" i="12"/>
  <c r="F101" i="12"/>
  <c r="F99" i="12"/>
  <c r="F98" i="12"/>
  <c r="J96" i="12"/>
  <c r="I96" i="12"/>
  <c r="H96" i="12"/>
  <c r="J95" i="12"/>
  <c r="I95" i="12"/>
  <c r="H95" i="12"/>
  <c r="J94" i="12"/>
  <c r="I94" i="12"/>
  <c r="H94" i="12"/>
  <c r="J93" i="12"/>
  <c r="I93" i="12"/>
  <c r="H93" i="12"/>
  <c r="F96" i="12"/>
  <c r="F95" i="12"/>
  <c r="F94" i="12"/>
  <c r="F93" i="12"/>
  <c r="L91" i="12"/>
  <c r="K91" i="12"/>
  <c r="J91" i="12"/>
  <c r="I91" i="12"/>
  <c r="H91" i="12"/>
  <c r="L90" i="12"/>
  <c r="K90" i="12"/>
  <c r="J90" i="12"/>
  <c r="I90" i="12"/>
  <c r="H90" i="12"/>
  <c r="L89" i="12"/>
  <c r="K89" i="12"/>
  <c r="J89" i="12"/>
  <c r="I89" i="12"/>
  <c r="H89" i="12"/>
  <c r="L88" i="12"/>
  <c r="K88" i="12"/>
  <c r="J88" i="12"/>
  <c r="I88" i="12"/>
  <c r="H88" i="12"/>
  <c r="F91" i="12"/>
  <c r="F90" i="12"/>
  <c r="F89" i="12"/>
  <c r="F88" i="12"/>
  <c r="I30" i="12"/>
  <c r="H30" i="12"/>
  <c r="D32" i="12" l="1"/>
  <c r="E104" i="12"/>
  <c r="E103" i="12"/>
  <c r="E89" i="12"/>
  <c r="E91" i="12"/>
  <c r="E88" i="12"/>
  <c r="E93" i="12"/>
  <c r="E95" i="12"/>
  <c r="E99" i="12"/>
  <c r="E106" i="12"/>
  <c r="E100" i="12"/>
  <c r="E90" i="12"/>
  <c r="D87" i="12" s="1"/>
  <c r="E94" i="12"/>
  <c r="E96" i="12"/>
  <c r="E98" i="12"/>
  <c r="E101" i="12"/>
  <c r="D97" i="12"/>
  <c r="Q660" i="2"/>
  <c r="R660" i="2"/>
  <c r="S660" i="2"/>
  <c r="T660" i="2"/>
  <c r="P660" i="2"/>
  <c r="J347" i="12"/>
  <c r="K347" i="12"/>
  <c r="L347" i="12"/>
  <c r="I347" i="12"/>
  <c r="I346" i="12" s="1"/>
  <c r="L346" i="12"/>
  <c r="K346" i="12"/>
  <c r="J346" i="12"/>
  <c r="J343" i="12"/>
  <c r="J341" i="12" s="1"/>
  <c r="K343" i="12"/>
  <c r="K341" i="12" s="1"/>
  <c r="L343" i="12"/>
  <c r="L341" i="12" s="1"/>
  <c r="I343" i="12"/>
  <c r="I341" i="12" s="1"/>
  <c r="R656" i="2"/>
  <c r="S656" i="2"/>
  <c r="Q656" i="2"/>
  <c r="Q658" i="2" s="1"/>
  <c r="L239" i="12"/>
  <c r="K239" i="12"/>
  <c r="J239" i="12"/>
  <c r="I239" i="12"/>
  <c r="H239" i="12"/>
  <c r="F239" i="12"/>
  <c r="F238" i="12"/>
  <c r="D92" i="12" l="1"/>
  <c r="E324" i="12"/>
  <c r="E323" i="12"/>
  <c r="E322" i="12"/>
  <c r="E321" i="12"/>
  <c r="G301" i="12"/>
  <c r="H301" i="12"/>
  <c r="I301" i="12"/>
  <c r="J301" i="12"/>
  <c r="K301" i="12"/>
  <c r="L301" i="12"/>
  <c r="M301" i="12"/>
  <c r="N301" i="12"/>
  <c r="O301" i="12"/>
  <c r="P301" i="12"/>
  <c r="G302" i="12"/>
  <c r="H302" i="12"/>
  <c r="I302" i="12"/>
  <c r="J302" i="12"/>
  <c r="K302" i="12"/>
  <c r="L302" i="12"/>
  <c r="M302" i="12"/>
  <c r="N302" i="12"/>
  <c r="O302" i="12"/>
  <c r="P302" i="12"/>
  <c r="G303" i="12"/>
  <c r="H303" i="12"/>
  <c r="I303" i="12"/>
  <c r="J303" i="12"/>
  <c r="K303" i="12"/>
  <c r="L303" i="12"/>
  <c r="M303" i="12"/>
  <c r="N303" i="12"/>
  <c r="O303" i="12"/>
  <c r="P303" i="12"/>
  <c r="G304" i="12"/>
  <c r="H304" i="12"/>
  <c r="I304" i="12"/>
  <c r="J304" i="12"/>
  <c r="K304" i="12"/>
  <c r="L304" i="12"/>
  <c r="M304" i="12"/>
  <c r="N304" i="12"/>
  <c r="O304" i="12"/>
  <c r="P304" i="12"/>
  <c r="F304" i="12"/>
  <c r="F303" i="12"/>
  <c r="F302" i="12"/>
  <c r="F301" i="12"/>
  <c r="G296" i="12"/>
  <c r="H296" i="12"/>
  <c r="I296" i="12"/>
  <c r="J296" i="12"/>
  <c r="K296" i="12"/>
  <c r="L296" i="12"/>
  <c r="M296" i="12"/>
  <c r="N296" i="12"/>
  <c r="O296" i="12"/>
  <c r="P296" i="12"/>
  <c r="G297" i="12"/>
  <c r="H297" i="12"/>
  <c r="I297" i="12"/>
  <c r="J297" i="12"/>
  <c r="K297" i="12"/>
  <c r="L297" i="12"/>
  <c r="M297" i="12"/>
  <c r="N297" i="12"/>
  <c r="O297" i="12"/>
  <c r="P297" i="12"/>
  <c r="G298" i="12"/>
  <c r="H298" i="12"/>
  <c r="I298" i="12"/>
  <c r="J298" i="12"/>
  <c r="K298" i="12"/>
  <c r="L298" i="12"/>
  <c r="M298" i="12"/>
  <c r="N298" i="12"/>
  <c r="O298" i="12"/>
  <c r="P298" i="12"/>
  <c r="G299" i="12"/>
  <c r="H299" i="12"/>
  <c r="I299" i="12"/>
  <c r="J299" i="12"/>
  <c r="K299" i="12"/>
  <c r="L299" i="12"/>
  <c r="M299" i="12"/>
  <c r="N299" i="12"/>
  <c r="O299" i="12"/>
  <c r="P299" i="12"/>
  <c r="F299" i="12"/>
  <c r="F298" i="12"/>
  <c r="F297" i="12"/>
  <c r="F296" i="12"/>
  <c r="G291" i="12"/>
  <c r="H291" i="12"/>
  <c r="I291" i="12"/>
  <c r="J291" i="12"/>
  <c r="K291" i="12"/>
  <c r="L291" i="12"/>
  <c r="M291" i="12"/>
  <c r="N291" i="12"/>
  <c r="O291" i="12"/>
  <c r="P291" i="12"/>
  <c r="G292" i="12"/>
  <c r="H292" i="12"/>
  <c r="I292" i="12"/>
  <c r="J292" i="12"/>
  <c r="K292" i="12"/>
  <c r="L292" i="12"/>
  <c r="M292" i="12"/>
  <c r="N292" i="12"/>
  <c r="O292" i="12"/>
  <c r="P292" i="12"/>
  <c r="G293" i="12"/>
  <c r="H293" i="12"/>
  <c r="I293" i="12"/>
  <c r="J293" i="12"/>
  <c r="K293" i="12"/>
  <c r="L293" i="12"/>
  <c r="M293" i="12"/>
  <c r="N293" i="12"/>
  <c r="O293" i="12"/>
  <c r="P293" i="12"/>
  <c r="G294" i="12"/>
  <c r="H294" i="12"/>
  <c r="I294" i="12"/>
  <c r="J294" i="12"/>
  <c r="K294" i="12"/>
  <c r="L294" i="12"/>
  <c r="M294" i="12"/>
  <c r="N294" i="12"/>
  <c r="O294" i="12"/>
  <c r="P294" i="12"/>
  <c r="F294" i="12"/>
  <c r="F293" i="12"/>
  <c r="F292" i="12"/>
  <c r="F291" i="12"/>
  <c r="P289" i="12"/>
  <c r="O289" i="12"/>
  <c r="N289" i="12"/>
  <c r="M289" i="12"/>
  <c r="L289" i="12"/>
  <c r="K289" i="12"/>
  <c r="J289" i="12"/>
  <c r="I289" i="12"/>
  <c r="H289" i="12"/>
  <c r="P288" i="12"/>
  <c r="O288" i="12"/>
  <c r="N288" i="12"/>
  <c r="M288" i="12"/>
  <c r="L288" i="12"/>
  <c r="K288" i="12"/>
  <c r="J288" i="12"/>
  <c r="I288" i="12"/>
  <c r="H288" i="12"/>
  <c r="P287" i="12"/>
  <c r="O287" i="12"/>
  <c r="N287" i="12"/>
  <c r="M287" i="12"/>
  <c r="L287" i="12"/>
  <c r="K287" i="12"/>
  <c r="J287" i="12"/>
  <c r="I287" i="12"/>
  <c r="H287" i="12"/>
  <c r="P286" i="12"/>
  <c r="O286" i="12"/>
  <c r="N286" i="12"/>
  <c r="M286" i="12"/>
  <c r="L286" i="12"/>
  <c r="K286" i="12"/>
  <c r="J286" i="12"/>
  <c r="I286" i="12"/>
  <c r="H286" i="12"/>
  <c r="F289" i="12"/>
  <c r="F288" i="12"/>
  <c r="F287" i="12"/>
  <c r="F286" i="12"/>
  <c r="P284" i="12"/>
  <c r="O284" i="12"/>
  <c r="N284" i="12"/>
  <c r="M284" i="12"/>
  <c r="L284" i="12"/>
  <c r="K284" i="12"/>
  <c r="J284" i="12"/>
  <c r="I284" i="12"/>
  <c r="H284" i="12"/>
  <c r="P283" i="12"/>
  <c r="O283" i="12"/>
  <c r="N283" i="12"/>
  <c r="M283" i="12"/>
  <c r="L283" i="12"/>
  <c r="K283" i="12"/>
  <c r="J283" i="12"/>
  <c r="I283" i="12"/>
  <c r="H283" i="12"/>
  <c r="P282" i="12"/>
  <c r="O282" i="12"/>
  <c r="N282" i="12"/>
  <c r="M282" i="12"/>
  <c r="L282" i="12"/>
  <c r="K282" i="12"/>
  <c r="J282" i="12"/>
  <c r="I282" i="12"/>
  <c r="H282" i="12"/>
  <c r="P281" i="12"/>
  <c r="O281" i="12"/>
  <c r="N281" i="12"/>
  <c r="M281" i="12"/>
  <c r="L281" i="12"/>
  <c r="K281" i="12"/>
  <c r="J281" i="12"/>
  <c r="I281" i="12"/>
  <c r="H281" i="12"/>
  <c r="F284" i="12"/>
  <c r="F283" i="12"/>
  <c r="F282" i="12"/>
  <c r="F281" i="12"/>
  <c r="P279" i="12"/>
  <c r="O279" i="12"/>
  <c r="N279" i="12"/>
  <c r="M279" i="12"/>
  <c r="L279" i="12"/>
  <c r="K279" i="12"/>
  <c r="J279" i="12"/>
  <c r="I279" i="12"/>
  <c r="H279" i="12"/>
  <c r="P278" i="12"/>
  <c r="O278" i="12"/>
  <c r="N278" i="12"/>
  <c r="M278" i="12"/>
  <c r="L278" i="12"/>
  <c r="K278" i="12"/>
  <c r="J278" i="12"/>
  <c r="I278" i="12"/>
  <c r="H278" i="12"/>
  <c r="P277" i="12"/>
  <c r="O277" i="12"/>
  <c r="N277" i="12"/>
  <c r="M277" i="12"/>
  <c r="L277" i="12"/>
  <c r="K277" i="12"/>
  <c r="J277" i="12"/>
  <c r="I277" i="12"/>
  <c r="H277" i="12"/>
  <c r="P276" i="12"/>
  <c r="O276" i="12"/>
  <c r="N276" i="12"/>
  <c r="M276" i="12"/>
  <c r="L276" i="12"/>
  <c r="K276" i="12"/>
  <c r="J276" i="12"/>
  <c r="I276" i="12"/>
  <c r="H276" i="12"/>
  <c r="F279" i="12"/>
  <c r="F278" i="12"/>
  <c r="F277" i="12"/>
  <c r="F276" i="12"/>
  <c r="L253" i="12"/>
  <c r="M253" i="12"/>
  <c r="G253" i="12"/>
  <c r="H253" i="12"/>
  <c r="I253" i="12"/>
  <c r="J253" i="12"/>
  <c r="K253" i="12"/>
  <c r="F253" i="12"/>
  <c r="E85" i="12"/>
  <c r="E84" i="12"/>
  <c r="E83" i="12"/>
  <c r="E82" i="12"/>
  <c r="G151" i="12"/>
  <c r="H151" i="12"/>
  <c r="I151" i="12"/>
  <c r="J151" i="12"/>
  <c r="K151" i="12"/>
  <c r="L151" i="12"/>
  <c r="M151" i="12"/>
  <c r="N151" i="12"/>
  <c r="O151" i="12"/>
  <c r="P151" i="12"/>
  <c r="F151" i="12"/>
  <c r="I207" i="12"/>
  <c r="I209" i="12"/>
  <c r="E209" i="12" s="1"/>
  <c r="I208" i="12"/>
  <c r="E210" i="12"/>
  <c r="E207" i="12"/>
  <c r="M189" i="12"/>
  <c r="L189" i="12"/>
  <c r="K189" i="12"/>
  <c r="J189" i="12"/>
  <c r="I189" i="12"/>
  <c r="H189" i="12"/>
  <c r="M188" i="12"/>
  <c r="L188" i="12"/>
  <c r="K188" i="12"/>
  <c r="J188" i="12"/>
  <c r="I188" i="12"/>
  <c r="H188" i="12"/>
  <c r="M187" i="12"/>
  <c r="L187" i="12"/>
  <c r="K187" i="12"/>
  <c r="J187" i="12"/>
  <c r="I187" i="12"/>
  <c r="H187" i="12"/>
  <c r="M186" i="12"/>
  <c r="L186" i="12"/>
  <c r="K186" i="12"/>
  <c r="J186" i="12"/>
  <c r="I186" i="12"/>
  <c r="H186" i="12"/>
  <c r="F189" i="12"/>
  <c r="F188" i="12"/>
  <c r="F187" i="12"/>
  <c r="F186" i="12"/>
  <c r="P184" i="12"/>
  <c r="O184" i="12"/>
  <c r="N184" i="12"/>
  <c r="M184" i="12"/>
  <c r="L184" i="12"/>
  <c r="K184" i="12"/>
  <c r="J184" i="12"/>
  <c r="I184" i="12"/>
  <c r="H184" i="12"/>
  <c r="P183" i="12"/>
  <c r="O183" i="12"/>
  <c r="N183" i="12"/>
  <c r="M183" i="12"/>
  <c r="L183" i="12"/>
  <c r="K183" i="12"/>
  <c r="J183" i="12"/>
  <c r="I183" i="12"/>
  <c r="H183" i="12"/>
  <c r="P182" i="12"/>
  <c r="O182" i="12"/>
  <c r="N182" i="12"/>
  <c r="M182" i="12"/>
  <c r="L182" i="12"/>
  <c r="K182" i="12"/>
  <c r="J182" i="12"/>
  <c r="I182" i="12"/>
  <c r="H182" i="12"/>
  <c r="P181" i="12"/>
  <c r="O181" i="12"/>
  <c r="N181" i="12"/>
  <c r="M181" i="12"/>
  <c r="L181" i="12"/>
  <c r="K181" i="12"/>
  <c r="J181" i="12"/>
  <c r="I181" i="12"/>
  <c r="H181" i="12"/>
  <c r="F184" i="12"/>
  <c r="F183" i="12"/>
  <c r="F182" i="12"/>
  <c r="F181" i="12"/>
  <c r="E204" i="12"/>
  <c r="E203" i="12"/>
  <c r="E202" i="12"/>
  <c r="E201" i="12"/>
  <c r="P179" i="12"/>
  <c r="O179" i="12"/>
  <c r="N179" i="12"/>
  <c r="M179" i="12"/>
  <c r="L179" i="12"/>
  <c r="K179" i="12"/>
  <c r="J179" i="12"/>
  <c r="I179" i="12"/>
  <c r="H179" i="12"/>
  <c r="P178" i="12"/>
  <c r="O178" i="12"/>
  <c r="N178" i="12"/>
  <c r="M178" i="12"/>
  <c r="L178" i="12"/>
  <c r="K178" i="12"/>
  <c r="J178" i="12"/>
  <c r="I178" i="12"/>
  <c r="H178" i="12"/>
  <c r="P177" i="12"/>
  <c r="O177" i="12"/>
  <c r="N177" i="12"/>
  <c r="M177" i="12"/>
  <c r="L177" i="12"/>
  <c r="K177" i="12"/>
  <c r="J177" i="12"/>
  <c r="I177" i="12"/>
  <c r="H177" i="12"/>
  <c r="P176" i="12"/>
  <c r="O176" i="12"/>
  <c r="N176" i="12"/>
  <c r="M176" i="12"/>
  <c r="L176" i="12"/>
  <c r="K176" i="12"/>
  <c r="J176" i="12"/>
  <c r="I176" i="12"/>
  <c r="H176" i="12"/>
  <c r="F179" i="12"/>
  <c r="F178" i="12"/>
  <c r="F177" i="12"/>
  <c r="F176" i="12"/>
  <c r="P174" i="12"/>
  <c r="O174" i="12"/>
  <c r="N174" i="12"/>
  <c r="M174" i="12"/>
  <c r="L174" i="12"/>
  <c r="K174" i="12"/>
  <c r="J174" i="12"/>
  <c r="I174" i="12"/>
  <c r="H174" i="12"/>
  <c r="P173" i="12"/>
  <c r="O173" i="12"/>
  <c r="N173" i="12"/>
  <c r="M173" i="12"/>
  <c r="L173" i="12"/>
  <c r="K173" i="12"/>
  <c r="J173" i="12"/>
  <c r="I173" i="12"/>
  <c r="H173" i="12"/>
  <c r="P172" i="12"/>
  <c r="O172" i="12"/>
  <c r="N172" i="12"/>
  <c r="M172" i="12"/>
  <c r="L172" i="12"/>
  <c r="K172" i="12"/>
  <c r="J172" i="12"/>
  <c r="I172" i="12"/>
  <c r="H172" i="12"/>
  <c r="P171" i="12"/>
  <c r="O171" i="12"/>
  <c r="N171" i="12"/>
  <c r="M171" i="12"/>
  <c r="L171" i="12"/>
  <c r="K171" i="12"/>
  <c r="J171" i="12"/>
  <c r="I171" i="12"/>
  <c r="H171" i="12"/>
  <c r="F174" i="12"/>
  <c r="F173" i="12"/>
  <c r="F172" i="12"/>
  <c r="F171" i="12"/>
  <c r="O169" i="12"/>
  <c r="N169" i="12"/>
  <c r="M169" i="12"/>
  <c r="L169" i="12"/>
  <c r="K169" i="12"/>
  <c r="J169" i="12"/>
  <c r="I169" i="12"/>
  <c r="H169" i="12"/>
  <c r="O168" i="12"/>
  <c r="N168" i="12"/>
  <c r="M168" i="12"/>
  <c r="L168" i="12"/>
  <c r="K168" i="12"/>
  <c r="J168" i="12"/>
  <c r="I168" i="12"/>
  <c r="H168" i="12"/>
  <c r="O167" i="12"/>
  <c r="N167" i="12"/>
  <c r="M167" i="12"/>
  <c r="L167" i="12"/>
  <c r="K167" i="12"/>
  <c r="J167" i="12"/>
  <c r="I167" i="12"/>
  <c r="H167" i="12"/>
  <c r="O166" i="12"/>
  <c r="N166" i="12"/>
  <c r="M166" i="12"/>
  <c r="L166" i="12"/>
  <c r="K166" i="12"/>
  <c r="J166" i="12"/>
  <c r="I166" i="12"/>
  <c r="H166" i="12"/>
  <c r="F169" i="12"/>
  <c r="F168" i="12"/>
  <c r="F167" i="12"/>
  <c r="F166" i="12"/>
  <c r="G316" i="12"/>
  <c r="H316" i="12"/>
  <c r="I316" i="12"/>
  <c r="J316" i="12"/>
  <c r="K316" i="12"/>
  <c r="L316" i="12"/>
  <c r="M316" i="12"/>
  <c r="N316" i="12"/>
  <c r="O316" i="12"/>
  <c r="P316" i="12"/>
  <c r="G317" i="12"/>
  <c r="H317" i="12"/>
  <c r="I317" i="12"/>
  <c r="J317" i="12"/>
  <c r="K317" i="12"/>
  <c r="L317" i="12"/>
  <c r="M317" i="12"/>
  <c r="N317" i="12"/>
  <c r="O317" i="12"/>
  <c r="P317" i="12"/>
  <c r="G318" i="12"/>
  <c r="H318" i="12"/>
  <c r="I318" i="12"/>
  <c r="J318" i="12"/>
  <c r="K318" i="12"/>
  <c r="L318" i="12"/>
  <c r="M318" i="12"/>
  <c r="N318" i="12"/>
  <c r="O318" i="12"/>
  <c r="P318" i="12"/>
  <c r="G319" i="12"/>
  <c r="H319" i="12"/>
  <c r="I319" i="12"/>
  <c r="J319" i="12"/>
  <c r="K319" i="12"/>
  <c r="L319" i="12"/>
  <c r="M319" i="12"/>
  <c r="N319" i="12"/>
  <c r="O319" i="12"/>
  <c r="P319" i="12"/>
  <c r="F319" i="12"/>
  <c r="F318" i="12"/>
  <c r="F317" i="12"/>
  <c r="F316" i="12"/>
  <c r="G311" i="12"/>
  <c r="H311" i="12"/>
  <c r="I311" i="12"/>
  <c r="J311" i="12"/>
  <c r="K311" i="12"/>
  <c r="L311" i="12"/>
  <c r="M311" i="12"/>
  <c r="N311" i="12"/>
  <c r="O311" i="12"/>
  <c r="P311" i="12"/>
  <c r="G312" i="12"/>
  <c r="H312" i="12"/>
  <c r="I312" i="12"/>
  <c r="J312" i="12"/>
  <c r="K312" i="12"/>
  <c r="L312" i="12"/>
  <c r="M312" i="12"/>
  <c r="N312" i="12"/>
  <c r="O312" i="12"/>
  <c r="P312" i="12"/>
  <c r="G313" i="12"/>
  <c r="H313" i="12"/>
  <c r="I313" i="12"/>
  <c r="J313" i="12"/>
  <c r="K313" i="12"/>
  <c r="L313" i="12"/>
  <c r="M313" i="12"/>
  <c r="N313" i="12"/>
  <c r="O313" i="12"/>
  <c r="P313" i="12"/>
  <c r="G314" i="12"/>
  <c r="H314" i="12"/>
  <c r="I314" i="12"/>
  <c r="J314" i="12"/>
  <c r="K314" i="12"/>
  <c r="L314" i="12"/>
  <c r="M314" i="12"/>
  <c r="N314" i="12"/>
  <c r="O314" i="12"/>
  <c r="P314" i="12"/>
  <c r="F314" i="12"/>
  <c r="F313" i="12"/>
  <c r="F312" i="12"/>
  <c r="F311" i="12"/>
  <c r="G306" i="12"/>
  <c r="H306" i="12"/>
  <c r="I306" i="12"/>
  <c r="J306" i="12"/>
  <c r="K306" i="12"/>
  <c r="L306" i="12"/>
  <c r="M306" i="12"/>
  <c r="N306" i="12"/>
  <c r="O306" i="12"/>
  <c r="P306" i="12"/>
  <c r="G307" i="12"/>
  <c r="H307" i="12"/>
  <c r="I307" i="12"/>
  <c r="J307" i="12"/>
  <c r="K307" i="12"/>
  <c r="L307" i="12"/>
  <c r="M307" i="12"/>
  <c r="N307" i="12"/>
  <c r="O307" i="12"/>
  <c r="P307" i="12"/>
  <c r="G308" i="12"/>
  <c r="H308" i="12"/>
  <c r="I308" i="12"/>
  <c r="J308" i="12"/>
  <c r="K308" i="12"/>
  <c r="L308" i="12"/>
  <c r="M308" i="12"/>
  <c r="N308" i="12"/>
  <c r="O308" i="12"/>
  <c r="P308" i="12"/>
  <c r="G309" i="12"/>
  <c r="H309" i="12"/>
  <c r="I309" i="12"/>
  <c r="J309" i="12"/>
  <c r="K309" i="12"/>
  <c r="L309" i="12"/>
  <c r="M309" i="12"/>
  <c r="N309" i="12"/>
  <c r="O309" i="12"/>
  <c r="P309" i="12"/>
  <c r="F309" i="12"/>
  <c r="F308" i="12"/>
  <c r="F307" i="12"/>
  <c r="F306" i="12"/>
  <c r="K66" i="12"/>
  <c r="J66" i="12"/>
  <c r="I66" i="12"/>
  <c r="H66" i="12"/>
  <c r="K65" i="12"/>
  <c r="J65" i="12"/>
  <c r="I65" i="12"/>
  <c r="H65" i="12"/>
  <c r="K63" i="12"/>
  <c r="J63" i="12"/>
  <c r="I63" i="12"/>
  <c r="H63" i="12"/>
  <c r="F66" i="12"/>
  <c r="F65" i="12"/>
  <c r="F63" i="12"/>
  <c r="E64" i="12"/>
  <c r="L164" i="12"/>
  <c r="K164" i="12"/>
  <c r="J164" i="12"/>
  <c r="I164" i="12"/>
  <c r="H164" i="12"/>
  <c r="L163" i="12"/>
  <c r="K163" i="12"/>
  <c r="J163" i="12"/>
  <c r="I163" i="12"/>
  <c r="H163" i="12"/>
  <c r="L162" i="12"/>
  <c r="K162" i="12"/>
  <c r="J162" i="12"/>
  <c r="I162" i="12"/>
  <c r="H162" i="12"/>
  <c r="L161" i="12"/>
  <c r="K161" i="12"/>
  <c r="J161" i="12"/>
  <c r="I161" i="12"/>
  <c r="H161" i="12"/>
  <c r="F164" i="12"/>
  <c r="F163" i="12"/>
  <c r="F162" i="12"/>
  <c r="F161" i="12"/>
  <c r="G156" i="12"/>
  <c r="H156" i="12"/>
  <c r="I156" i="12"/>
  <c r="J156" i="12"/>
  <c r="K156" i="12"/>
  <c r="L156" i="12"/>
  <c r="M156" i="12"/>
  <c r="N156" i="12"/>
  <c r="O156" i="12"/>
  <c r="P156" i="12"/>
  <c r="G157" i="12"/>
  <c r="H157" i="12"/>
  <c r="I157" i="12"/>
  <c r="J157" i="12"/>
  <c r="K157" i="12"/>
  <c r="L157" i="12"/>
  <c r="M157" i="12"/>
  <c r="N157" i="12"/>
  <c r="O157" i="12"/>
  <c r="P157" i="12"/>
  <c r="G158" i="12"/>
  <c r="H158" i="12"/>
  <c r="I158" i="12"/>
  <c r="J158" i="12"/>
  <c r="K158" i="12"/>
  <c r="L158" i="12"/>
  <c r="M158" i="12"/>
  <c r="N158" i="12"/>
  <c r="O158" i="12"/>
  <c r="P158" i="12"/>
  <c r="G159" i="12"/>
  <c r="H159" i="12"/>
  <c r="I159" i="12"/>
  <c r="J159" i="12"/>
  <c r="K159" i="12"/>
  <c r="L159" i="12"/>
  <c r="M159" i="12"/>
  <c r="N159" i="12"/>
  <c r="O159" i="12"/>
  <c r="P159" i="12"/>
  <c r="F159" i="12"/>
  <c r="F158" i="12"/>
  <c r="F157" i="12"/>
  <c r="F156" i="12"/>
  <c r="O78" i="12"/>
  <c r="N78" i="12"/>
  <c r="M78" i="12"/>
  <c r="L78" i="12"/>
  <c r="K78" i="12"/>
  <c r="J78" i="12"/>
  <c r="I78" i="12"/>
  <c r="H78" i="12"/>
  <c r="O77" i="12"/>
  <c r="N77" i="12"/>
  <c r="M77" i="12"/>
  <c r="L77" i="12"/>
  <c r="K77" i="12"/>
  <c r="J77" i="12"/>
  <c r="I77" i="12"/>
  <c r="H77" i="12"/>
  <c r="O76" i="12"/>
  <c r="N76" i="12"/>
  <c r="M76" i="12"/>
  <c r="L76" i="12"/>
  <c r="K76" i="12"/>
  <c r="J76" i="12"/>
  <c r="I76" i="12"/>
  <c r="H76" i="12"/>
  <c r="O75" i="12"/>
  <c r="N75" i="12"/>
  <c r="M75" i="12"/>
  <c r="L75" i="12"/>
  <c r="K75" i="12"/>
  <c r="J75" i="12"/>
  <c r="I75" i="12"/>
  <c r="H75" i="12"/>
  <c r="F78" i="12"/>
  <c r="F77" i="12"/>
  <c r="F76" i="12"/>
  <c r="F75" i="12"/>
  <c r="K73" i="12"/>
  <c r="J73" i="12"/>
  <c r="I73" i="12"/>
  <c r="H73" i="12"/>
  <c r="K72" i="12"/>
  <c r="J72" i="12"/>
  <c r="I72" i="12"/>
  <c r="H72" i="12"/>
  <c r="K71" i="12"/>
  <c r="J71" i="12"/>
  <c r="I71" i="12"/>
  <c r="H71" i="12"/>
  <c r="K70" i="12"/>
  <c r="J70" i="12"/>
  <c r="I70" i="12"/>
  <c r="H70" i="12"/>
  <c r="F73" i="12"/>
  <c r="F72" i="12"/>
  <c r="F71" i="12"/>
  <c r="F70" i="12"/>
  <c r="G152" i="12"/>
  <c r="H152" i="12"/>
  <c r="I152" i="12"/>
  <c r="J152" i="12"/>
  <c r="K152" i="12"/>
  <c r="L152" i="12"/>
  <c r="M152" i="12"/>
  <c r="N152" i="12"/>
  <c r="O152" i="12"/>
  <c r="P152" i="12"/>
  <c r="G153" i="12"/>
  <c r="H153" i="12"/>
  <c r="I153" i="12"/>
  <c r="J153" i="12"/>
  <c r="K153" i="12"/>
  <c r="L153" i="12"/>
  <c r="M153" i="12"/>
  <c r="N153" i="12"/>
  <c r="O153" i="12"/>
  <c r="P153" i="12"/>
  <c r="G154" i="12"/>
  <c r="H154" i="12"/>
  <c r="I154" i="12"/>
  <c r="J154" i="12"/>
  <c r="K154" i="12"/>
  <c r="L154" i="12"/>
  <c r="M154" i="12"/>
  <c r="N154" i="12"/>
  <c r="O154" i="12"/>
  <c r="P154" i="12"/>
  <c r="F154" i="12"/>
  <c r="F153" i="12"/>
  <c r="F152" i="12"/>
  <c r="G58" i="12"/>
  <c r="H58" i="12"/>
  <c r="I58" i="12"/>
  <c r="J58" i="12"/>
  <c r="K58" i="12"/>
  <c r="L58" i="12"/>
  <c r="M58" i="12"/>
  <c r="N58" i="12"/>
  <c r="O58" i="12"/>
  <c r="P58" i="12"/>
  <c r="G59" i="12"/>
  <c r="H59" i="12"/>
  <c r="I59" i="12"/>
  <c r="J59" i="12"/>
  <c r="K59" i="12"/>
  <c r="L59" i="12"/>
  <c r="M59" i="12"/>
  <c r="N59" i="12"/>
  <c r="O59" i="12"/>
  <c r="P59" i="12"/>
  <c r="G60" i="12"/>
  <c r="H60" i="12"/>
  <c r="I60" i="12"/>
  <c r="J60" i="12"/>
  <c r="K60" i="12"/>
  <c r="L60" i="12"/>
  <c r="M60" i="12"/>
  <c r="N60" i="12"/>
  <c r="O60" i="12"/>
  <c r="P60" i="12"/>
  <c r="G61" i="12"/>
  <c r="H61" i="12"/>
  <c r="I61" i="12"/>
  <c r="J61" i="12"/>
  <c r="K61" i="12"/>
  <c r="L61" i="12"/>
  <c r="M61" i="12"/>
  <c r="N61" i="12"/>
  <c r="O61" i="12"/>
  <c r="P61" i="12"/>
  <c r="F61" i="12"/>
  <c r="F60" i="12"/>
  <c r="F59" i="12"/>
  <c r="F58" i="12"/>
  <c r="G56" i="12"/>
  <c r="H56" i="12"/>
  <c r="I56" i="12"/>
  <c r="J56" i="12"/>
  <c r="K56" i="12"/>
  <c r="L56" i="12"/>
  <c r="M56" i="12"/>
  <c r="N56" i="12"/>
  <c r="O56" i="12"/>
  <c r="P56" i="12"/>
  <c r="E54" i="12"/>
  <c r="J48" i="12"/>
  <c r="K48" i="12"/>
  <c r="L48" i="12"/>
  <c r="M48" i="12"/>
  <c r="N48" i="12"/>
  <c r="O48" i="12"/>
  <c r="P48" i="12"/>
  <c r="J49" i="12"/>
  <c r="K49" i="12"/>
  <c r="L49" i="12"/>
  <c r="M49" i="12"/>
  <c r="N49" i="12"/>
  <c r="O49" i="12"/>
  <c r="P49" i="12"/>
  <c r="J50" i="12"/>
  <c r="K50" i="12"/>
  <c r="L50" i="12"/>
  <c r="M50" i="12"/>
  <c r="N50" i="12"/>
  <c r="O50" i="12"/>
  <c r="P50" i="12"/>
  <c r="J51" i="12"/>
  <c r="K51" i="12"/>
  <c r="L51" i="12"/>
  <c r="M51" i="12"/>
  <c r="N51" i="12"/>
  <c r="O51" i="12"/>
  <c r="P51" i="12"/>
  <c r="I51" i="12"/>
  <c r="I50" i="12"/>
  <c r="I49" i="12"/>
  <c r="I48" i="12"/>
  <c r="H51" i="12"/>
  <c r="H50" i="12"/>
  <c r="H49" i="12"/>
  <c r="H48" i="12"/>
  <c r="F51" i="12"/>
  <c r="F50" i="12"/>
  <c r="F49" i="12"/>
  <c r="F48" i="12"/>
  <c r="G43" i="12"/>
  <c r="H43" i="12"/>
  <c r="I43" i="12"/>
  <c r="J43" i="12"/>
  <c r="K43" i="12"/>
  <c r="G44" i="12"/>
  <c r="H44" i="12"/>
  <c r="I44" i="12"/>
  <c r="J44" i="12"/>
  <c r="K44" i="12"/>
  <c r="G45" i="12"/>
  <c r="H45" i="12"/>
  <c r="I45" i="12"/>
  <c r="J45" i="12"/>
  <c r="K45" i="12"/>
  <c r="G46" i="12"/>
  <c r="H46" i="12"/>
  <c r="I46" i="12"/>
  <c r="J46" i="12"/>
  <c r="K46" i="12"/>
  <c r="F46" i="12"/>
  <c r="F45" i="12"/>
  <c r="F44" i="12"/>
  <c r="F43" i="12"/>
  <c r="G146" i="12"/>
  <c r="H146" i="12"/>
  <c r="I146" i="12"/>
  <c r="J146" i="12"/>
  <c r="K146" i="12"/>
  <c r="L146" i="12"/>
  <c r="M146" i="12"/>
  <c r="N146" i="12"/>
  <c r="O146" i="12"/>
  <c r="P146" i="12"/>
  <c r="G147" i="12"/>
  <c r="H147" i="12"/>
  <c r="I147" i="12"/>
  <c r="J147" i="12"/>
  <c r="K147" i="12"/>
  <c r="L147" i="12"/>
  <c r="M147" i="12"/>
  <c r="N147" i="12"/>
  <c r="O147" i="12"/>
  <c r="P147" i="12"/>
  <c r="G148" i="12"/>
  <c r="H148" i="12"/>
  <c r="I148" i="12"/>
  <c r="J148" i="12"/>
  <c r="K148" i="12"/>
  <c r="L148" i="12"/>
  <c r="M148" i="12"/>
  <c r="N148" i="12"/>
  <c r="O148" i="12"/>
  <c r="P148" i="12"/>
  <c r="G149" i="12"/>
  <c r="H149" i="12"/>
  <c r="I149" i="12"/>
  <c r="J149" i="12"/>
  <c r="K149" i="12"/>
  <c r="L149" i="12"/>
  <c r="M149" i="12"/>
  <c r="N149" i="12"/>
  <c r="O149" i="12"/>
  <c r="P149" i="12"/>
  <c r="F149" i="12"/>
  <c r="F148" i="12"/>
  <c r="F147" i="12"/>
  <c r="F146" i="12"/>
  <c r="G141" i="12"/>
  <c r="H141" i="12"/>
  <c r="I141" i="12"/>
  <c r="J141" i="12"/>
  <c r="K141" i="12"/>
  <c r="L141" i="12"/>
  <c r="M141" i="12"/>
  <c r="N141" i="12"/>
  <c r="O141" i="12"/>
  <c r="P141" i="12"/>
  <c r="G143" i="12"/>
  <c r="H143" i="12"/>
  <c r="I143" i="12"/>
  <c r="J143" i="12"/>
  <c r="K143" i="12"/>
  <c r="L143" i="12"/>
  <c r="M143" i="12"/>
  <c r="N143" i="12"/>
  <c r="O143" i="12"/>
  <c r="P143" i="12"/>
  <c r="G144" i="12"/>
  <c r="H144" i="12"/>
  <c r="I144" i="12"/>
  <c r="J144" i="12"/>
  <c r="K144" i="12"/>
  <c r="L144" i="12"/>
  <c r="M144" i="12"/>
  <c r="N144" i="12"/>
  <c r="O144" i="12"/>
  <c r="P144" i="12"/>
  <c r="F144" i="12"/>
  <c r="F143" i="12"/>
  <c r="F141" i="12"/>
  <c r="E142" i="12"/>
  <c r="G136" i="12"/>
  <c r="H136" i="12"/>
  <c r="I136" i="12"/>
  <c r="J136" i="12"/>
  <c r="K136" i="12"/>
  <c r="L136" i="12"/>
  <c r="M136" i="12"/>
  <c r="N136" i="12"/>
  <c r="O136" i="12"/>
  <c r="G138" i="12"/>
  <c r="H138" i="12"/>
  <c r="I138" i="12"/>
  <c r="J138" i="12"/>
  <c r="K138" i="12"/>
  <c r="L138" i="12"/>
  <c r="M138" i="12"/>
  <c r="N138" i="12"/>
  <c r="O138" i="12"/>
  <c r="G139" i="12"/>
  <c r="H139" i="12"/>
  <c r="I139" i="12"/>
  <c r="J139" i="12"/>
  <c r="K139" i="12"/>
  <c r="L139" i="12"/>
  <c r="M139" i="12"/>
  <c r="N139" i="12"/>
  <c r="O139" i="12"/>
  <c r="F139" i="12"/>
  <c r="F138" i="12"/>
  <c r="F136" i="12"/>
  <c r="E137" i="12"/>
  <c r="G131" i="12"/>
  <c r="H131" i="12"/>
  <c r="I131" i="12"/>
  <c r="J131" i="12"/>
  <c r="K131" i="12"/>
  <c r="L131" i="12"/>
  <c r="M131" i="12"/>
  <c r="N131" i="12"/>
  <c r="O131" i="12"/>
  <c r="G133" i="12"/>
  <c r="H133" i="12"/>
  <c r="I133" i="12"/>
  <c r="J133" i="12"/>
  <c r="K133" i="12"/>
  <c r="L133" i="12"/>
  <c r="M133" i="12"/>
  <c r="N133" i="12"/>
  <c r="O133" i="12"/>
  <c r="G134" i="12"/>
  <c r="H134" i="12"/>
  <c r="I134" i="12"/>
  <c r="J134" i="12"/>
  <c r="K134" i="12"/>
  <c r="L134" i="12"/>
  <c r="M134" i="12"/>
  <c r="N134" i="12"/>
  <c r="O134" i="12"/>
  <c r="F134" i="12"/>
  <c r="F133" i="12"/>
  <c r="F131" i="12"/>
  <c r="E132" i="12"/>
  <c r="D42" i="5"/>
  <c r="H194" i="12"/>
  <c r="I194" i="12"/>
  <c r="J194" i="12"/>
  <c r="K194" i="12"/>
  <c r="L194" i="12"/>
  <c r="M194" i="12"/>
  <c r="H195" i="12"/>
  <c r="I195" i="12"/>
  <c r="J195" i="12"/>
  <c r="K195" i="12"/>
  <c r="L195" i="12"/>
  <c r="M195" i="12"/>
  <c r="H196" i="12"/>
  <c r="I196" i="12"/>
  <c r="J196" i="12"/>
  <c r="K196" i="12"/>
  <c r="L196" i="12"/>
  <c r="M196" i="12"/>
  <c r="H197" i="12"/>
  <c r="I197" i="12"/>
  <c r="J197" i="12"/>
  <c r="K197" i="12"/>
  <c r="L197" i="12"/>
  <c r="M197" i="12"/>
  <c r="F197" i="12"/>
  <c r="F196" i="12"/>
  <c r="F195" i="12"/>
  <c r="F194" i="12"/>
  <c r="G121" i="12"/>
  <c r="H121" i="12"/>
  <c r="I121" i="12"/>
  <c r="J121" i="12"/>
  <c r="K121" i="12"/>
  <c r="L121" i="12"/>
  <c r="M121" i="12"/>
  <c r="N121" i="12"/>
  <c r="O121" i="12"/>
  <c r="P121" i="12"/>
  <c r="G122" i="12"/>
  <c r="H122" i="12"/>
  <c r="I122" i="12"/>
  <c r="J122" i="12"/>
  <c r="K122" i="12"/>
  <c r="L122" i="12"/>
  <c r="M122" i="12"/>
  <c r="N122" i="12"/>
  <c r="O122" i="12"/>
  <c r="P122" i="12"/>
  <c r="G123" i="12"/>
  <c r="H123" i="12"/>
  <c r="I123" i="12"/>
  <c r="J123" i="12"/>
  <c r="K123" i="12"/>
  <c r="L123" i="12"/>
  <c r="M123" i="12"/>
  <c r="N123" i="12"/>
  <c r="O123" i="12"/>
  <c r="P123" i="12"/>
  <c r="G124" i="12"/>
  <c r="H124" i="12"/>
  <c r="I124" i="12"/>
  <c r="J124" i="12"/>
  <c r="K124" i="12"/>
  <c r="L124" i="12"/>
  <c r="M124" i="12"/>
  <c r="N124" i="12"/>
  <c r="O124" i="12"/>
  <c r="P124" i="12"/>
  <c r="F124" i="12"/>
  <c r="F123" i="12"/>
  <c r="F122" i="12"/>
  <c r="F121" i="12"/>
  <c r="N111" i="12"/>
  <c r="O111" i="12"/>
  <c r="P111" i="12"/>
  <c r="N112" i="12"/>
  <c r="O112" i="12"/>
  <c r="P112" i="12"/>
  <c r="N113" i="12"/>
  <c r="O113" i="12"/>
  <c r="P113" i="12"/>
  <c r="N114" i="12"/>
  <c r="O114" i="12"/>
  <c r="P114" i="12"/>
  <c r="N116" i="12"/>
  <c r="O116" i="12"/>
  <c r="P116" i="12"/>
  <c r="N117" i="12"/>
  <c r="O117" i="12"/>
  <c r="P117" i="12"/>
  <c r="N118" i="12"/>
  <c r="O118" i="12"/>
  <c r="P118" i="12"/>
  <c r="N119" i="12"/>
  <c r="O119" i="12"/>
  <c r="P119" i="12"/>
  <c r="G116" i="12"/>
  <c r="H116" i="12"/>
  <c r="I116" i="12"/>
  <c r="J116" i="12"/>
  <c r="K116" i="12"/>
  <c r="L116" i="12"/>
  <c r="M116" i="12"/>
  <c r="G117" i="12"/>
  <c r="H117" i="12"/>
  <c r="I117" i="12"/>
  <c r="J117" i="12"/>
  <c r="K117" i="12"/>
  <c r="L117" i="12"/>
  <c r="M117" i="12"/>
  <c r="G118" i="12"/>
  <c r="H118" i="12"/>
  <c r="I118" i="12"/>
  <c r="J118" i="12"/>
  <c r="K118" i="12"/>
  <c r="L118" i="12"/>
  <c r="M118" i="12"/>
  <c r="G119" i="12"/>
  <c r="H119" i="12"/>
  <c r="I119" i="12"/>
  <c r="J119" i="12"/>
  <c r="K119" i="12"/>
  <c r="L119" i="12"/>
  <c r="M119" i="12"/>
  <c r="F119" i="12"/>
  <c r="F118" i="12"/>
  <c r="F117" i="12"/>
  <c r="F116" i="12"/>
  <c r="G38" i="12"/>
  <c r="H38" i="12"/>
  <c r="I38" i="12"/>
  <c r="J38" i="12"/>
  <c r="K38" i="12"/>
  <c r="L38" i="12"/>
  <c r="M38" i="12"/>
  <c r="G39" i="12"/>
  <c r="H39" i="12"/>
  <c r="I39" i="12"/>
  <c r="J39" i="12"/>
  <c r="K39" i="12"/>
  <c r="L39" i="12"/>
  <c r="M39" i="12"/>
  <c r="G40" i="12"/>
  <c r="H40" i="12"/>
  <c r="I40" i="12"/>
  <c r="J40" i="12"/>
  <c r="K40" i="12"/>
  <c r="L40" i="12"/>
  <c r="M40" i="12"/>
  <c r="G41" i="12"/>
  <c r="H41" i="12"/>
  <c r="I41" i="12"/>
  <c r="J41" i="12"/>
  <c r="K41" i="12"/>
  <c r="L41" i="12"/>
  <c r="M41" i="12"/>
  <c r="F41" i="12"/>
  <c r="F40" i="12"/>
  <c r="F39" i="12"/>
  <c r="F38" i="12"/>
  <c r="G111" i="12"/>
  <c r="H111" i="12"/>
  <c r="I111" i="12"/>
  <c r="J111" i="12"/>
  <c r="K111" i="12"/>
  <c r="L111" i="12"/>
  <c r="M111" i="12"/>
  <c r="G112" i="12"/>
  <c r="H112" i="12"/>
  <c r="I112" i="12"/>
  <c r="J112" i="12"/>
  <c r="K112" i="12"/>
  <c r="L112" i="12"/>
  <c r="M112" i="12"/>
  <c r="G113" i="12"/>
  <c r="H113" i="12"/>
  <c r="I113" i="12"/>
  <c r="J113" i="12"/>
  <c r="K113" i="12"/>
  <c r="L113" i="12"/>
  <c r="M113" i="12"/>
  <c r="G114" i="12"/>
  <c r="H114" i="12"/>
  <c r="I114" i="12"/>
  <c r="J114" i="12"/>
  <c r="K114" i="12"/>
  <c r="L114" i="12"/>
  <c r="M114" i="12"/>
  <c r="F114" i="12"/>
  <c r="F113" i="12"/>
  <c r="F112" i="12"/>
  <c r="F111" i="12"/>
  <c r="E331" i="12"/>
  <c r="E330" i="12"/>
  <c r="E329" i="12"/>
  <c r="E328" i="12"/>
  <c r="G266" i="12"/>
  <c r="H266" i="12"/>
  <c r="I266" i="12"/>
  <c r="J266" i="12"/>
  <c r="K266" i="12"/>
  <c r="L266" i="12"/>
  <c r="M266" i="12"/>
  <c r="G267" i="12"/>
  <c r="H267" i="12"/>
  <c r="I267" i="12"/>
  <c r="J267" i="12"/>
  <c r="K267" i="12"/>
  <c r="L267" i="12"/>
  <c r="M267" i="12"/>
  <c r="G268" i="12"/>
  <c r="H268" i="12"/>
  <c r="I268" i="12"/>
  <c r="J268" i="12"/>
  <c r="K268" i="12"/>
  <c r="L268" i="12"/>
  <c r="M268" i="12"/>
  <c r="G269" i="12"/>
  <c r="H269" i="12"/>
  <c r="I269" i="12"/>
  <c r="J269" i="12"/>
  <c r="K269" i="12"/>
  <c r="L269" i="12"/>
  <c r="M269" i="12"/>
  <c r="F269" i="12"/>
  <c r="F268" i="12"/>
  <c r="F267" i="12"/>
  <c r="F266" i="12"/>
  <c r="G271" i="12"/>
  <c r="H271" i="12"/>
  <c r="I271" i="12"/>
  <c r="J271" i="12"/>
  <c r="K271" i="12"/>
  <c r="L271" i="12"/>
  <c r="M271" i="12"/>
  <c r="G272" i="12"/>
  <c r="H272" i="12"/>
  <c r="I272" i="12"/>
  <c r="J272" i="12"/>
  <c r="K272" i="12"/>
  <c r="L272" i="12"/>
  <c r="M272" i="12"/>
  <c r="G273" i="12"/>
  <c r="H273" i="12"/>
  <c r="I273" i="12"/>
  <c r="J273" i="12"/>
  <c r="K273" i="12"/>
  <c r="L273" i="12"/>
  <c r="M273" i="12"/>
  <c r="G274" i="12"/>
  <c r="H274" i="12"/>
  <c r="I274" i="12"/>
  <c r="J274" i="12"/>
  <c r="K274" i="12"/>
  <c r="L274" i="12"/>
  <c r="M274" i="12"/>
  <c r="F274" i="12"/>
  <c r="F273" i="12"/>
  <c r="F272" i="12"/>
  <c r="F271" i="12"/>
  <c r="D320" i="12" l="1"/>
  <c r="E208" i="12"/>
  <c r="P338" i="12"/>
  <c r="G108" i="12"/>
  <c r="E187" i="12"/>
  <c r="E276" i="12"/>
  <c r="E278" i="12"/>
  <c r="E282" i="12"/>
  <c r="E284" i="12"/>
  <c r="E286" i="12"/>
  <c r="E288" i="12"/>
  <c r="E292" i="12"/>
  <c r="E296" i="12"/>
  <c r="O214" i="12"/>
  <c r="N214" i="12"/>
  <c r="N212" i="12" s="1"/>
  <c r="P214" i="12"/>
  <c r="E304" i="12"/>
  <c r="E302" i="12"/>
  <c r="E181" i="12"/>
  <c r="E301" i="12"/>
  <c r="E183" i="12"/>
  <c r="D180" i="12" s="1"/>
  <c r="E186" i="12"/>
  <c r="E188" i="12"/>
  <c r="E277" i="12"/>
  <c r="E279" i="12"/>
  <c r="E281" i="12"/>
  <c r="E283" i="12"/>
  <c r="E289" i="12"/>
  <c r="E287" i="12"/>
  <c r="E297" i="12"/>
  <c r="E299" i="12"/>
  <c r="E294" i="12"/>
  <c r="E293" i="12"/>
  <c r="E298" i="12"/>
  <c r="E303" i="12"/>
  <c r="E291" i="12"/>
  <c r="D81" i="12"/>
  <c r="E182" i="12"/>
  <c r="E184" i="12"/>
  <c r="E189" i="12"/>
  <c r="D206" i="12"/>
  <c r="D200" i="12"/>
  <c r="E166" i="12"/>
  <c r="E168" i="12"/>
  <c r="E174" i="12"/>
  <c r="E176" i="12"/>
  <c r="E178" i="12"/>
  <c r="E167" i="12"/>
  <c r="E169" i="12"/>
  <c r="E171" i="12"/>
  <c r="E173" i="12"/>
  <c r="E177" i="12"/>
  <c r="E179" i="12"/>
  <c r="E172" i="12"/>
  <c r="E66" i="12"/>
  <c r="E311" i="12"/>
  <c r="E63" i="12"/>
  <c r="E306" i="12"/>
  <c r="E308" i="12"/>
  <c r="E313" i="12"/>
  <c r="E316" i="12"/>
  <c r="E318" i="12"/>
  <c r="E49" i="12"/>
  <c r="E319" i="12"/>
  <c r="E317" i="12"/>
  <c r="E51" i="12"/>
  <c r="E59" i="12"/>
  <c r="E61" i="12"/>
  <c r="E153" i="12"/>
  <c r="E307" i="12"/>
  <c r="E309" i="12"/>
  <c r="E312" i="12"/>
  <c r="E314" i="12"/>
  <c r="E156" i="12"/>
  <c r="E73" i="12"/>
  <c r="E65" i="12"/>
  <c r="E147" i="12"/>
  <c r="E43" i="12"/>
  <c r="E45" i="12"/>
  <c r="E71" i="12"/>
  <c r="E75" i="12"/>
  <c r="E77" i="12"/>
  <c r="E158" i="12"/>
  <c r="E162" i="12"/>
  <c r="E164" i="12"/>
  <c r="E50" i="12"/>
  <c r="E72" i="12"/>
  <c r="E146" i="12"/>
  <c r="E148" i="12"/>
  <c r="E44" i="12"/>
  <c r="E46" i="12"/>
  <c r="E48" i="12"/>
  <c r="E58" i="12"/>
  <c r="E60" i="12"/>
  <c r="E152" i="12"/>
  <c r="E154" i="12"/>
  <c r="E70" i="12"/>
  <c r="E76" i="12"/>
  <c r="E78" i="12"/>
  <c r="E157" i="12"/>
  <c r="E159" i="12"/>
  <c r="E161" i="12"/>
  <c r="E163" i="12"/>
  <c r="E149" i="12"/>
  <c r="E194" i="12"/>
  <c r="E196" i="12"/>
  <c r="E133" i="12"/>
  <c r="E138" i="12"/>
  <c r="E143" i="12"/>
  <c r="E134" i="12"/>
  <c r="E144" i="12"/>
  <c r="E197" i="12"/>
  <c r="E139" i="12"/>
  <c r="E267" i="12"/>
  <c r="E195" i="12"/>
  <c r="E131" i="12"/>
  <c r="E136" i="12"/>
  <c r="E141" i="12"/>
  <c r="E112" i="12"/>
  <c r="E114" i="12"/>
  <c r="E38" i="12"/>
  <c r="E40" i="12"/>
  <c r="E117" i="12"/>
  <c r="E119" i="12"/>
  <c r="E121" i="12"/>
  <c r="E123" i="12"/>
  <c r="E122" i="12"/>
  <c r="E124" i="12"/>
  <c r="E272" i="12"/>
  <c r="E274" i="12"/>
  <c r="E116" i="12"/>
  <c r="E269" i="12"/>
  <c r="E39" i="12"/>
  <c r="E118" i="12"/>
  <c r="E41" i="12"/>
  <c r="E268" i="12"/>
  <c r="E266" i="12"/>
  <c r="E271" i="12"/>
  <c r="E273" i="12"/>
  <c r="E111" i="12"/>
  <c r="E113" i="12"/>
  <c r="D327" i="12"/>
  <c r="H28" i="12"/>
  <c r="I28" i="12"/>
  <c r="J28" i="12"/>
  <c r="K28" i="12"/>
  <c r="L28" i="12"/>
  <c r="M28" i="12"/>
  <c r="J30" i="12"/>
  <c r="K30" i="12"/>
  <c r="L30" i="12"/>
  <c r="M30" i="12"/>
  <c r="G31" i="12"/>
  <c r="H31" i="12"/>
  <c r="I31" i="12"/>
  <c r="J31" i="12"/>
  <c r="K31" i="12"/>
  <c r="L31" i="12"/>
  <c r="M31" i="12"/>
  <c r="F31" i="12"/>
  <c r="F30" i="12"/>
  <c r="F28" i="12"/>
  <c r="E29" i="12"/>
  <c r="G261" i="12"/>
  <c r="H261" i="12"/>
  <c r="I261" i="12"/>
  <c r="J261" i="12"/>
  <c r="K261" i="12"/>
  <c r="L261" i="12"/>
  <c r="M261" i="12"/>
  <c r="G262" i="12"/>
  <c r="H262" i="12"/>
  <c r="I262" i="12"/>
  <c r="J262" i="12"/>
  <c r="K262" i="12"/>
  <c r="L262" i="12"/>
  <c r="M262" i="12"/>
  <c r="G263" i="12"/>
  <c r="H263" i="12"/>
  <c r="I263" i="12"/>
  <c r="J263" i="12"/>
  <c r="K263" i="12"/>
  <c r="L263" i="12"/>
  <c r="M263" i="12"/>
  <c r="G264" i="12"/>
  <c r="H264" i="12"/>
  <c r="I264" i="12"/>
  <c r="J264" i="12"/>
  <c r="K264" i="12"/>
  <c r="L264" i="12"/>
  <c r="M264" i="12"/>
  <c r="F264" i="12"/>
  <c r="F263" i="12"/>
  <c r="F262" i="12"/>
  <c r="F261" i="12"/>
  <c r="G256" i="12"/>
  <c r="H256" i="12"/>
  <c r="I256" i="12"/>
  <c r="J256" i="12"/>
  <c r="K256" i="12"/>
  <c r="L256" i="12"/>
  <c r="M256" i="12"/>
  <c r="G257" i="12"/>
  <c r="H257" i="12"/>
  <c r="I257" i="12"/>
  <c r="J257" i="12"/>
  <c r="K257" i="12"/>
  <c r="L257" i="12"/>
  <c r="M257" i="12"/>
  <c r="F257" i="12"/>
  <c r="F256" i="12"/>
  <c r="E259" i="12"/>
  <c r="E258" i="12"/>
  <c r="G251" i="12"/>
  <c r="H251" i="12"/>
  <c r="I251" i="12"/>
  <c r="J251" i="12"/>
  <c r="K251" i="12"/>
  <c r="L251" i="12"/>
  <c r="G252" i="12"/>
  <c r="H252" i="12"/>
  <c r="I252" i="12"/>
  <c r="J252" i="12"/>
  <c r="K252" i="12"/>
  <c r="L252" i="12"/>
  <c r="G254" i="12"/>
  <c r="H254" i="12"/>
  <c r="I254" i="12"/>
  <c r="J254" i="12"/>
  <c r="K254" i="12"/>
  <c r="L254" i="12"/>
  <c r="F254" i="12"/>
  <c r="F252" i="12"/>
  <c r="F251" i="12"/>
  <c r="G249" i="12"/>
  <c r="H249" i="12"/>
  <c r="I249" i="12"/>
  <c r="J249" i="12"/>
  <c r="K249" i="12"/>
  <c r="L249" i="12"/>
  <c r="M249" i="12"/>
  <c r="F249" i="12"/>
  <c r="G248" i="12"/>
  <c r="H248" i="12"/>
  <c r="I248" i="12"/>
  <c r="J248" i="12"/>
  <c r="K248" i="12"/>
  <c r="L248" i="12"/>
  <c r="M248" i="12"/>
  <c r="F248" i="12"/>
  <c r="G247" i="12"/>
  <c r="H247" i="12"/>
  <c r="I247" i="12"/>
  <c r="J247" i="12"/>
  <c r="K247" i="12"/>
  <c r="L247" i="12"/>
  <c r="M247" i="12"/>
  <c r="F247" i="12"/>
  <c r="G246" i="12"/>
  <c r="H246" i="12"/>
  <c r="I246" i="12"/>
  <c r="J246" i="12"/>
  <c r="K246" i="12"/>
  <c r="L246" i="12"/>
  <c r="M246" i="12"/>
  <c r="F246" i="12"/>
  <c r="G244" i="12"/>
  <c r="H244" i="12"/>
  <c r="I244" i="12"/>
  <c r="J244" i="12"/>
  <c r="K244" i="12"/>
  <c r="L244" i="12"/>
  <c r="F244" i="12"/>
  <c r="G243" i="12"/>
  <c r="H243" i="12"/>
  <c r="I243" i="12"/>
  <c r="J243" i="12"/>
  <c r="K243" i="12"/>
  <c r="L243" i="12"/>
  <c r="M243" i="12"/>
  <c r="F243" i="12"/>
  <c r="G242" i="12"/>
  <c r="H242" i="12"/>
  <c r="I242" i="12"/>
  <c r="J242" i="12"/>
  <c r="K242" i="12"/>
  <c r="L242" i="12"/>
  <c r="F242" i="12"/>
  <c r="G241" i="12"/>
  <c r="H241" i="12"/>
  <c r="I241" i="12"/>
  <c r="J241" i="12"/>
  <c r="K241" i="12"/>
  <c r="L241" i="12"/>
  <c r="F241" i="12"/>
  <c r="L221" i="12"/>
  <c r="L222" i="12"/>
  <c r="L223" i="12"/>
  <c r="J216" i="12"/>
  <c r="K216" i="12"/>
  <c r="L216" i="12"/>
  <c r="J217" i="12"/>
  <c r="K217" i="12"/>
  <c r="L217" i="12"/>
  <c r="J218" i="12"/>
  <c r="K218" i="12"/>
  <c r="L218" i="12"/>
  <c r="K219" i="12"/>
  <c r="L219" i="12"/>
  <c r="K224" i="12"/>
  <c r="J221" i="12"/>
  <c r="K221" i="12"/>
  <c r="J222" i="12"/>
  <c r="K222" i="12"/>
  <c r="J223" i="12"/>
  <c r="K223" i="12"/>
  <c r="K226" i="12"/>
  <c r="L226" i="12"/>
  <c r="K227" i="12"/>
  <c r="L227" i="12"/>
  <c r="K228" i="12"/>
  <c r="L228" i="12"/>
  <c r="K229" i="12"/>
  <c r="L229" i="12"/>
  <c r="K231" i="12"/>
  <c r="L231" i="12"/>
  <c r="K232" i="12"/>
  <c r="L232" i="12"/>
  <c r="K233" i="12"/>
  <c r="L233" i="12"/>
  <c r="K234" i="12"/>
  <c r="L234" i="12"/>
  <c r="G239" i="12"/>
  <c r="G238" i="12"/>
  <c r="H238" i="12"/>
  <c r="I238" i="12"/>
  <c r="J238" i="12"/>
  <c r="K238" i="12"/>
  <c r="L238" i="12"/>
  <c r="G237" i="12"/>
  <c r="H237" i="12"/>
  <c r="I237" i="12"/>
  <c r="J237" i="12"/>
  <c r="K237" i="12"/>
  <c r="L237" i="12"/>
  <c r="F237" i="12"/>
  <c r="L236" i="12"/>
  <c r="G236" i="12"/>
  <c r="H236" i="12"/>
  <c r="I236" i="12"/>
  <c r="J236" i="12"/>
  <c r="K236" i="12"/>
  <c r="F236" i="12"/>
  <c r="J234" i="12"/>
  <c r="I234" i="12"/>
  <c r="J233" i="12"/>
  <c r="I233" i="12"/>
  <c r="J232" i="12"/>
  <c r="I232" i="12"/>
  <c r="J231" i="12"/>
  <c r="I231" i="12"/>
  <c r="F231" i="12"/>
  <c r="J228" i="12"/>
  <c r="I228" i="12"/>
  <c r="H228" i="12"/>
  <c r="F228" i="12"/>
  <c r="J229" i="12"/>
  <c r="I229" i="12"/>
  <c r="F229" i="12"/>
  <c r="J227" i="12"/>
  <c r="I227" i="12"/>
  <c r="H227" i="12"/>
  <c r="F227" i="12"/>
  <c r="J226" i="12"/>
  <c r="I226" i="12"/>
  <c r="H226" i="12"/>
  <c r="F226" i="12"/>
  <c r="J224" i="12"/>
  <c r="I224" i="12"/>
  <c r="I223" i="12"/>
  <c r="F223" i="12"/>
  <c r="I222" i="12"/>
  <c r="F222" i="12"/>
  <c r="I221" i="12"/>
  <c r="F221" i="12"/>
  <c r="H223" i="12"/>
  <c r="I217" i="12"/>
  <c r="H217" i="12"/>
  <c r="F217" i="12"/>
  <c r="I218" i="12"/>
  <c r="H218" i="12"/>
  <c r="F218" i="12"/>
  <c r="J219" i="12"/>
  <c r="I219" i="12"/>
  <c r="F216" i="12"/>
  <c r="H216" i="12"/>
  <c r="I216" i="12"/>
  <c r="P658" i="2"/>
  <c r="I368" i="12" l="1"/>
  <c r="I364" i="12"/>
  <c r="I338" i="12"/>
  <c r="I355" i="12"/>
  <c r="I337" i="12"/>
  <c r="L368" i="12"/>
  <c r="J368" i="12"/>
  <c r="D310" i="12"/>
  <c r="K368" i="12"/>
  <c r="E30" i="12"/>
  <c r="I372" i="12"/>
  <c r="K372" i="12"/>
  <c r="L372" i="12"/>
  <c r="J372" i="12"/>
  <c r="L364" i="12"/>
  <c r="J364" i="12"/>
  <c r="K364" i="12"/>
  <c r="I354" i="12"/>
  <c r="J355" i="12"/>
  <c r="J354" i="12" s="1"/>
  <c r="J338" i="12"/>
  <c r="J337" i="12" s="1"/>
  <c r="K338" i="12"/>
  <c r="K337" i="12" s="1"/>
  <c r="K355" i="12"/>
  <c r="K354" i="12" s="1"/>
  <c r="L338" i="12"/>
  <c r="L337" i="12" s="1"/>
  <c r="L355" i="12"/>
  <c r="L354" i="12" s="1"/>
  <c r="D290" i="12"/>
  <c r="D280" i="12"/>
  <c r="D295" i="12"/>
  <c r="D285" i="12"/>
  <c r="D275" i="12"/>
  <c r="I214" i="12"/>
  <c r="I212" i="12" s="1"/>
  <c r="D185" i="12"/>
  <c r="D300" i="12"/>
  <c r="H214" i="12"/>
  <c r="H212" i="12" s="1"/>
  <c r="G214" i="12"/>
  <c r="M214" i="12"/>
  <c r="M212" i="12" s="1"/>
  <c r="F214" i="12"/>
  <c r="F212" i="12" s="1"/>
  <c r="K214" i="12"/>
  <c r="K212" i="12" s="1"/>
  <c r="L214" i="12"/>
  <c r="L212" i="12" s="1"/>
  <c r="J214" i="12"/>
  <c r="J212" i="12" s="1"/>
  <c r="D175" i="12"/>
  <c r="D165" i="12"/>
  <c r="D170" i="12"/>
  <c r="D62" i="12"/>
  <c r="D315" i="12"/>
  <c r="D305" i="12"/>
  <c r="D47" i="12"/>
  <c r="D155" i="12"/>
  <c r="D57" i="12"/>
  <c r="D145" i="12"/>
  <c r="D42" i="12"/>
  <c r="D74" i="12"/>
  <c r="D69" i="12"/>
  <c r="D135" i="12"/>
  <c r="D160" i="12"/>
  <c r="D193" i="12"/>
  <c r="D130" i="12"/>
  <c r="D140" i="12"/>
  <c r="D120" i="12"/>
  <c r="D37" i="12"/>
  <c r="D265" i="12"/>
  <c r="D115" i="12"/>
  <c r="D270" i="12"/>
  <c r="D110" i="12"/>
  <c r="E249" i="12"/>
  <c r="E246" i="12"/>
  <c r="E247" i="12"/>
  <c r="E248" i="12"/>
  <c r="D245" i="12" s="1"/>
  <c r="E252" i="12"/>
  <c r="E254" i="12"/>
  <c r="E256" i="12"/>
  <c r="D255" i="12" s="1"/>
  <c r="E262" i="12"/>
  <c r="E264" i="12"/>
  <c r="E31" i="12"/>
  <c r="E229" i="12"/>
  <c r="E251" i="12"/>
  <c r="E253" i="12"/>
  <c r="E261" i="12"/>
  <c r="E28" i="12"/>
  <c r="E257" i="12"/>
  <c r="E263" i="12"/>
  <c r="E223" i="12"/>
  <c r="E244" i="12"/>
  <c r="E239" i="12"/>
  <c r="E243" i="12"/>
  <c r="E234" i="12"/>
  <c r="E238" i="12"/>
  <c r="E242" i="12"/>
  <c r="E231" i="12"/>
  <c r="E233" i="12"/>
  <c r="E237" i="12"/>
  <c r="E236" i="12"/>
  <c r="E241" i="12"/>
  <c r="D240" i="12" s="1"/>
  <c r="E224" i="12"/>
  <c r="E226" i="12"/>
  <c r="E232" i="12"/>
  <c r="E228" i="12"/>
  <c r="E222" i="12"/>
  <c r="E227" i="12"/>
  <c r="E219" i="12"/>
  <c r="E221" i="12"/>
  <c r="E216" i="12"/>
  <c r="E218" i="12"/>
  <c r="E217" i="12"/>
  <c r="E214" i="12" l="1"/>
  <c r="E212" i="12" s="1"/>
  <c r="D27" i="12"/>
  <c r="D260" i="12"/>
  <c r="D250" i="12"/>
  <c r="D235" i="12"/>
  <c r="D220" i="12"/>
  <c r="D230" i="12"/>
  <c r="D225" i="12"/>
  <c r="D215" i="12"/>
  <c r="O35" i="10"/>
  <c r="P35" i="10"/>
  <c r="Q35" i="10"/>
  <c r="R35" i="10"/>
  <c r="S35" i="10"/>
  <c r="T35" i="10"/>
  <c r="U35" i="10"/>
  <c r="N35" i="10"/>
  <c r="O34" i="10"/>
  <c r="P34" i="10"/>
  <c r="Q34" i="10"/>
  <c r="R34" i="10"/>
  <c r="S34" i="10"/>
  <c r="T34" i="10"/>
  <c r="U34" i="10"/>
  <c r="N34" i="10"/>
  <c r="Q34" i="3" l="1"/>
  <c r="R34" i="3"/>
  <c r="S34" i="3"/>
  <c r="T34" i="3"/>
  <c r="P34" i="3"/>
  <c r="R73" i="1" l="1"/>
  <c r="S73" i="1"/>
  <c r="T73" i="1"/>
  <c r="S665" i="2" l="1"/>
  <c r="R665" i="2"/>
  <c r="T665" i="2"/>
  <c r="Q665" i="2"/>
  <c r="P665" i="2"/>
  <c r="P656" i="2"/>
  <c r="AA87" i="7" l="1"/>
  <c r="AA76" i="7"/>
  <c r="AA52" i="7"/>
  <c r="AA40" i="7"/>
  <c r="P98" i="6" l="1"/>
  <c r="P108" i="6" l="1"/>
  <c r="P106" i="6"/>
  <c r="P96" i="6"/>
  <c r="E151" i="12" l="1"/>
  <c r="X249" i="2"/>
  <c r="X248" i="2"/>
  <c r="D150" i="12" l="1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D11" i="2"/>
  <c r="Q29" i="1" l="1"/>
  <c r="T16" i="3"/>
  <c r="T39" i="3"/>
  <c r="D46" i="3" l="1"/>
  <c r="D40" i="3"/>
  <c r="U33" i="3"/>
  <c r="U32" i="3" s="1"/>
  <c r="X34" i="3"/>
  <c r="X40" i="3"/>
  <c r="U42" i="3"/>
  <c r="U45" i="3"/>
  <c r="T33" i="3"/>
  <c r="T32" i="3" s="1"/>
  <c r="T9" i="3" s="1"/>
  <c r="D10" i="9" l="1"/>
  <c r="D9" i="9"/>
  <c r="M10" i="9"/>
  <c r="M9" i="9"/>
  <c r="O10" i="9"/>
  <c r="O9" i="9"/>
  <c r="Q9" i="9"/>
  <c r="R9" i="9"/>
  <c r="S9" i="9"/>
  <c r="Q10" i="9"/>
  <c r="R10" i="9"/>
  <c r="S10" i="9"/>
  <c r="P10" i="9"/>
  <c r="P9" i="9"/>
  <c r="O12" i="4" l="1"/>
  <c r="N12" i="4"/>
  <c r="Q12" i="4"/>
  <c r="P12" i="4"/>
  <c r="Q17" i="4"/>
  <c r="P17" i="4"/>
  <c r="O17" i="4"/>
  <c r="Q19" i="4" l="1"/>
  <c r="N71" i="1" s="1"/>
  <c r="P19" i="4"/>
  <c r="M71" i="1" s="1"/>
  <c r="X134" i="4"/>
  <c r="X133" i="4" s="1"/>
  <c r="X132" i="4" s="1"/>
  <c r="M135" i="4"/>
  <c r="D135" i="4"/>
  <c r="D19" i="4" s="1"/>
  <c r="M134" i="4"/>
  <c r="W133" i="4"/>
  <c r="V133" i="4"/>
  <c r="U133" i="4"/>
  <c r="T133" i="4"/>
  <c r="S133" i="4"/>
  <c r="R133" i="4"/>
  <c r="Q133" i="4"/>
  <c r="Q132" i="4" s="1"/>
  <c r="P133" i="4"/>
  <c r="P132" i="4" s="1"/>
  <c r="O133" i="4"/>
  <c r="N133" i="4"/>
  <c r="M133" i="4"/>
  <c r="L133" i="4"/>
  <c r="K133" i="4"/>
  <c r="J133" i="4"/>
  <c r="I133" i="4"/>
  <c r="H133" i="4"/>
  <c r="G133" i="4"/>
  <c r="F133" i="4"/>
  <c r="E133" i="4"/>
  <c r="W132" i="4"/>
  <c r="V132" i="4"/>
  <c r="U132" i="4"/>
  <c r="T132" i="4"/>
  <c r="S132" i="4"/>
  <c r="R132" i="4"/>
  <c r="O132" i="4"/>
  <c r="N132" i="4"/>
  <c r="M132" i="4"/>
  <c r="L132" i="4"/>
  <c r="K132" i="4"/>
  <c r="J132" i="4"/>
  <c r="I132" i="4"/>
  <c r="H132" i="4"/>
  <c r="G132" i="4"/>
  <c r="F132" i="4"/>
  <c r="E132" i="4"/>
  <c r="D134" i="4" l="1"/>
  <c r="D12" i="4" s="1"/>
  <c r="M12" i="4"/>
  <c r="M17" i="4"/>
  <c r="X12" i="4"/>
  <c r="D17" i="4"/>
  <c r="U71" i="1"/>
  <c r="D133" i="4"/>
  <c r="D132" i="4" s="1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D24" i="13"/>
  <c r="D14" i="13"/>
  <c r="D21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D15" i="13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M15" i="13"/>
  <c r="P15" i="13"/>
  <c r="Q15" i="13"/>
  <c r="R15" i="13"/>
  <c r="S15" i="13"/>
  <c r="T15" i="13"/>
  <c r="U15" i="13"/>
  <c r="V15" i="13"/>
  <c r="W15" i="13"/>
  <c r="D18" i="13"/>
  <c r="D39" i="13"/>
  <c r="P41" i="13"/>
  <c r="P40" i="13" s="1"/>
  <c r="Q41" i="13"/>
  <c r="Q40" i="13" s="1"/>
  <c r="R41" i="13"/>
  <c r="R40" i="13" s="1"/>
  <c r="S41" i="13"/>
  <c r="S40" i="13" s="1"/>
  <c r="T41" i="13"/>
  <c r="T40" i="13" s="1"/>
  <c r="U41" i="13"/>
  <c r="U40" i="13" s="1"/>
  <c r="Q35" i="13"/>
  <c r="R35" i="13"/>
  <c r="S35" i="13"/>
  <c r="T35" i="13"/>
  <c r="P36" i="13"/>
  <c r="Q36" i="13"/>
  <c r="R36" i="13"/>
  <c r="S36" i="13"/>
  <c r="T36" i="13"/>
  <c r="P38" i="13"/>
  <c r="P35" i="13" s="1"/>
  <c r="Q38" i="13"/>
  <c r="R38" i="13"/>
  <c r="S38" i="13"/>
  <c r="T38" i="13"/>
  <c r="N29" i="13"/>
  <c r="O29" i="13"/>
  <c r="N27" i="13"/>
  <c r="N26" i="13" s="1"/>
  <c r="O27" i="13"/>
  <c r="O26" i="13" s="1"/>
  <c r="Q31" i="13"/>
  <c r="R31" i="13"/>
  <c r="S31" i="13"/>
  <c r="T31" i="13"/>
  <c r="P31" i="13"/>
  <c r="P32" i="13"/>
  <c r="R32" i="13"/>
  <c r="S32" i="13"/>
  <c r="T32" i="13"/>
  <c r="Q32" i="13"/>
  <c r="D30" i="13"/>
  <c r="D28" i="13"/>
  <c r="Q29" i="13"/>
  <c r="R29" i="13"/>
  <c r="S29" i="13"/>
  <c r="Q27" i="13"/>
  <c r="R27" i="13"/>
  <c r="S27" i="13"/>
  <c r="Q26" i="13"/>
  <c r="R26" i="13"/>
  <c r="S26" i="13"/>
  <c r="P26" i="13"/>
  <c r="P29" i="13"/>
  <c r="P27" i="13"/>
  <c r="X107" i="9"/>
  <c r="X108" i="9"/>
  <c r="X105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D15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D111" i="9"/>
  <c r="S110" i="9"/>
  <c r="S109" i="9" s="1"/>
  <c r="M109" i="9"/>
  <c r="M110" i="9"/>
  <c r="N107" i="9"/>
  <c r="O107" i="9"/>
  <c r="P107" i="9"/>
  <c r="M107" i="9"/>
  <c r="R110" i="9"/>
  <c r="R109" i="9" s="1"/>
  <c r="D108" i="9"/>
  <c r="D107" i="9" s="1"/>
  <c r="D106" i="9"/>
  <c r="Q104" i="9"/>
  <c r="R104" i="9"/>
  <c r="R107" i="9"/>
  <c r="E104" i="9"/>
  <c r="F104" i="9"/>
  <c r="G104" i="9"/>
  <c r="H104" i="9"/>
  <c r="I104" i="9"/>
  <c r="J104" i="9"/>
  <c r="K104" i="9"/>
  <c r="L104" i="9"/>
  <c r="M104" i="9"/>
  <c r="N104" i="9"/>
  <c r="O104" i="9"/>
  <c r="P104" i="9"/>
  <c r="X106" i="9"/>
  <c r="O106" i="9"/>
  <c r="D105" i="9"/>
  <c r="R105" i="9"/>
  <c r="Q105" i="9"/>
  <c r="P105" i="9"/>
  <c r="O105" i="9"/>
  <c r="N105" i="9"/>
  <c r="M105" i="9"/>
  <c r="L105" i="9"/>
  <c r="D102" i="9"/>
  <c r="D101" i="9" s="1"/>
  <c r="D100" i="9" s="1"/>
  <c r="R95" i="9"/>
  <c r="Q95" i="9"/>
  <c r="P95" i="9"/>
  <c r="R98" i="9"/>
  <c r="Q98" i="9"/>
  <c r="P96" i="9"/>
  <c r="Q96" i="9"/>
  <c r="R96" i="9"/>
  <c r="S96" i="9"/>
  <c r="D104" i="9" l="1"/>
  <c r="J45" i="1" l="1"/>
  <c r="X82" i="8"/>
  <c r="X84" i="8"/>
  <c r="D123" i="9"/>
  <c r="D135" i="9"/>
  <c r="X124" i="9"/>
  <c r="X123" i="9"/>
  <c r="D614" i="2"/>
  <c r="O80" i="13"/>
  <c r="O62" i="13"/>
  <c r="O61" i="13" s="1"/>
  <c r="O21" i="13"/>
  <c r="X38" i="2" l="1"/>
  <c r="P38" i="2"/>
  <c r="S45" i="3"/>
  <c r="S42" i="3" s="1"/>
  <c r="R32" i="10"/>
  <c r="S32" i="10"/>
  <c r="T32" i="10"/>
  <c r="U32" i="10"/>
  <c r="S33" i="10"/>
  <c r="T33" i="10"/>
  <c r="U33" i="10"/>
  <c r="K33" i="10"/>
  <c r="K32" i="10"/>
  <c r="Q117" i="9"/>
  <c r="W113" i="9"/>
  <c r="V113" i="9"/>
  <c r="U113" i="9"/>
  <c r="T113" i="9"/>
  <c r="S113" i="9"/>
  <c r="P113" i="9"/>
  <c r="O113" i="9"/>
  <c r="N113" i="9"/>
  <c r="M113" i="9"/>
  <c r="L113" i="9"/>
  <c r="K113" i="9"/>
  <c r="J113" i="9"/>
  <c r="I113" i="9"/>
  <c r="H113" i="9"/>
  <c r="G113" i="9"/>
  <c r="F113" i="9"/>
  <c r="E113" i="9"/>
  <c r="E116" i="9"/>
  <c r="F116" i="9"/>
  <c r="G116" i="9"/>
  <c r="H116" i="9"/>
  <c r="I116" i="9"/>
  <c r="J116" i="9"/>
  <c r="K116" i="9"/>
  <c r="L116" i="9"/>
  <c r="M116" i="9"/>
  <c r="N116" i="9"/>
  <c r="O116" i="9"/>
  <c r="P116" i="9"/>
  <c r="Q116" i="9"/>
  <c r="Q113" i="9" s="1"/>
  <c r="R116" i="9"/>
  <c r="S116" i="9"/>
  <c r="T116" i="9"/>
  <c r="U116" i="9"/>
  <c r="V116" i="9"/>
  <c r="W116" i="9"/>
  <c r="P114" i="9"/>
  <c r="Q114" i="9"/>
  <c r="R114" i="9"/>
  <c r="S114" i="9"/>
  <c r="T114" i="9"/>
  <c r="X15" i="9" l="1"/>
  <c r="R113" i="9"/>
  <c r="D36" i="2"/>
  <c r="D37" i="2"/>
  <c r="D38" i="2"/>
  <c r="X39" i="2"/>
  <c r="E38" i="2"/>
  <c r="F38" i="2"/>
  <c r="G38" i="2"/>
  <c r="H38" i="2"/>
  <c r="I38" i="2"/>
  <c r="J38" i="2"/>
  <c r="K38" i="2"/>
  <c r="L38" i="2"/>
  <c r="M38" i="2"/>
  <c r="N38" i="2"/>
  <c r="O38" i="2"/>
  <c r="Q38" i="2"/>
  <c r="R38" i="2"/>
  <c r="S38" i="2"/>
  <c r="T38" i="2"/>
  <c r="U38" i="2"/>
  <c r="V38" i="2"/>
  <c r="W38" i="2"/>
  <c r="Q325" i="2"/>
  <c r="Q324" i="2" s="1"/>
  <c r="P326" i="2"/>
  <c r="X326" i="2"/>
  <c r="X325" i="2" s="1"/>
  <c r="X324" i="2" s="1"/>
  <c r="O326" i="2"/>
  <c r="N326" i="2"/>
  <c r="L326" i="2"/>
  <c r="I326" i="2"/>
  <c r="E326" i="2"/>
  <c r="M326" i="2" s="1"/>
  <c r="P325" i="2"/>
  <c r="O325" i="2"/>
  <c r="N325" i="2"/>
  <c r="L325" i="2"/>
  <c r="K325" i="2"/>
  <c r="J325" i="2"/>
  <c r="I325" i="2"/>
  <c r="H325" i="2"/>
  <c r="G325" i="2"/>
  <c r="F325" i="2"/>
  <c r="E325" i="2"/>
  <c r="P324" i="2"/>
  <c r="O324" i="2"/>
  <c r="N324" i="2"/>
  <c r="L324" i="2"/>
  <c r="K324" i="2"/>
  <c r="J324" i="2"/>
  <c r="I324" i="2"/>
  <c r="H324" i="2"/>
  <c r="G324" i="2"/>
  <c r="F324" i="2"/>
  <c r="E324" i="2"/>
  <c r="D49" i="2"/>
  <c r="M325" i="2" l="1"/>
  <c r="M324" i="2" s="1"/>
  <c r="D326" i="2"/>
  <c r="D325" i="2" s="1"/>
  <c r="D324" i="2" s="1"/>
  <c r="P246" i="2"/>
  <c r="P243" i="2"/>
  <c r="P241" i="2"/>
  <c r="N243" i="2"/>
  <c r="N241" i="2"/>
  <c r="X252" i="2"/>
  <c r="Q262" i="2"/>
  <c r="P262" i="2"/>
  <c r="D259" i="2"/>
  <c r="Q255" i="2"/>
  <c r="Q250" i="2"/>
  <c r="Q249" i="2" s="1"/>
  <c r="P255" i="2"/>
  <c r="P250" i="2"/>
  <c r="P249" i="2" s="1"/>
  <c r="O255" i="2"/>
  <c r="O250" i="2"/>
  <c r="O249" i="2" s="1"/>
  <c r="N255" i="2"/>
  <c r="N250" i="2"/>
  <c r="N249" i="2" s="1"/>
  <c r="R278" i="2"/>
  <c r="R286" i="2"/>
  <c r="R281" i="2"/>
  <c r="Q286" i="2"/>
  <c r="Q281" i="2"/>
  <c r="Q278" i="2"/>
  <c r="Q269" i="2"/>
  <c r="Q266" i="2"/>
  <c r="P274" i="2"/>
  <c r="P269" i="2"/>
  <c r="P266" i="2"/>
  <c r="P237" i="2"/>
  <c r="P230" i="2"/>
  <c r="P226" i="2"/>
  <c r="O230" i="2"/>
  <c r="O226" i="2"/>
  <c r="N230" i="2"/>
  <c r="N226" i="2"/>
  <c r="M90" i="6" l="1"/>
  <c r="M85" i="6"/>
  <c r="D85" i="6"/>
  <c r="P54" i="7" l="1"/>
  <c r="O54" i="7"/>
  <c r="P49" i="7"/>
  <c r="O46" i="7"/>
  <c r="O90" i="7"/>
  <c r="P88" i="7"/>
  <c r="O81" i="7"/>
  <c r="O85" i="7"/>
  <c r="O73" i="7"/>
  <c r="O78" i="7"/>
  <c r="P76" i="7"/>
  <c r="O76" i="7"/>
  <c r="O71" i="7"/>
  <c r="M70" i="7"/>
  <c r="O42" i="7"/>
  <c r="P40" i="7"/>
  <c r="O40" i="7"/>
  <c r="O37" i="7"/>
  <c r="O35" i="7"/>
  <c r="O34" i="7"/>
  <c r="N34" i="7"/>
  <c r="D58" i="3" l="1"/>
  <c r="D57" i="3"/>
  <c r="D52" i="3"/>
  <c r="Q56" i="3"/>
  <c r="R56" i="3"/>
  <c r="S56" i="3"/>
  <c r="T56" i="3"/>
  <c r="U56" i="3"/>
  <c r="V56" i="3"/>
  <c r="W56" i="3"/>
  <c r="P56" i="3"/>
  <c r="M56" i="3"/>
  <c r="D56" i="3" s="1"/>
  <c r="D53" i="3"/>
  <c r="P51" i="3"/>
  <c r="Q51" i="3"/>
  <c r="R51" i="3"/>
  <c r="S51" i="3"/>
  <c r="T51" i="3"/>
  <c r="U51" i="3"/>
  <c r="V51" i="3"/>
  <c r="W51" i="3"/>
  <c r="O51" i="3"/>
  <c r="E62" i="3"/>
  <c r="F62" i="3"/>
  <c r="G62" i="3"/>
  <c r="H62" i="3"/>
  <c r="I62" i="3"/>
  <c r="J62" i="3"/>
  <c r="K62" i="3"/>
  <c r="L62" i="3"/>
  <c r="N62" i="3"/>
  <c r="O62" i="3"/>
  <c r="P62" i="3"/>
  <c r="Q62" i="3"/>
  <c r="R62" i="3"/>
  <c r="S62" i="3"/>
  <c r="T62" i="3"/>
  <c r="U62" i="3"/>
  <c r="V62" i="3"/>
  <c r="W62" i="3"/>
  <c r="E60" i="3"/>
  <c r="F60" i="3"/>
  <c r="G60" i="3"/>
  <c r="H60" i="3"/>
  <c r="I60" i="3"/>
  <c r="J60" i="3"/>
  <c r="K60" i="3"/>
  <c r="L60" i="3"/>
  <c r="N60" i="3"/>
  <c r="O60" i="3"/>
  <c r="P60" i="3"/>
  <c r="Q60" i="3"/>
  <c r="R60" i="3"/>
  <c r="S60" i="3"/>
  <c r="T60" i="3"/>
  <c r="U60" i="3"/>
  <c r="V60" i="3"/>
  <c r="W60" i="3"/>
  <c r="E59" i="3"/>
  <c r="F59" i="3"/>
  <c r="G59" i="3"/>
  <c r="H59" i="3"/>
  <c r="I59" i="3"/>
  <c r="J59" i="3"/>
  <c r="K59" i="3"/>
  <c r="L59" i="3"/>
  <c r="N59" i="3"/>
  <c r="O59" i="3"/>
  <c r="P59" i="3"/>
  <c r="Q59" i="3"/>
  <c r="R59" i="3"/>
  <c r="S59" i="3"/>
  <c r="T59" i="3"/>
  <c r="U59" i="3"/>
  <c r="V59" i="3"/>
  <c r="W59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F50" i="3"/>
  <c r="G50" i="3"/>
  <c r="H50" i="3"/>
  <c r="I50" i="3"/>
  <c r="J50" i="3"/>
  <c r="K50" i="3"/>
  <c r="L50" i="3"/>
  <c r="N50" i="3"/>
  <c r="N49" i="3" s="1"/>
  <c r="O50" i="3"/>
  <c r="P50" i="3"/>
  <c r="R50" i="3"/>
  <c r="S50" i="3"/>
  <c r="T50" i="3"/>
  <c r="T49" i="3" s="1"/>
  <c r="U50" i="3"/>
  <c r="V50" i="3"/>
  <c r="W50" i="3"/>
  <c r="P49" i="3"/>
  <c r="R49" i="3"/>
  <c r="V49" i="3"/>
  <c r="Q50" i="3" l="1"/>
  <c r="W49" i="3"/>
  <c r="U49" i="3"/>
  <c r="S49" i="3"/>
  <c r="Q49" i="3"/>
  <c r="O49" i="3"/>
  <c r="P84" i="8"/>
  <c r="Q84" i="8"/>
  <c r="Q82" i="8"/>
  <c r="P82" i="8"/>
  <c r="R83" i="8"/>
  <c r="S83" i="8"/>
  <c r="R81" i="8"/>
  <c r="R80" i="8" s="1"/>
  <c r="S81" i="8"/>
  <c r="S80" i="8" s="1"/>
  <c r="S88" i="8"/>
  <c r="S86" i="8"/>
  <c r="S85" i="8" s="1"/>
  <c r="R89" i="8"/>
  <c r="R87" i="8"/>
  <c r="Q87" i="8"/>
  <c r="P89" i="8"/>
  <c r="P87" i="8"/>
  <c r="Q134" i="9" l="1"/>
  <c r="R134" i="9"/>
  <c r="S134" i="9"/>
  <c r="S461" i="2" l="1"/>
  <c r="R461" i="2"/>
  <c r="Q461" i="2"/>
  <c r="P461" i="2"/>
  <c r="P459" i="2" l="1"/>
  <c r="Q459" i="2" l="1"/>
  <c r="W13" i="3" l="1"/>
  <c r="V13" i="3"/>
  <c r="U13" i="3"/>
  <c r="T13" i="3"/>
  <c r="S13" i="3"/>
  <c r="R13" i="3"/>
  <c r="Q13" i="3"/>
  <c r="P13" i="3"/>
  <c r="O13" i="3"/>
  <c r="W16" i="3"/>
  <c r="V16" i="3"/>
  <c r="U16" i="3"/>
  <c r="S16" i="3"/>
  <c r="R16" i="3"/>
  <c r="Q16" i="3"/>
  <c r="P16" i="3"/>
  <c r="O16" i="3"/>
  <c r="W22" i="3"/>
  <c r="V22" i="3"/>
  <c r="U22" i="3"/>
  <c r="T22" i="3"/>
  <c r="S22" i="3"/>
  <c r="R22" i="3"/>
  <c r="Q22" i="3"/>
  <c r="P22" i="3"/>
  <c r="O22" i="3"/>
  <c r="P33" i="3"/>
  <c r="Q33" i="3"/>
  <c r="R33" i="3"/>
  <c r="S33" i="3"/>
  <c r="O33" i="3"/>
  <c r="D22" i="3"/>
  <c r="P45" i="3"/>
  <c r="Q45" i="3"/>
  <c r="R45" i="3"/>
  <c r="Q33" i="10"/>
  <c r="T45" i="3"/>
  <c r="O45" i="3"/>
  <c r="D16" i="3"/>
  <c r="P39" i="3"/>
  <c r="Q39" i="3"/>
  <c r="R39" i="3"/>
  <c r="S39" i="3"/>
  <c r="O39" i="3"/>
  <c r="T42" i="3" l="1"/>
  <c r="R33" i="10" s="1"/>
  <c r="R42" i="3"/>
  <c r="P33" i="10" s="1"/>
  <c r="P42" i="3"/>
  <c r="N33" i="10" s="1"/>
  <c r="X16" i="3"/>
  <c r="Q42" i="3"/>
  <c r="O33" i="10" s="1"/>
  <c r="R32" i="3"/>
  <c r="P32" i="10" s="1"/>
  <c r="P32" i="3"/>
  <c r="N32" i="10" s="1"/>
  <c r="S32" i="3"/>
  <c r="Q32" i="10" s="1"/>
  <c r="Q32" i="3"/>
  <c r="O32" i="10" s="1"/>
  <c r="P662" i="2"/>
  <c r="S606" i="2" l="1"/>
  <c r="S605" i="2" s="1"/>
  <c r="S604" i="2" s="1"/>
  <c r="R606" i="2"/>
  <c r="Q606" i="2"/>
  <c r="P79" i="1"/>
  <c r="Q79" i="1"/>
  <c r="U544" i="2"/>
  <c r="V544" i="2"/>
  <c r="W544" i="2"/>
  <c r="R102" i="1"/>
  <c r="S102" i="1"/>
  <c r="T102" i="1"/>
  <c r="T614" i="2"/>
  <c r="T544" i="2" s="1"/>
  <c r="S614" i="2"/>
  <c r="S544" i="2" s="1"/>
  <c r="T613" i="2"/>
  <c r="S613" i="2"/>
  <c r="T612" i="2"/>
  <c r="Q102" i="1" s="1"/>
  <c r="S612" i="2"/>
  <c r="P102" i="1" s="1"/>
  <c r="R614" i="2"/>
  <c r="P614" i="2"/>
  <c r="Q614" i="2"/>
  <c r="P615" i="2"/>
  <c r="P611" i="2"/>
  <c r="T610" i="2"/>
  <c r="S610" i="2"/>
  <c r="R610" i="2"/>
  <c r="Q610" i="2"/>
  <c r="X610" i="2" s="1"/>
  <c r="Q80" i="1" l="1"/>
  <c r="P80" i="1"/>
  <c r="P350" i="2"/>
  <c r="N348" i="2"/>
  <c r="P345" i="2"/>
  <c r="P343" i="2"/>
  <c r="N345" i="2"/>
  <c r="N342" i="2"/>
  <c r="W30" i="10" l="1"/>
  <c r="X18" i="13"/>
  <c r="X15" i="13"/>
  <c r="X57" i="13"/>
  <c r="X58" i="13"/>
  <c r="O70" i="6" l="1"/>
  <c r="O68" i="6"/>
  <c r="O65" i="6"/>
  <c r="O63" i="6"/>
  <c r="O59" i="6"/>
  <c r="O57" i="6"/>
  <c r="O54" i="6"/>
  <c r="O52" i="6"/>
  <c r="L500" i="2" l="1"/>
  <c r="T662" i="2" l="1"/>
  <c r="S662" i="2"/>
  <c r="R662" i="2"/>
  <c r="Q662" i="2"/>
  <c r="T658" i="2"/>
  <c r="S658" i="2"/>
  <c r="R658" i="2"/>
  <c r="P239" i="6" l="1"/>
  <c r="O239" i="6"/>
  <c r="D11" i="5" l="1"/>
  <c r="U534" i="2" l="1"/>
  <c r="V534" i="2"/>
  <c r="W534" i="2"/>
  <c r="U535" i="2"/>
  <c r="V535" i="2"/>
  <c r="W535" i="2"/>
  <c r="S566" i="2"/>
  <c r="S565" i="2" s="1"/>
  <c r="S630" i="2"/>
  <c r="S629" i="2" s="1"/>
  <c r="W538" i="2" l="1"/>
  <c r="V538" i="2"/>
  <c r="U538" i="2"/>
  <c r="T538" i="2"/>
  <c r="S538" i="2"/>
  <c r="H538" i="2"/>
  <c r="G538" i="2"/>
  <c r="F538" i="2"/>
  <c r="R651" i="2"/>
  <c r="X651" i="2" s="1"/>
  <c r="X650" i="2" s="1"/>
  <c r="X649" i="2" s="1"/>
  <c r="M650" i="2"/>
  <c r="M649" i="2" s="1"/>
  <c r="Q650" i="2"/>
  <c r="P650" i="2"/>
  <c r="P649" i="2" s="1"/>
  <c r="O650" i="2"/>
  <c r="N650" i="2"/>
  <c r="L650" i="2"/>
  <c r="Q649" i="2"/>
  <c r="O649" i="2"/>
  <c r="N649" i="2"/>
  <c r="L649" i="2"/>
  <c r="S642" i="2"/>
  <c r="S641" i="2" s="1"/>
  <c r="R639" i="2"/>
  <c r="Q639" i="2"/>
  <c r="P639" i="2"/>
  <c r="O639" i="2"/>
  <c r="X643" i="2"/>
  <c r="X642" i="2" s="1"/>
  <c r="X641" i="2" s="1"/>
  <c r="M642" i="2"/>
  <c r="M641" i="2" s="1"/>
  <c r="R642" i="2"/>
  <c r="Q642" i="2"/>
  <c r="P642" i="2"/>
  <c r="P641" i="2" s="1"/>
  <c r="O642" i="2"/>
  <c r="N642" i="2"/>
  <c r="N641" i="2" s="1"/>
  <c r="L642" i="2"/>
  <c r="L641" i="2" s="1"/>
  <c r="R641" i="2"/>
  <c r="Q641" i="2"/>
  <c r="O641" i="2"/>
  <c r="S622" i="2"/>
  <c r="S621" i="2" s="1"/>
  <c r="P623" i="2"/>
  <c r="O627" i="2"/>
  <c r="O624" i="2"/>
  <c r="O623" i="2"/>
  <c r="F52" i="2"/>
  <c r="G52" i="2"/>
  <c r="H52" i="2"/>
  <c r="Q52" i="2"/>
  <c r="R52" i="2"/>
  <c r="S52" i="2"/>
  <c r="T52" i="2"/>
  <c r="U52" i="2"/>
  <c r="V52" i="2"/>
  <c r="W52" i="2"/>
  <c r="F43" i="2"/>
  <c r="Q43" i="2"/>
  <c r="R43" i="2"/>
  <c r="S43" i="2"/>
  <c r="T43" i="2"/>
  <c r="U43" i="2"/>
  <c r="V43" i="2"/>
  <c r="W43" i="2"/>
  <c r="X443" i="2"/>
  <c r="X434" i="2"/>
  <c r="X425" i="2"/>
  <c r="X414" i="2"/>
  <c r="F388" i="2"/>
  <c r="G388" i="2"/>
  <c r="H388" i="2"/>
  <c r="I388" i="2"/>
  <c r="J388" i="2"/>
  <c r="K388" i="2"/>
  <c r="L388" i="2"/>
  <c r="N388" i="2"/>
  <c r="O388" i="2"/>
  <c r="R388" i="2"/>
  <c r="S388" i="2"/>
  <c r="T388" i="2"/>
  <c r="U388" i="2"/>
  <c r="V388" i="2"/>
  <c r="W388" i="2"/>
  <c r="E386" i="2"/>
  <c r="E385" i="2" s="1"/>
  <c r="F386" i="2"/>
  <c r="F385" i="2" s="1"/>
  <c r="G386" i="2"/>
  <c r="G385" i="2" s="1"/>
  <c r="H386" i="2"/>
  <c r="H385" i="2" s="1"/>
  <c r="I386" i="2"/>
  <c r="I385" i="2" s="1"/>
  <c r="J386" i="2"/>
  <c r="J385" i="2" s="1"/>
  <c r="K386" i="2"/>
  <c r="K385" i="2" s="1"/>
  <c r="L386" i="2"/>
  <c r="L385" i="2" s="1"/>
  <c r="N386" i="2"/>
  <c r="O386" i="2"/>
  <c r="P386" i="2"/>
  <c r="Q386" i="2"/>
  <c r="R386" i="2"/>
  <c r="S386" i="2"/>
  <c r="T386" i="2"/>
  <c r="U386" i="2"/>
  <c r="V386" i="2"/>
  <c r="W386" i="2"/>
  <c r="F383" i="2"/>
  <c r="G383" i="2"/>
  <c r="H383" i="2"/>
  <c r="I383" i="2"/>
  <c r="J383" i="2"/>
  <c r="K383" i="2"/>
  <c r="L383" i="2"/>
  <c r="N383" i="2"/>
  <c r="O383" i="2"/>
  <c r="T383" i="2"/>
  <c r="U383" i="2"/>
  <c r="V383" i="2"/>
  <c r="W383" i="2"/>
  <c r="E381" i="2"/>
  <c r="F381" i="2"/>
  <c r="G381" i="2"/>
  <c r="H381" i="2"/>
  <c r="I381" i="2"/>
  <c r="J381" i="2"/>
  <c r="K381" i="2"/>
  <c r="L381" i="2"/>
  <c r="N381" i="2"/>
  <c r="O381" i="2"/>
  <c r="P381" i="2"/>
  <c r="Q381" i="2"/>
  <c r="R381" i="2"/>
  <c r="S381" i="2"/>
  <c r="T381" i="2"/>
  <c r="U381" i="2"/>
  <c r="V381" i="2"/>
  <c r="W381" i="2"/>
  <c r="F380" i="2"/>
  <c r="F379" i="2" s="1"/>
  <c r="G380" i="2"/>
  <c r="G379" i="2" s="1"/>
  <c r="H380" i="2"/>
  <c r="H379" i="2" s="1"/>
  <c r="I380" i="2"/>
  <c r="I379" i="2" s="1"/>
  <c r="J380" i="2"/>
  <c r="J379" i="2" s="1"/>
  <c r="K380" i="2"/>
  <c r="K379" i="2" s="1"/>
  <c r="O380" i="2"/>
  <c r="T380" i="2"/>
  <c r="U380" i="2"/>
  <c r="V380" i="2"/>
  <c r="W380" i="2"/>
  <c r="E322" i="2"/>
  <c r="M322" i="2" s="1"/>
  <c r="R321" i="2"/>
  <c r="R318" i="2" s="1"/>
  <c r="Q321" i="2"/>
  <c r="P321" i="2"/>
  <c r="O321" i="2"/>
  <c r="N321" i="2"/>
  <c r="L321" i="2"/>
  <c r="K321" i="2"/>
  <c r="J321" i="2"/>
  <c r="I321" i="2"/>
  <c r="H321" i="2"/>
  <c r="G321" i="2"/>
  <c r="F321" i="2"/>
  <c r="E321" i="2"/>
  <c r="E320" i="2"/>
  <c r="D320" i="2"/>
  <c r="D319" i="2" s="1"/>
  <c r="P319" i="2"/>
  <c r="O319" i="2"/>
  <c r="O318" i="2" s="1"/>
  <c r="N319" i="2"/>
  <c r="M319" i="2"/>
  <c r="L319" i="2"/>
  <c r="K319" i="2"/>
  <c r="K318" i="2" s="1"/>
  <c r="J319" i="2"/>
  <c r="I319" i="2"/>
  <c r="H319" i="2"/>
  <c r="G319" i="2"/>
  <c r="F319" i="2"/>
  <c r="E319" i="2"/>
  <c r="Q318" i="2"/>
  <c r="P318" i="2"/>
  <c r="N318" i="2"/>
  <c r="L318" i="2"/>
  <c r="J318" i="2"/>
  <c r="I318" i="2"/>
  <c r="H318" i="2"/>
  <c r="G318" i="2"/>
  <c r="F318" i="2"/>
  <c r="E318" i="2"/>
  <c r="X317" i="2"/>
  <c r="X316" i="2" s="1"/>
  <c r="O317" i="2"/>
  <c r="O316" i="2" s="1"/>
  <c r="M317" i="2"/>
  <c r="R316" i="2"/>
  <c r="Q316" i="2"/>
  <c r="P316" i="2"/>
  <c r="N316" i="2"/>
  <c r="L316" i="2"/>
  <c r="K316" i="2"/>
  <c r="J316" i="2"/>
  <c r="I316" i="2"/>
  <c r="H316" i="2"/>
  <c r="G316" i="2"/>
  <c r="F316" i="2"/>
  <c r="E316" i="2"/>
  <c r="D315" i="2"/>
  <c r="X314" i="2"/>
  <c r="X313" i="2" s="1"/>
  <c r="O314" i="2"/>
  <c r="O313" i="2" s="1"/>
  <c r="M314" i="2"/>
  <c r="R313" i="2"/>
  <c r="R312" i="2" s="1"/>
  <c r="Q313" i="2"/>
  <c r="P313" i="2"/>
  <c r="P312" i="2" s="1"/>
  <c r="N313" i="2"/>
  <c r="M313" i="2"/>
  <c r="L313" i="2"/>
  <c r="K313" i="2"/>
  <c r="K312" i="2" s="1"/>
  <c r="J313" i="2"/>
  <c r="I313" i="2"/>
  <c r="I312" i="2" s="1"/>
  <c r="H313" i="2"/>
  <c r="G313" i="2"/>
  <c r="G312" i="2" s="1"/>
  <c r="F313" i="2"/>
  <c r="E313" i="2"/>
  <c r="E312" i="2" s="1"/>
  <c r="Q312" i="2"/>
  <c r="N312" i="2"/>
  <c r="L312" i="2"/>
  <c r="J312" i="2"/>
  <c r="H312" i="2"/>
  <c r="F312" i="2"/>
  <c r="E310" i="2"/>
  <c r="M310" i="2" s="1"/>
  <c r="R309" i="2"/>
  <c r="R306" i="2" s="1"/>
  <c r="Q309" i="2"/>
  <c r="P309" i="2"/>
  <c r="O309" i="2"/>
  <c r="N309" i="2"/>
  <c r="L309" i="2"/>
  <c r="K309" i="2"/>
  <c r="J309" i="2"/>
  <c r="I309" i="2"/>
  <c r="H309" i="2"/>
  <c r="G309" i="2"/>
  <c r="G306" i="2" s="1"/>
  <c r="F309" i="2"/>
  <c r="E308" i="2"/>
  <c r="E307" i="2" s="1"/>
  <c r="D308" i="2"/>
  <c r="D307" i="2" s="1"/>
  <c r="P307" i="2"/>
  <c r="P306" i="2" s="1"/>
  <c r="O307" i="2"/>
  <c r="N307" i="2"/>
  <c r="M307" i="2"/>
  <c r="L307" i="2"/>
  <c r="L306" i="2" s="1"/>
  <c r="K307" i="2"/>
  <c r="J307" i="2"/>
  <c r="J306" i="2" s="1"/>
  <c r="I307" i="2"/>
  <c r="H307" i="2"/>
  <c r="H306" i="2" s="1"/>
  <c r="G307" i="2"/>
  <c r="F307" i="2"/>
  <c r="F306" i="2" s="1"/>
  <c r="Q306" i="2"/>
  <c r="N306" i="2"/>
  <c r="K306" i="2"/>
  <c r="I306" i="2"/>
  <c r="X305" i="2"/>
  <c r="X304" i="2" s="1"/>
  <c r="O305" i="2"/>
  <c r="O304" i="2" s="1"/>
  <c r="M305" i="2"/>
  <c r="R304" i="2"/>
  <c r="Q304" i="2"/>
  <c r="P304" i="2"/>
  <c r="N304" i="2"/>
  <c r="L304" i="2"/>
  <c r="K304" i="2"/>
  <c r="J304" i="2"/>
  <c r="I304" i="2"/>
  <c r="H304" i="2"/>
  <c r="G304" i="2"/>
  <c r="F304" i="2"/>
  <c r="E304" i="2"/>
  <c r="D303" i="2"/>
  <c r="X302" i="2"/>
  <c r="X301" i="2" s="1"/>
  <c r="O302" i="2"/>
  <c r="O301" i="2" s="1"/>
  <c r="M302" i="2"/>
  <c r="M301" i="2" s="1"/>
  <c r="R301" i="2"/>
  <c r="Q301" i="2"/>
  <c r="Q300" i="2" s="1"/>
  <c r="P301" i="2"/>
  <c r="P300" i="2" s="1"/>
  <c r="N301" i="2"/>
  <c r="N300" i="2" s="1"/>
  <c r="L301" i="2"/>
  <c r="K301" i="2"/>
  <c r="J301" i="2"/>
  <c r="I301" i="2"/>
  <c r="H301" i="2"/>
  <c r="G301" i="2"/>
  <c r="F301" i="2"/>
  <c r="E301" i="2"/>
  <c r="R300" i="2"/>
  <c r="L300" i="2"/>
  <c r="K300" i="2"/>
  <c r="J300" i="2"/>
  <c r="I300" i="2"/>
  <c r="H300" i="2"/>
  <c r="G300" i="2"/>
  <c r="F300" i="2"/>
  <c r="E300" i="2"/>
  <c r="E298" i="2"/>
  <c r="M298" i="2" s="1"/>
  <c r="R297" i="2"/>
  <c r="Q297" i="2"/>
  <c r="Q294" i="2" s="1"/>
  <c r="P297" i="2"/>
  <c r="O297" i="2"/>
  <c r="N297" i="2"/>
  <c r="L297" i="2"/>
  <c r="K297" i="2"/>
  <c r="J297" i="2"/>
  <c r="I297" i="2"/>
  <c r="H297" i="2"/>
  <c r="G297" i="2"/>
  <c r="F297" i="2"/>
  <c r="E296" i="2"/>
  <c r="E295" i="2" s="1"/>
  <c r="D296" i="2"/>
  <c r="P295" i="2"/>
  <c r="O295" i="2"/>
  <c r="N295" i="2"/>
  <c r="M295" i="2"/>
  <c r="L295" i="2"/>
  <c r="K295" i="2"/>
  <c r="J295" i="2"/>
  <c r="I295" i="2"/>
  <c r="I294" i="2" s="1"/>
  <c r="H295" i="2"/>
  <c r="G295" i="2"/>
  <c r="F295" i="2"/>
  <c r="D295" i="2"/>
  <c r="R294" i="2"/>
  <c r="P294" i="2"/>
  <c r="N294" i="2"/>
  <c r="K294" i="2"/>
  <c r="G294" i="2"/>
  <c r="X293" i="2"/>
  <c r="X292" i="2" s="1"/>
  <c r="O293" i="2"/>
  <c r="O292" i="2" s="1"/>
  <c r="M293" i="2"/>
  <c r="R292" i="2"/>
  <c r="Q292" i="2"/>
  <c r="P292" i="2"/>
  <c r="N292" i="2"/>
  <c r="M292" i="2"/>
  <c r="L292" i="2"/>
  <c r="K292" i="2"/>
  <c r="J292" i="2"/>
  <c r="I292" i="2"/>
  <c r="H292" i="2"/>
  <c r="G292" i="2"/>
  <c r="F292" i="2"/>
  <c r="E292" i="2"/>
  <c r="D291" i="2"/>
  <c r="X290" i="2"/>
  <c r="X289" i="2" s="1"/>
  <c r="O290" i="2"/>
  <c r="O289" i="2" s="1"/>
  <c r="M290" i="2"/>
  <c r="R289" i="2"/>
  <c r="R288" i="2" s="1"/>
  <c r="Q289" i="2"/>
  <c r="P289" i="2"/>
  <c r="P288" i="2" s="1"/>
  <c r="N289" i="2"/>
  <c r="N288" i="2" s="1"/>
  <c r="L289" i="2"/>
  <c r="L288" i="2" s="1"/>
  <c r="K289" i="2"/>
  <c r="J289" i="2"/>
  <c r="I289" i="2"/>
  <c r="H289" i="2"/>
  <c r="H288" i="2" s="1"/>
  <c r="G289" i="2"/>
  <c r="F289" i="2"/>
  <c r="F288" i="2" s="1"/>
  <c r="E289" i="2"/>
  <c r="J288" i="2"/>
  <c r="R285" i="2"/>
  <c r="R282" i="2" s="1"/>
  <c r="R280" i="2"/>
  <c r="R277" i="2"/>
  <c r="E286" i="2"/>
  <c r="M286" i="2" s="1"/>
  <c r="Q285" i="2"/>
  <c r="Q282" i="2" s="1"/>
  <c r="P285" i="2"/>
  <c r="O285" i="2"/>
  <c r="N285" i="2"/>
  <c r="L285" i="2"/>
  <c r="K285" i="2"/>
  <c r="J285" i="2"/>
  <c r="I285" i="2"/>
  <c r="H285" i="2"/>
  <c r="G285" i="2"/>
  <c r="F285" i="2"/>
  <c r="E285" i="2"/>
  <c r="E284" i="2"/>
  <c r="E283" i="2" s="1"/>
  <c r="D284" i="2"/>
  <c r="D283" i="2" s="1"/>
  <c r="P283" i="2"/>
  <c r="O283" i="2"/>
  <c r="N283" i="2"/>
  <c r="M283" i="2"/>
  <c r="L283" i="2"/>
  <c r="K283" i="2"/>
  <c r="J283" i="2"/>
  <c r="I283" i="2"/>
  <c r="I282" i="2" s="1"/>
  <c r="H283" i="2"/>
  <c r="G283" i="2"/>
  <c r="G282" i="2" s="1"/>
  <c r="F283" i="2"/>
  <c r="K282" i="2"/>
  <c r="X281" i="2"/>
  <c r="X280" i="2" s="1"/>
  <c r="O281" i="2"/>
  <c r="M281" i="2"/>
  <c r="Q280" i="2"/>
  <c r="P280" i="2"/>
  <c r="O280" i="2"/>
  <c r="N280" i="2"/>
  <c r="L280" i="2"/>
  <c r="K280" i="2"/>
  <c r="J280" i="2"/>
  <c r="I280" i="2"/>
  <c r="H280" i="2"/>
  <c r="G280" i="2"/>
  <c r="F280" i="2"/>
  <c r="E280" i="2"/>
  <c r="D279" i="2"/>
  <c r="X278" i="2"/>
  <c r="X277" i="2" s="1"/>
  <c r="O278" i="2"/>
  <c r="M278" i="2"/>
  <c r="Q277" i="2"/>
  <c r="P277" i="2"/>
  <c r="O277" i="2"/>
  <c r="O276" i="2" s="1"/>
  <c r="N277" i="2"/>
  <c r="L277" i="2"/>
  <c r="L276" i="2" s="1"/>
  <c r="K277" i="2"/>
  <c r="K276" i="2" s="1"/>
  <c r="J277" i="2"/>
  <c r="J276" i="2" s="1"/>
  <c r="I277" i="2"/>
  <c r="H277" i="2"/>
  <c r="H276" i="2" s="1"/>
  <c r="G277" i="2"/>
  <c r="G276" i="2" s="1"/>
  <c r="F277" i="2"/>
  <c r="F276" i="2" s="1"/>
  <c r="E277" i="2"/>
  <c r="E276" i="2" s="1"/>
  <c r="Q276" i="2"/>
  <c r="I276" i="2"/>
  <c r="G117" i="2"/>
  <c r="G115" i="2"/>
  <c r="G114" i="2"/>
  <c r="P122" i="2"/>
  <c r="P120" i="2"/>
  <c r="O122" i="2"/>
  <c r="O120" i="2"/>
  <c r="N117" i="2"/>
  <c r="N115" i="2"/>
  <c r="N114" i="2"/>
  <c r="L117" i="2"/>
  <c r="L115" i="2"/>
  <c r="L114" i="2"/>
  <c r="O175" i="2"/>
  <c r="N175" i="2"/>
  <c r="N172" i="2"/>
  <c r="N170" i="2"/>
  <c r="P455" i="2"/>
  <c r="E455" i="2"/>
  <c r="M455" i="2" s="1"/>
  <c r="T454" i="2"/>
  <c r="S454" i="2"/>
  <c r="S453" i="2" s="1"/>
  <c r="R454" i="2"/>
  <c r="R453" i="2" s="1"/>
  <c r="Q454" i="2"/>
  <c r="P454" i="2"/>
  <c r="P453" i="2" s="1"/>
  <c r="O454" i="2"/>
  <c r="O453" i="2" s="1"/>
  <c r="N454" i="2"/>
  <c r="N453" i="2" s="1"/>
  <c r="L454" i="2"/>
  <c r="K454" i="2"/>
  <c r="K453" i="2" s="1"/>
  <c r="J454" i="2"/>
  <c r="J453" i="2" s="1"/>
  <c r="I454" i="2"/>
  <c r="I453" i="2" s="1"/>
  <c r="H454" i="2"/>
  <c r="G454" i="2"/>
  <c r="G453" i="2" s="1"/>
  <c r="F454" i="2"/>
  <c r="F453" i="2" s="1"/>
  <c r="T453" i="2"/>
  <c r="Q453" i="2"/>
  <c r="L453" i="2"/>
  <c r="H453" i="2"/>
  <c r="X452" i="2"/>
  <c r="E452" i="2"/>
  <c r="M452" i="2" s="1"/>
  <c r="X451" i="2"/>
  <c r="S451" i="2"/>
  <c r="R451" i="2"/>
  <c r="Q451" i="2"/>
  <c r="P451" i="2"/>
  <c r="O451" i="2"/>
  <c r="N451" i="2"/>
  <c r="L451" i="2"/>
  <c r="K451" i="2"/>
  <c r="J451" i="2"/>
  <c r="I451" i="2"/>
  <c r="H451" i="2"/>
  <c r="G451" i="2"/>
  <c r="F451" i="2"/>
  <c r="X450" i="2"/>
  <c r="N450" i="2"/>
  <c r="N449" i="2" s="1"/>
  <c r="L450" i="2"/>
  <c r="L449" i="2" s="1"/>
  <c r="E450" i="2"/>
  <c r="X449" i="2"/>
  <c r="X448" i="2" s="1"/>
  <c r="S449" i="2"/>
  <c r="S448" i="2" s="1"/>
  <c r="R449" i="2"/>
  <c r="Q449" i="2"/>
  <c r="Q448" i="2" s="1"/>
  <c r="P449" i="2"/>
  <c r="P448" i="2" s="1"/>
  <c r="O449" i="2"/>
  <c r="O448" i="2" s="1"/>
  <c r="K449" i="2"/>
  <c r="K448" i="2" s="1"/>
  <c r="J449" i="2"/>
  <c r="I449" i="2"/>
  <c r="I448" i="2" s="1"/>
  <c r="H449" i="2"/>
  <c r="H448" i="2" s="1"/>
  <c r="G449" i="2"/>
  <c r="G448" i="2" s="1"/>
  <c r="F449" i="2"/>
  <c r="E449" i="2"/>
  <c r="J448" i="2"/>
  <c r="F448" i="2"/>
  <c r="T445" i="2"/>
  <c r="T444" i="2" s="1"/>
  <c r="R445" i="2"/>
  <c r="R444" i="2" s="1"/>
  <c r="S445" i="2"/>
  <c r="S444" i="2" s="1"/>
  <c r="R442" i="2"/>
  <c r="S442" i="2"/>
  <c r="R440" i="2"/>
  <c r="R439" i="2" s="1"/>
  <c r="S440" i="2"/>
  <c r="S439" i="2" s="1"/>
  <c r="P446" i="2"/>
  <c r="P445" i="2" s="1"/>
  <c r="P444" i="2" s="1"/>
  <c r="E446" i="2"/>
  <c r="M446" i="2" s="1"/>
  <c r="Q445" i="2"/>
  <c r="Q444" i="2" s="1"/>
  <c r="O445" i="2"/>
  <c r="N445" i="2"/>
  <c r="N444" i="2" s="1"/>
  <c r="L445" i="2"/>
  <c r="L444" i="2" s="1"/>
  <c r="K445" i="2"/>
  <c r="K444" i="2" s="1"/>
  <c r="J445" i="2"/>
  <c r="J444" i="2" s="1"/>
  <c r="I445" i="2"/>
  <c r="I444" i="2" s="1"/>
  <c r="H445" i="2"/>
  <c r="H444" i="2" s="1"/>
  <c r="G445" i="2"/>
  <c r="G444" i="2" s="1"/>
  <c r="F445" i="2"/>
  <c r="F444" i="2" s="1"/>
  <c r="E445" i="2"/>
  <c r="E444" i="2" s="1"/>
  <c r="O444" i="2"/>
  <c r="E443" i="2"/>
  <c r="M443" i="2" s="1"/>
  <c r="X442" i="2"/>
  <c r="Q442" i="2"/>
  <c r="P442" i="2"/>
  <c r="O442" i="2"/>
  <c r="N442" i="2"/>
  <c r="L442" i="2"/>
  <c r="K442" i="2"/>
  <c r="J442" i="2"/>
  <c r="I442" i="2"/>
  <c r="H442" i="2"/>
  <c r="G442" i="2"/>
  <c r="F442" i="2"/>
  <c r="X441" i="2"/>
  <c r="N441" i="2"/>
  <c r="N440" i="2" s="1"/>
  <c r="N439" i="2" s="1"/>
  <c r="L441" i="2"/>
  <c r="L440" i="2" s="1"/>
  <c r="L439" i="2" s="1"/>
  <c r="E441" i="2"/>
  <c r="M441" i="2" s="1"/>
  <c r="X440" i="2"/>
  <c r="Q440" i="2"/>
  <c r="Q439" i="2" s="1"/>
  <c r="P440" i="2"/>
  <c r="P439" i="2" s="1"/>
  <c r="O440" i="2"/>
  <c r="O439" i="2" s="1"/>
  <c r="K440" i="2"/>
  <c r="K439" i="2" s="1"/>
  <c r="J440" i="2"/>
  <c r="I440" i="2"/>
  <c r="I439" i="2" s="1"/>
  <c r="H440" i="2"/>
  <c r="H439" i="2" s="1"/>
  <c r="G440" i="2"/>
  <c r="G439" i="2" s="1"/>
  <c r="F440" i="2"/>
  <c r="F439" i="2" s="1"/>
  <c r="E440" i="2"/>
  <c r="J439" i="2"/>
  <c r="P437" i="2"/>
  <c r="E437" i="2"/>
  <c r="M437" i="2" s="1"/>
  <c r="R436" i="2"/>
  <c r="R435" i="2" s="1"/>
  <c r="Q436" i="2"/>
  <c r="Q435" i="2" s="1"/>
  <c r="P436" i="2"/>
  <c r="P435" i="2" s="1"/>
  <c r="O436" i="2"/>
  <c r="O435" i="2" s="1"/>
  <c r="N436" i="2"/>
  <c r="N435" i="2" s="1"/>
  <c r="L436" i="2"/>
  <c r="L435" i="2" s="1"/>
  <c r="K436" i="2"/>
  <c r="J436" i="2"/>
  <c r="J435" i="2" s="1"/>
  <c r="I436" i="2"/>
  <c r="H436" i="2"/>
  <c r="H435" i="2" s="1"/>
  <c r="G436" i="2"/>
  <c r="F436" i="2"/>
  <c r="F435" i="2" s="1"/>
  <c r="K435" i="2"/>
  <c r="I435" i="2"/>
  <c r="G435" i="2"/>
  <c r="X433" i="2"/>
  <c r="E434" i="2"/>
  <c r="M434" i="2" s="1"/>
  <c r="Q433" i="2"/>
  <c r="P433" i="2"/>
  <c r="O433" i="2"/>
  <c r="N433" i="2"/>
  <c r="L433" i="2"/>
  <c r="K433" i="2"/>
  <c r="J433" i="2"/>
  <c r="I433" i="2"/>
  <c r="H433" i="2"/>
  <c r="G433" i="2"/>
  <c r="F433" i="2"/>
  <c r="X432" i="2"/>
  <c r="N432" i="2"/>
  <c r="N431" i="2" s="1"/>
  <c r="N430" i="2" s="1"/>
  <c r="L432" i="2"/>
  <c r="L431" i="2" s="1"/>
  <c r="E432" i="2"/>
  <c r="M432" i="2" s="1"/>
  <c r="X431" i="2"/>
  <c r="Q431" i="2"/>
  <c r="Q430" i="2" s="1"/>
  <c r="P431" i="2"/>
  <c r="P430" i="2" s="1"/>
  <c r="O431" i="2"/>
  <c r="O430" i="2" s="1"/>
  <c r="K431" i="2"/>
  <c r="K430" i="2" s="1"/>
  <c r="J431" i="2"/>
  <c r="I431" i="2"/>
  <c r="I430" i="2" s="1"/>
  <c r="H431" i="2"/>
  <c r="H430" i="2" s="1"/>
  <c r="G431" i="2"/>
  <c r="G430" i="2" s="1"/>
  <c r="F431" i="2"/>
  <c r="F430" i="2" s="1"/>
  <c r="E431" i="2"/>
  <c r="J430" i="2"/>
  <c r="P428" i="2"/>
  <c r="E428" i="2"/>
  <c r="M428" i="2" s="1"/>
  <c r="R427" i="2"/>
  <c r="R426" i="2" s="1"/>
  <c r="Q427" i="2"/>
  <c r="Q426" i="2" s="1"/>
  <c r="P427" i="2"/>
  <c r="O427" i="2"/>
  <c r="O426" i="2" s="1"/>
  <c r="N427" i="2"/>
  <c r="L427" i="2"/>
  <c r="L426" i="2" s="1"/>
  <c r="K427" i="2"/>
  <c r="J427" i="2"/>
  <c r="J426" i="2" s="1"/>
  <c r="I427" i="2"/>
  <c r="H427" i="2"/>
  <c r="H426" i="2" s="1"/>
  <c r="G427" i="2"/>
  <c r="G426" i="2" s="1"/>
  <c r="F427" i="2"/>
  <c r="F426" i="2" s="1"/>
  <c r="P426" i="2"/>
  <c r="N426" i="2"/>
  <c r="K426" i="2"/>
  <c r="I426" i="2"/>
  <c r="X424" i="2"/>
  <c r="E425" i="2"/>
  <c r="M425" i="2" s="1"/>
  <c r="Q424" i="2"/>
  <c r="P424" i="2"/>
  <c r="O424" i="2"/>
  <c r="N424" i="2"/>
  <c r="L424" i="2"/>
  <c r="K424" i="2"/>
  <c r="K421" i="2" s="1"/>
  <c r="J424" i="2"/>
  <c r="I424" i="2"/>
  <c r="I421" i="2" s="1"/>
  <c r="H424" i="2"/>
  <c r="G424" i="2"/>
  <c r="G421" i="2" s="1"/>
  <c r="F424" i="2"/>
  <c r="X423" i="2"/>
  <c r="X422" i="2" s="1"/>
  <c r="N423" i="2"/>
  <c r="L423" i="2"/>
  <c r="E423" i="2"/>
  <c r="E422" i="2" s="1"/>
  <c r="Q422" i="2"/>
  <c r="P422" i="2"/>
  <c r="O422" i="2"/>
  <c r="O421" i="2" s="1"/>
  <c r="N422" i="2"/>
  <c r="L422" i="2"/>
  <c r="L421" i="2" s="1"/>
  <c r="K422" i="2"/>
  <c r="J422" i="2"/>
  <c r="J421" i="2" s="1"/>
  <c r="I422" i="2"/>
  <c r="H422" i="2"/>
  <c r="H421" i="2" s="1"/>
  <c r="G422" i="2"/>
  <c r="F422" i="2"/>
  <c r="F421" i="2" s="1"/>
  <c r="D290" i="2" l="1"/>
  <c r="D289" i="2" s="1"/>
  <c r="F294" i="2"/>
  <c r="H294" i="2"/>
  <c r="N421" i="2"/>
  <c r="L430" i="2"/>
  <c r="J294" i="2"/>
  <c r="D293" i="2"/>
  <c r="D292" i="2" s="1"/>
  <c r="L294" i="2"/>
  <c r="E427" i="2"/>
  <c r="E426" i="2" s="1"/>
  <c r="O312" i="2"/>
  <c r="O294" i="2"/>
  <c r="D317" i="2"/>
  <c r="D316" i="2" s="1"/>
  <c r="L448" i="2"/>
  <c r="D281" i="2"/>
  <c r="D280" i="2" s="1"/>
  <c r="E282" i="2"/>
  <c r="O282" i="2"/>
  <c r="E288" i="2"/>
  <c r="G288" i="2"/>
  <c r="I288" i="2"/>
  <c r="K288" i="2"/>
  <c r="M289" i="2"/>
  <c r="M288" i="2" s="1"/>
  <c r="E297" i="2"/>
  <c r="E294" i="2" s="1"/>
  <c r="O300" i="2"/>
  <c r="D305" i="2"/>
  <c r="D304" i="2" s="1"/>
  <c r="O306" i="2"/>
  <c r="E309" i="2"/>
  <c r="E306" i="2" s="1"/>
  <c r="M316" i="2"/>
  <c r="M312" i="2" s="1"/>
  <c r="D446" i="2"/>
  <c r="N448" i="2"/>
  <c r="E454" i="2"/>
  <c r="E453" i="2" s="1"/>
  <c r="N276" i="2"/>
  <c r="P276" i="2"/>
  <c r="D278" i="2"/>
  <c r="D277" i="2" s="1"/>
  <c r="M280" i="2"/>
  <c r="Q288" i="2"/>
  <c r="O288" i="2"/>
  <c r="D302" i="2"/>
  <c r="D301" i="2" s="1"/>
  <c r="M304" i="2"/>
  <c r="M300" i="2" s="1"/>
  <c r="D314" i="2"/>
  <c r="D313" i="2" s="1"/>
  <c r="D312" i="2" s="1"/>
  <c r="R650" i="2"/>
  <c r="R649" i="2" s="1"/>
  <c r="Z649" i="2" s="1"/>
  <c r="X381" i="2"/>
  <c r="D651" i="2"/>
  <c r="D650" i="2" s="1"/>
  <c r="D649" i="2" s="1"/>
  <c r="Z641" i="2"/>
  <c r="D643" i="2"/>
  <c r="D642" i="2" s="1"/>
  <c r="D641" i="2" s="1"/>
  <c r="M285" i="2"/>
  <c r="M282" i="2" s="1"/>
  <c r="D286" i="2"/>
  <c r="D285" i="2" s="1"/>
  <c r="D282" i="2" s="1"/>
  <c r="D298" i="2"/>
  <c r="D297" i="2" s="1"/>
  <c r="D294" i="2" s="1"/>
  <c r="M297" i="2"/>
  <c r="M294" i="2" s="1"/>
  <c r="M450" i="2"/>
  <c r="N282" i="2"/>
  <c r="P282" i="2"/>
  <c r="R448" i="2"/>
  <c r="F282" i="2"/>
  <c r="H282" i="2"/>
  <c r="J282" i="2"/>
  <c r="L282" i="2"/>
  <c r="D300" i="2"/>
  <c r="X312" i="2"/>
  <c r="D322" i="2"/>
  <c r="D321" i="2" s="1"/>
  <c r="D318" i="2" s="1"/>
  <c r="M321" i="2"/>
  <c r="M318" i="2" s="1"/>
  <c r="X300" i="2"/>
  <c r="D310" i="2"/>
  <c r="D309" i="2" s="1"/>
  <c r="D306" i="2" s="1"/>
  <c r="M309" i="2"/>
  <c r="M306" i="2" s="1"/>
  <c r="X288" i="2"/>
  <c r="D288" i="2"/>
  <c r="R276" i="2"/>
  <c r="D276" i="2"/>
  <c r="X276" i="2"/>
  <c r="M277" i="2"/>
  <c r="M276" i="2" s="1"/>
  <c r="D450" i="2"/>
  <c r="D449" i="2" s="1"/>
  <c r="M449" i="2"/>
  <c r="D452" i="2"/>
  <c r="D451" i="2" s="1"/>
  <c r="M451" i="2"/>
  <c r="D455" i="2"/>
  <c r="D454" i="2" s="1"/>
  <c r="D453" i="2" s="1"/>
  <c r="M454" i="2"/>
  <c r="M453" i="2" s="1"/>
  <c r="E451" i="2"/>
  <c r="E448" i="2" s="1"/>
  <c r="X439" i="2"/>
  <c r="D441" i="2"/>
  <c r="D440" i="2" s="1"/>
  <c r="M440" i="2"/>
  <c r="D443" i="2"/>
  <c r="D442" i="2" s="1"/>
  <c r="M442" i="2"/>
  <c r="D445" i="2"/>
  <c r="D444" i="2" s="1"/>
  <c r="M445" i="2"/>
  <c r="M444" i="2" s="1"/>
  <c r="E442" i="2"/>
  <c r="E439" i="2" s="1"/>
  <c r="X430" i="2"/>
  <c r="D432" i="2"/>
  <c r="D431" i="2" s="1"/>
  <c r="M431" i="2"/>
  <c r="D434" i="2"/>
  <c r="D433" i="2" s="1"/>
  <c r="M433" i="2"/>
  <c r="E430" i="2"/>
  <c r="D437" i="2"/>
  <c r="D436" i="2" s="1"/>
  <c r="D435" i="2" s="1"/>
  <c r="M436" i="2"/>
  <c r="M435" i="2" s="1"/>
  <c r="E433" i="2"/>
  <c r="E436" i="2"/>
  <c r="E435" i="2" s="1"/>
  <c r="Q421" i="2"/>
  <c r="X421" i="2"/>
  <c r="P421" i="2"/>
  <c r="D425" i="2"/>
  <c r="D424" i="2" s="1"/>
  <c r="M424" i="2"/>
  <c r="D428" i="2"/>
  <c r="D427" i="2" s="1"/>
  <c r="D426" i="2" s="1"/>
  <c r="M427" i="2"/>
  <c r="M426" i="2" s="1"/>
  <c r="M423" i="2"/>
  <c r="E424" i="2"/>
  <c r="E421" i="2" s="1"/>
  <c r="M448" i="2" l="1"/>
  <c r="D448" i="2"/>
  <c r="M439" i="2"/>
  <c r="D439" i="2"/>
  <c r="D430" i="2"/>
  <c r="M430" i="2"/>
  <c r="D423" i="2"/>
  <c r="D422" i="2" s="1"/>
  <c r="D421" i="2" s="1"/>
  <c r="M422" i="2"/>
  <c r="M421" i="2" s="1"/>
  <c r="M412" i="2"/>
  <c r="M381" i="2" s="1"/>
  <c r="N411" i="2"/>
  <c r="N410" i="2" s="1"/>
  <c r="M417" i="2"/>
  <c r="L416" i="2"/>
  <c r="K416" i="2"/>
  <c r="J416" i="2"/>
  <c r="I416" i="2"/>
  <c r="H416" i="2"/>
  <c r="G416" i="2"/>
  <c r="F416" i="2"/>
  <c r="E416" i="2"/>
  <c r="O410" i="2"/>
  <c r="P410" i="2"/>
  <c r="Q410" i="2"/>
  <c r="R410" i="2"/>
  <c r="R409" i="2" s="1"/>
  <c r="D412" i="2"/>
  <c r="D381" i="2" s="1"/>
  <c r="E411" i="2"/>
  <c r="M411" i="2" s="1"/>
  <c r="L410" i="2"/>
  <c r="K410" i="2"/>
  <c r="J410" i="2"/>
  <c r="I410" i="2"/>
  <c r="H410" i="2"/>
  <c r="G410" i="2"/>
  <c r="F410" i="2"/>
  <c r="E410" i="2"/>
  <c r="N416" i="2"/>
  <c r="X412" i="2"/>
  <c r="P419" i="2"/>
  <c r="E419" i="2"/>
  <c r="M419" i="2" s="1"/>
  <c r="R418" i="2"/>
  <c r="R415" i="2" s="1"/>
  <c r="Q418" i="2"/>
  <c r="Q415" i="2" s="1"/>
  <c r="P418" i="2"/>
  <c r="P415" i="2" s="1"/>
  <c r="O418" i="2"/>
  <c r="O415" i="2" s="1"/>
  <c r="N418" i="2"/>
  <c r="L418" i="2"/>
  <c r="K418" i="2"/>
  <c r="J418" i="2"/>
  <c r="I418" i="2"/>
  <c r="H418" i="2"/>
  <c r="G418" i="2"/>
  <c r="F418" i="2"/>
  <c r="E414" i="2"/>
  <c r="M414" i="2" s="1"/>
  <c r="X413" i="2"/>
  <c r="Q413" i="2"/>
  <c r="P413" i="2"/>
  <c r="O413" i="2"/>
  <c r="N413" i="2"/>
  <c r="L413" i="2"/>
  <c r="K413" i="2"/>
  <c r="J413" i="2"/>
  <c r="I413" i="2"/>
  <c r="H413" i="2"/>
  <c r="G413" i="2"/>
  <c r="F413" i="2"/>
  <c r="X411" i="2"/>
  <c r="X410" i="2" s="1"/>
  <c r="R406" i="2"/>
  <c r="R405" i="2" s="1"/>
  <c r="Q407" i="2"/>
  <c r="P407" i="2"/>
  <c r="Q403" i="2"/>
  <c r="Q401" i="2"/>
  <c r="P402" i="2"/>
  <c r="L582" i="2"/>
  <c r="L581" i="2" s="1"/>
  <c r="M579" i="2"/>
  <c r="M580" i="2"/>
  <c r="P388" i="2" l="1"/>
  <c r="E413" i="2"/>
  <c r="E418" i="2"/>
  <c r="N415" i="2"/>
  <c r="F409" i="2"/>
  <c r="H409" i="2"/>
  <c r="J409" i="2"/>
  <c r="L409" i="2"/>
  <c r="Q409" i="2"/>
  <c r="O409" i="2"/>
  <c r="F415" i="2"/>
  <c r="H415" i="2"/>
  <c r="J415" i="2"/>
  <c r="L415" i="2"/>
  <c r="N409" i="2"/>
  <c r="Q388" i="2"/>
  <c r="E409" i="2"/>
  <c r="G409" i="2"/>
  <c r="I409" i="2"/>
  <c r="K409" i="2"/>
  <c r="D411" i="2"/>
  <c r="M410" i="2"/>
  <c r="P409" i="2"/>
  <c r="E415" i="2"/>
  <c r="G415" i="2"/>
  <c r="I415" i="2"/>
  <c r="K415" i="2"/>
  <c r="D417" i="2"/>
  <c r="M386" i="2"/>
  <c r="M385" i="2" s="1"/>
  <c r="X409" i="2"/>
  <c r="D414" i="2"/>
  <c r="D413" i="2" s="1"/>
  <c r="M413" i="2"/>
  <c r="D419" i="2"/>
  <c r="D418" i="2" s="1"/>
  <c r="M418" i="2"/>
  <c r="Q400" i="2"/>
  <c r="M416" i="2"/>
  <c r="M415" i="2" s="1"/>
  <c r="D410" i="2"/>
  <c r="D409" i="2" s="1"/>
  <c r="R544" i="2"/>
  <c r="Q544" i="2"/>
  <c r="P544" i="2"/>
  <c r="P600" i="2"/>
  <c r="P601" i="2"/>
  <c r="M602" i="2"/>
  <c r="D602" i="2" s="1"/>
  <c r="D601" i="2" s="1"/>
  <c r="D600" i="2" s="1"/>
  <c r="N601" i="2"/>
  <c r="L601" i="2"/>
  <c r="L600" i="2" s="1"/>
  <c r="K601" i="2"/>
  <c r="J601" i="2"/>
  <c r="I601" i="2"/>
  <c r="H601" i="2"/>
  <c r="G601" i="2"/>
  <c r="F601" i="2"/>
  <c r="E601" i="2"/>
  <c r="N600" i="2"/>
  <c r="K600" i="2"/>
  <c r="J600" i="2"/>
  <c r="I600" i="2"/>
  <c r="H600" i="2"/>
  <c r="G600" i="2"/>
  <c r="F600" i="2"/>
  <c r="E600" i="2"/>
  <c r="D416" i="2" l="1"/>
  <c r="D415" i="2" s="1"/>
  <c r="D386" i="2"/>
  <c r="D385" i="2" s="1"/>
  <c r="M409" i="2"/>
  <c r="M601" i="2"/>
  <c r="M600" i="2" s="1"/>
  <c r="D79" i="3"/>
  <c r="D80" i="3"/>
  <c r="M83" i="9" l="1"/>
  <c r="M81" i="9"/>
  <c r="T148" i="8" l="1"/>
  <c r="U148" i="8"/>
  <c r="V148" i="8"/>
  <c r="W148" i="8"/>
  <c r="T145" i="8"/>
  <c r="T144" i="8" s="1"/>
  <c r="U145" i="8"/>
  <c r="U144" i="8" s="1"/>
  <c r="V145" i="8"/>
  <c r="W145" i="8"/>
  <c r="W144" i="8" s="1"/>
  <c r="T142" i="8"/>
  <c r="U142" i="8"/>
  <c r="V142" i="8"/>
  <c r="W142" i="8"/>
  <c r="T139" i="8"/>
  <c r="T138" i="8" s="1"/>
  <c r="U139" i="8"/>
  <c r="U138" i="8" s="1"/>
  <c r="V139" i="8"/>
  <c r="V138" i="8" s="1"/>
  <c r="W139" i="8"/>
  <c r="T253" i="1"/>
  <c r="M38" i="3"/>
  <c r="M41" i="3"/>
  <c r="M44" i="3"/>
  <c r="W138" i="8" l="1"/>
  <c r="V144" i="8"/>
  <c r="U253" i="1"/>
  <c r="M50" i="8" l="1"/>
  <c r="L26" i="6" l="1"/>
  <c r="K26" i="6"/>
  <c r="J26" i="6"/>
  <c r="I26" i="6"/>
  <c r="H26" i="6"/>
  <c r="G26" i="6"/>
  <c r="F26" i="6"/>
  <c r="E26" i="6"/>
  <c r="D42" i="13" l="1"/>
  <c r="R205" i="6"/>
  <c r="D203" i="6"/>
  <c r="M17" i="5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60" i="13"/>
  <c r="T10" i="13" l="1"/>
  <c r="S10" i="13"/>
  <c r="R10" i="13"/>
  <c r="Q10" i="13"/>
  <c r="P10" i="13"/>
  <c r="P55" i="13" l="1"/>
  <c r="Q55" i="13"/>
  <c r="R55" i="13"/>
  <c r="S55" i="13"/>
  <c r="T55" i="13"/>
  <c r="O55" i="13"/>
  <c r="R23" i="1"/>
  <c r="J23" i="1"/>
  <c r="O13" i="13"/>
  <c r="W13" i="13"/>
  <c r="V13" i="13"/>
  <c r="U13" i="13"/>
  <c r="T13" i="13"/>
  <c r="S13" i="13"/>
  <c r="R13" i="13"/>
  <c r="Q13" i="13"/>
  <c r="W21" i="13"/>
  <c r="N20" i="13"/>
  <c r="O20" i="13"/>
  <c r="P20" i="13"/>
  <c r="V20" i="13"/>
  <c r="W20" i="13"/>
  <c r="M20" i="13"/>
  <c r="N21" i="13"/>
  <c r="P21" i="13"/>
  <c r="Q21" i="13"/>
  <c r="R21" i="13"/>
  <c r="S21" i="13"/>
  <c r="S20" i="13" s="1"/>
  <c r="T21" i="13"/>
  <c r="U21" i="13"/>
  <c r="U20" i="13" s="1"/>
  <c r="V21" i="13"/>
  <c r="M21" i="13"/>
  <c r="U10" i="13"/>
  <c r="V10" i="13"/>
  <c r="W10" i="13"/>
  <c r="X56" i="13"/>
  <c r="X59" i="13"/>
  <c r="O56" i="13"/>
  <c r="D57" i="13"/>
  <c r="D56" i="13" s="1"/>
  <c r="D58" i="13"/>
  <c r="Q56" i="13"/>
  <c r="R56" i="13"/>
  <c r="S56" i="13"/>
  <c r="T56" i="13"/>
  <c r="P56" i="13"/>
  <c r="D65" i="13"/>
  <c r="D63" i="13"/>
  <c r="D62" i="13" s="1"/>
  <c r="U62" i="13"/>
  <c r="U64" i="13"/>
  <c r="D60" i="13"/>
  <c r="D59" i="13" s="1"/>
  <c r="P59" i="13"/>
  <c r="Q59" i="13"/>
  <c r="R59" i="13"/>
  <c r="S59" i="13"/>
  <c r="T59" i="13"/>
  <c r="O59" i="13"/>
  <c r="Q62" i="13"/>
  <c r="R62" i="13"/>
  <c r="S62" i="13"/>
  <c r="T62" i="13"/>
  <c r="P62" i="13"/>
  <c r="P61" i="13" s="1"/>
  <c r="D64" i="13"/>
  <c r="Q64" i="13"/>
  <c r="R64" i="13"/>
  <c r="R61" i="13" s="1"/>
  <c r="S64" i="13"/>
  <c r="S61" i="13" s="1"/>
  <c r="T64" i="13"/>
  <c r="X14" i="13" l="1"/>
  <c r="X13" i="13" s="1"/>
  <c r="P13" i="13"/>
  <c r="V23" i="1"/>
  <c r="U23" i="1"/>
  <c r="D20" i="13"/>
  <c r="T20" i="13"/>
  <c r="R20" i="13"/>
  <c r="Q20" i="13"/>
  <c r="X55" i="13"/>
  <c r="Q61" i="13"/>
  <c r="D55" i="13"/>
  <c r="T61" i="13"/>
  <c r="U61" i="13"/>
  <c r="D61" i="13"/>
  <c r="O99" i="4" l="1"/>
  <c r="O102" i="4"/>
  <c r="R154" i="6" l="1"/>
  <c r="Q154" i="6"/>
  <c r="P154" i="6"/>
  <c r="R158" i="6"/>
  <c r="Q158" i="6"/>
  <c r="P158" i="6"/>
  <c r="R164" i="6"/>
  <c r="Q164" i="6"/>
  <c r="P164" i="6"/>
  <c r="R168" i="6"/>
  <c r="Q168" i="6"/>
  <c r="P168" i="6"/>
  <c r="R172" i="6"/>
  <c r="Q172" i="6"/>
  <c r="P172" i="6"/>
  <c r="R179" i="6"/>
  <c r="Q179" i="6"/>
  <c r="P179" i="6"/>
  <c r="P178" i="6" s="1"/>
  <c r="T187" i="6"/>
  <c r="S187" i="6"/>
  <c r="R187" i="6"/>
  <c r="T191" i="6"/>
  <c r="S191" i="6"/>
  <c r="R191" i="6"/>
  <c r="R195" i="6"/>
  <c r="T199" i="6"/>
  <c r="S199" i="6"/>
  <c r="T206" i="6"/>
  <c r="S206" i="6"/>
  <c r="P148" i="6" l="1"/>
  <c r="P42" i="5"/>
  <c r="P37" i="5"/>
  <c r="D65" i="5"/>
  <c r="D66" i="5"/>
  <c r="D67" i="5"/>
  <c r="Q69" i="5"/>
  <c r="Q68" i="5" s="1"/>
  <c r="D70" i="5"/>
  <c r="D69" i="5" s="1"/>
  <c r="D68" i="5" s="1"/>
  <c r="X65" i="5"/>
  <c r="X66" i="5"/>
  <c r="X67" i="5"/>
  <c r="Q65" i="5"/>
  <c r="P65" i="5"/>
  <c r="Q66" i="5"/>
  <c r="P66" i="5"/>
  <c r="P68" i="5"/>
  <c r="P69" i="5"/>
  <c r="O500" i="2" l="1"/>
  <c r="O510" i="2"/>
  <c r="O508" i="2"/>
  <c r="N510" i="2"/>
  <c r="N508" i="2"/>
  <c r="P503" i="2"/>
  <c r="N500" i="2"/>
  <c r="O494" i="2"/>
  <c r="N494" i="2"/>
  <c r="N492" i="2"/>
  <c r="O492" i="2"/>
  <c r="O491" i="2"/>
  <c r="L490" i="2"/>
  <c r="O513" i="2" l="1"/>
  <c r="O106" i="4" l="1"/>
  <c r="P108" i="4"/>
  <c r="P110" i="4"/>
  <c r="O110" i="4"/>
  <c r="P113" i="4"/>
  <c r="P115" i="4"/>
  <c r="O115" i="4"/>
  <c r="M43" i="4"/>
  <c r="O45" i="4"/>
  <c r="O47" i="4"/>
  <c r="O50" i="4"/>
  <c r="O52" i="4"/>
  <c r="M52" i="4"/>
  <c r="M81" i="7" l="1"/>
  <c r="X79" i="9" l="1"/>
  <c r="D466" i="2" l="1"/>
  <c r="D467" i="2"/>
  <c r="P464" i="2"/>
  <c r="P383" i="2" s="1"/>
  <c r="S464" i="2"/>
  <c r="S383" i="2" s="1"/>
  <c r="R464" i="2"/>
  <c r="R383" i="2" s="1"/>
  <c r="Q464" i="2"/>
  <c r="Q383" i="2" s="1"/>
  <c r="P380" i="2"/>
  <c r="P14" i="2" s="1"/>
  <c r="S459" i="2"/>
  <c r="S380" i="2" s="1"/>
  <c r="R459" i="2"/>
  <c r="Q380" i="2"/>
  <c r="D462" i="2"/>
  <c r="D461" i="2"/>
  <c r="R380" i="2" l="1"/>
  <c r="D459" i="2"/>
  <c r="D458" i="2" s="1"/>
  <c r="X380" i="2"/>
  <c r="D464" i="2"/>
  <c r="P458" i="2"/>
  <c r="K187" i="8"/>
  <c r="L187" i="8"/>
  <c r="K188" i="8"/>
  <c r="L188" i="8"/>
  <c r="K193" i="8"/>
  <c r="L193" i="8"/>
  <c r="K194" i="8"/>
  <c r="L194" i="8"/>
  <c r="Z120" i="4" l="1"/>
  <c r="W86" i="1" s="1"/>
  <c r="O635" i="2"/>
  <c r="E210" i="6"/>
  <c r="F210" i="6"/>
  <c r="G210" i="6"/>
  <c r="H210" i="6"/>
  <c r="I210" i="6"/>
  <c r="J210" i="6"/>
  <c r="K210" i="6"/>
  <c r="L210" i="6"/>
  <c r="N210" i="6"/>
  <c r="O210" i="6"/>
  <c r="P210" i="6"/>
  <c r="Q210" i="6"/>
  <c r="R210" i="6"/>
  <c r="X370" i="2"/>
  <c r="X369" i="2" s="1"/>
  <c r="X367" i="2"/>
  <c r="X366" i="2"/>
  <c r="X357" i="2"/>
  <c r="X356" i="2" s="1"/>
  <c r="X355" i="2"/>
  <c r="X353" i="2" s="1"/>
  <c r="X352" i="2" s="1"/>
  <c r="X365" i="2" l="1"/>
  <c r="X364" i="2" s="1"/>
  <c r="W23" i="6" l="1"/>
  <c r="V23" i="6"/>
  <c r="U23" i="6"/>
  <c r="T23" i="6"/>
  <c r="S23" i="6"/>
  <c r="R23" i="6"/>
  <c r="Q23" i="6"/>
  <c r="W16" i="6"/>
  <c r="V16" i="6"/>
  <c r="U16" i="6"/>
  <c r="T16" i="6"/>
  <c r="S16" i="6"/>
  <c r="R16" i="6"/>
  <c r="Q16" i="6"/>
  <c r="P16" i="6"/>
  <c r="X211" i="6"/>
  <c r="D213" i="6"/>
  <c r="D211" i="6"/>
  <c r="E277" i="6"/>
  <c r="F277" i="6"/>
  <c r="G277" i="6"/>
  <c r="H277" i="6"/>
  <c r="I277" i="6"/>
  <c r="J277" i="6"/>
  <c r="K277" i="6"/>
  <c r="L277" i="6"/>
  <c r="M277" i="6"/>
  <c r="N277" i="6"/>
  <c r="O277" i="6"/>
  <c r="V276" i="6"/>
  <c r="V275" i="6"/>
  <c r="U276" i="6"/>
  <c r="U275" i="6"/>
  <c r="T276" i="6"/>
  <c r="T275" i="6"/>
  <c r="S276" i="6"/>
  <c r="S275" i="6"/>
  <c r="R276" i="6"/>
  <c r="R275" i="6"/>
  <c r="Q276" i="6"/>
  <c r="Q275" i="6"/>
  <c r="P276" i="6"/>
  <c r="P275" i="6"/>
  <c r="M220" i="6"/>
  <c r="D220" i="6" s="1"/>
  <c r="D219" i="6" s="1"/>
  <c r="R219" i="6"/>
  <c r="Q219" i="6"/>
  <c r="P219" i="6"/>
  <c r="O219" i="6"/>
  <c r="N219" i="6"/>
  <c r="L219" i="6"/>
  <c r="K219" i="6"/>
  <c r="J219" i="6"/>
  <c r="J216" i="6" s="1"/>
  <c r="I219" i="6"/>
  <c r="H219" i="6"/>
  <c r="H216" i="6" s="1"/>
  <c r="G219" i="6"/>
  <c r="F219" i="6"/>
  <c r="F216" i="6" s="1"/>
  <c r="E219" i="6"/>
  <c r="M218" i="6"/>
  <c r="D218" i="6" s="1"/>
  <c r="D217" i="6" s="1"/>
  <c r="D216" i="6" s="1"/>
  <c r="R217" i="6"/>
  <c r="Q217" i="6"/>
  <c r="Q216" i="6" s="1"/>
  <c r="P217" i="6"/>
  <c r="O217" i="6"/>
  <c r="O216" i="6" s="1"/>
  <c r="N217" i="6"/>
  <c r="M217" i="6"/>
  <c r="L217" i="6"/>
  <c r="K217" i="6"/>
  <c r="K216" i="6" s="1"/>
  <c r="J217" i="6"/>
  <c r="I217" i="6"/>
  <c r="I216" i="6" s="1"/>
  <c r="H217" i="6"/>
  <c r="G217" i="6"/>
  <c r="G216" i="6" s="1"/>
  <c r="F217" i="6"/>
  <c r="E217" i="6"/>
  <c r="E216" i="6" s="1"/>
  <c r="R216" i="6"/>
  <c r="P216" i="6"/>
  <c r="N216" i="6"/>
  <c r="L216" i="6"/>
  <c r="X215" i="6"/>
  <c r="X214" i="6" s="1"/>
  <c r="M215" i="6"/>
  <c r="D215" i="6" s="1"/>
  <c r="R214" i="6"/>
  <c r="R209" i="6" s="1"/>
  <c r="Q214" i="6"/>
  <c r="Q209" i="6" s="1"/>
  <c r="P214" i="6"/>
  <c r="O214" i="6"/>
  <c r="O209" i="6" s="1"/>
  <c r="N214" i="6"/>
  <c r="N209" i="6" s="1"/>
  <c r="M214" i="6"/>
  <c r="L214" i="6"/>
  <c r="L209" i="6" s="1"/>
  <c r="K214" i="6"/>
  <c r="K209" i="6" s="1"/>
  <c r="J214" i="6"/>
  <c r="J209" i="6" s="1"/>
  <c r="I214" i="6"/>
  <c r="I209" i="6" s="1"/>
  <c r="H214" i="6"/>
  <c r="G214" i="6"/>
  <c r="G209" i="6" s="1"/>
  <c r="F214" i="6"/>
  <c r="F209" i="6" s="1"/>
  <c r="E214" i="6"/>
  <c r="E209" i="6" s="1"/>
  <c r="X212" i="6"/>
  <c r="M212" i="6"/>
  <c r="D212" i="6" s="1"/>
  <c r="P209" i="6"/>
  <c r="H209" i="6"/>
  <c r="D214" i="6" l="1"/>
  <c r="X210" i="6"/>
  <c r="M210" i="6"/>
  <c r="M209" i="6" s="1"/>
  <c r="D210" i="6"/>
  <c r="D209" i="6" s="1"/>
  <c r="Q277" i="6"/>
  <c r="R277" i="6"/>
  <c r="S277" i="6"/>
  <c r="T277" i="6"/>
  <c r="X209" i="6"/>
  <c r="U277" i="6"/>
  <c r="P277" i="6"/>
  <c r="V277" i="6"/>
  <c r="M219" i="6"/>
  <c r="M216" i="6" s="1"/>
  <c r="E13" i="7" l="1"/>
  <c r="F13" i="7"/>
  <c r="G13" i="7"/>
  <c r="H13" i="7"/>
  <c r="I13" i="7"/>
  <c r="J13" i="7"/>
  <c r="K13" i="7"/>
  <c r="L13" i="7"/>
  <c r="N13" i="7"/>
  <c r="O13" i="7"/>
  <c r="O83" i="7"/>
  <c r="J81" i="7"/>
  <c r="M82" i="7"/>
  <c r="D82" i="7" s="1"/>
  <c r="D81" i="7" s="1"/>
  <c r="P52" i="7"/>
  <c r="O52" i="7"/>
  <c r="O49" i="7"/>
  <c r="O47" i="7"/>
  <c r="F13" i="3"/>
  <c r="G13" i="3"/>
  <c r="H13" i="3"/>
  <c r="I13" i="3"/>
  <c r="J13" i="3"/>
  <c r="K13" i="3"/>
  <c r="L13" i="3"/>
  <c r="N13" i="3"/>
  <c r="X175" i="3"/>
  <c r="X464" i="2" l="1"/>
  <c r="X463" i="2" s="1"/>
  <c r="X459" i="2"/>
  <c r="D463" i="2"/>
  <c r="D470" i="2"/>
  <c r="Q458" i="2"/>
  <c r="R458" i="2"/>
  <c r="S458" i="2"/>
  <c r="Q463" i="2"/>
  <c r="R463" i="2"/>
  <c r="S463" i="2"/>
  <c r="P463" i="2"/>
  <c r="P457" i="2" s="1"/>
  <c r="R469" i="2"/>
  <c r="R468" i="2" s="1"/>
  <c r="S469" i="2"/>
  <c r="S468" i="2" s="1"/>
  <c r="Q469" i="2"/>
  <c r="Q468" i="2" s="1"/>
  <c r="Q457" i="2" l="1"/>
  <c r="R457" i="2"/>
  <c r="Z470" i="2"/>
  <c r="S457" i="2"/>
  <c r="X458" i="2"/>
  <c r="X457" i="2" s="1"/>
  <c r="D457" i="2"/>
  <c r="D468" i="2"/>
  <c r="D469" i="2"/>
  <c r="Q214" i="3"/>
  <c r="O214" i="3"/>
  <c r="Q211" i="3"/>
  <c r="O211" i="3"/>
  <c r="P159" i="3"/>
  <c r="O159" i="3"/>
  <c r="P154" i="3"/>
  <c r="O154" i="3"/>
  <c r="P151" i="3"/>
  <c r="O151" i="3"/>
  <c r="O87" i="8" l="1"/>
  <c r="O84" i="8"/>
  <c r="O82" i="8"/>
  <c r="P76" i="8"/>
  <c r="O76" i="8"/>
  <c r="P73" i="8"/>
  <c r="O73" i="8"/>
  <c r="P72" i="8"/>
  <c r="P71" i="8"/>
  <c r="O71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375" i="2"/>
  <c r="R375" i="2"/>
  <c r="M373" i="2"/>
  <c r="D373" i="2" s="1"/>
  <c r="D367" i="2"/>
  <c r="Q369" i="2"/>
  <c r="R369" i="2"/>
  <c r="F372" i="2"/>
  <c r="G372" i="2"/>
  <c r="H372" i="2"/>
  <c r="I372" i="2"/>
  <c r="J372" i="2"/>
  <c r="K372" i="2"/>
  <c r="L372" i="2"/>
  <c r="N372" i="2"/>
  <c r="O372" i="2"/>
  <c r="P372" i="2"/>
  <c r="Q372" i="2"/>
  <c r="Q371" i="2" s="1"/>
  <c r="R372" i="2"/>
  <c r="F365" i="2"/>
  <c r="G365" i="2"/>
  <c r="H365" i="2"/>
  <c r="I365" i="2"/>
  <c r="J365" i="2"/>
  <c r="K365" i="2"/>
  <c r="L365" i="2"/>
  <c r="N365" i="2"/>
  <c r="O365" i="2"/>
  <c r="P365" i="2"/>
  <c r="Q365" i="2"/>
  <c r="Q364" i="2" s="1"/>
  <c r="R365" i="2"/>
  <c r="Q361" i="2"/>
  <c r="E359" i="2"/>
  <c r="F359" i="2"/>
  <c r="G359" i="2"/>
  <c r="H359" i="2"/>
  <c r="I359" i="2"/>
  <c r="J359" i="2"/>
  <c r="K359" i="2"/>
  <c r="L359" i="2"/>
  <c r="M359" i="2"/>
  <c r="N359" i="2"/>
  <c r="O359" i="2"/>
  <c r="P359" i="2"/>
  <c r="Q359" i="2"/>
  <c r="P353" i="2"/>
  <c r="O353" i="2"/>
  <c r="N353" i="2"/>
  <c r="M353" i="2"/>
  <c r="K353" i="2"/>
  <c r="J353" i="2"/>
  <c r="I353" i="2"/>
  <c r="H353" i="2"/>
  <c r="G353" i="2"/>
  <c r="F353" i="2"/>
  <c r="Q353" i="2"/>
  <c r="Q356" i="2"/>
  <c r="D360" i="2"/>
  <c r="D359" i="2" s="1"/>
  <c r="D355" i="2"/>
  <c r="D354" i="2"/>
  <c r="Q358" i="2"/>
  <c r="O114" i="2"/>
  <c r="K96" i="2"/>
  <c r="K52" i="2" s="1"/>
  <c r="K92" i="2"/>
  <c r="K89" i="2"/>
  <c r="K85" i="2"/>
  <c r="K84" i="2"/>
  <c r="O84" i="2"/>
  <c r="P84" i="2"/>
  <c r="P191" i="2"/>
  <c r="P196" i="2"/>
  <c r="O196" i="2"/>
  <c r="O193" i="2"/>
  <c r="O191" i="2"/>
  <c r="N193" i="2"/>
  <c r="N191" i="2"/>
  <c r="O269" i="2"/>
  <c r="O266" i="2"/>
  <c r="P100" i="2"/>
  <c r="O100" i="2"/>
  <c r="P159" i="2"/>
  <c r="O159" i="2"/>
  <c r="Q352" i="2" l="1"/>
  <c r="X41" i="2"/>
  <c r="R371" i="2"/>
  <c r="R364" i="2"/>
  <c r="D353" i="2"/>
  <c r="Q631" i="2"/>
  <c r="O632" i="2"/>
  <c r="O631" i="2"/>
  <c r="O647" i="2"/>
  <c r="R332" i="2"/>
  <c r="R329" i="2"/>
  <c r="Q330" i="2"/>
  <c r="P330" i="2"/>
  <c r="R567" i="2"/>
  <c r="Q567" i="2"/>
  <c r="P567" i="2"/>
  <c r="O567" i="2"/>
  <c r="R328" i="2" l="1"/>
  <c r="Q219" i="3"/>
  <c r="P219" i="3"/>
  <c r="O219" i="3"/>
  <c r="Q120" i="6"/>
  <c r="R132" i="6"/>
  <c r="Q132" i="6"/>
  <c r="P132" i="6"/>
  <c r="O132" i="6"/>
  <c r="R129" i="6"/>
  <c r="Q129" i="6"/>
  <c r="P129" i="6"/>
  <c r="O129" i="6"/>
  <c r="Q128" i="6"/>
  <c r="P128" i="6"/>
  <c r="O128" i="6"/>
  <c r="R120" i="6"/>
  <c r="P120" i="6"/>
  <c r="O120" i="6"/>
  <c r="Q119" i="6"/>
  <c r="P119" i="6"/>
  <c r="O119" i="6"/>
  <c r="T114" i="6"/>
  <c r="S114" i="6"/>
  <c r="R114" i="6"/>
  <c r="Q114" i="6"/>
  <c r="P114" i="6"/>
  <c r="O114" i="6"/>
  <c r="R111" i="6"/>
  <c r="Q111" i="6"/>
  <c r="P111" i="6"/>
  <c r="O111" i="6"/>
  <c r="Q110" i="6"/>
  <c r="P110" i="6"/>
  <c r="O110" i="6"/>
  <c r="Q108" i="6"/>
  <c r="O108" i="6"/>
  <c r="Q107" i="6"/>
  <c r="O107" i="6"/>
  <c r="Q106" i="6"/>
  <c r="O106" i="6"/>
  <c r="R102" i="6"/>
  <c r="Q102" i="6"/>
  <c r="P102" i="6"/>
  <c r="O102" i="6"/>
  <c r="Q101" i="6"/>
  <c r="P101" i="6"/>
  <c r="O101" i="6"/>
  <c r="Q98" i="6"/>
  <c r="O98" i="6"/>
  <c r="O60" i="5" l="1"/>
  <c r="P60" i="5"/>
  <c r="Q149" i="8" l="1"/>
  <c r="Q146" i="8"/>
  <c r="Q143" i="8"/>
  <c r="Q141" i="8"/>
  <c r="O149" i="8"/>
  <c r="O146" i="8"/>
  <c r="O143" i="8"/>
  <c r="O141" i="8"/>
  <c r="D187" i="6" l="1"/>
  <c r="D176" i="6" l="1"/>
  <c r="X187" i="6"/>
  <c r="R194" i="6"/>
  <c r="S194" i="6"/>
  <c r="Q194" i="6"/>
  <c r="X571" i="2" l="1"/>
  <c r="O571" i="2"/>
  <c r="N194" i="6" l="1"/>
  <c r="O194" i="6"/>
  <c r="P194" i="6"/>
  <c r="T194" i="6"/>
  <c r="U194" i="6"/>
  <c r="V194" i="6"/>
  <c r="W194" i="6"/>
  <c r="M194" i="6"/>
  <c r="D196" i="6"/>
  <c r="N202" i="6"/>
  <c r="O202" i="6"/>
  <c r="P202" i="6"/>
  <c r="Q202" i="6"/>
  <c r="R202" i="6"/>
  <c r="S202" i="6"/>
  <c r="T202" i="6"/>
  <c r="U202" i="6"/>
  <c r="V202" i="6"/>
  <c r="W202" i="6"/>
  <c r="M202" i="6"/>
  <c r="X194" i="6" l="1"/>
  <c r="E182" i="6" l="1"/>
  <c r="F182" i="6"/>
  <c r="G182" i="6"/>
  <c r="H182" i="6"/>
  <c r="I182" i="6"/>
  <c r="J182" i="6"/>
  <c r="K182" i="6"/>
  <c r="L182" i="6"/>
  <c r="E136" i="6"/>
  <c r="F136" i="6"/>
  <c r="G136" i="6"/>
  <c r="H136" i="6"/>
  <c r="I136" i="6"/>
  <c r="J136" i="6"/>
  <c r="K136" i="6"/>
  <c r="L136" i="6"/>
  <c r="M136" i="6"/>
  <c r="N136" i="6"/>
  <c r="O136" i="6"/>
  <c r="P136" i="6"/>
  <c r="Q136" i="6"/>
  <c r="R136" i="6"/>
  <c r="S136" i="6"/>
  <c r="T136" i="6"/>
  <c r="U136" i="6"/>
  <c r="V136" i="6"/>
  <c r="W136" i="6"/>
  <c r="E137" i="6"/>
  <c r="F137" i="6"/>
  <c r="G137" i="6"/>
  <c r="H137" i="6"/>
  <c r="I137" i="6"/>
  <c r="J137" i="6"/>
  <c r="K137" i="6"/>
  <c r="L137" i="6"/>
  <c r="M137" i="6"/>
  <c r="M17" i="6" s="1"/>
  <c r="N137" i="6"/>
  <c r="N17" i="6" s="1"/>
  <c r="O137" i="6"/>
  <c r="O17" i="6" s="1"/>
  <c r="P137" i="6"/>
  <c r="P17" i="6" s="1"/>
  <c r="Q137" i="6"/>
  <c r="R137" i="6"/>
  <c r="S137" i="6"/>
  <c r="T137" i="6"/>
  <c r="T17" i="6" s="1"/>
  <c r="U137" i="6"/>
  <c r="U17" i="6" s="1"/>
  <c r="V137" i="6"/>
  <c r="V17" i="6" s="1"/>
  <c r="W137" i="6"/>
  <c r="W17" i="6" s="1"/>
  <c r="E140" i="6"/>
  <c r="F140" i="6"/>
  <c r="G140" i="6"/>
  <c r="H140" i="6"/>
  <c r="I140" i="6"/>
  <c r="J140" i="6"/>
  <c r="K140" i="6"/>
  <c r="L140" i="6"/>
  <c r="M140" i="6"/>
  <c r="N140" i="6"/>
  <c r="O140" i="6"/>
  <c r="P140" i="6"/>
  <c r="Q140" i="6"/>
  <c r="R140" i="6"/>
  <c r="S140" i="6"/>
  <c r="T140" i="6"/>
  <c r="U140" i="6"/>
  <c r="V140" i="6"/>
  <c r="W140" i="6"/>
  <c r="E141" i="6"/>
  <c r="F141" i="6"/>
  <c r="G141" i="6"/>
  <c r="H141" i="6"/>
  <c r="I141" i="6"/>
  <c r="J141" i="6"/>
  <c r="K141" i="6"/>
  <c r="L141" i="6"/>
  <c r="M141" i="6"/>
  <c r="N141" i="6"/>
  <c r="O141" i="6"/>
  <c r="P141" i="6"/>
  <c r="Q141" i="6"/>
  <c r="R141" i="6"/>
  <c r="S141" i="6"/>
  <c r="T141" i="6"/>
  <c r="U141" i="6"/>
  <c r="V141" i="6"/>
  <c r="W141" i="6"/>
  <c r="E142" i="6"/>
  <c r="F142" i="6"/>
  <c r="G142" i="6"/>
  <c r="H142" i="6"/>
  <c r="I142" i="6"/>
  <c r="J142" i="6"/>
  <c r="K142" i="6"/>
  <c r="L142" i="6"/>
  <c r="M142" i="6"/>
  <c r="N142" i="6"/>
  <c r="O142" i="6"/>
  <c r="P142" i="6"/>
  <c r="Q142" i="6"/>
  <c r="R142" i="6"/>
  <c r="S142" i="6"/>
  <c r="T142" i="6"/>
  <c r="U142" i="6"/>
  <c r="V142" i="6"/>
  <c r="W142" i="6"/>
  <c r="E145" i="6"/>
  <c r="F145" i="6"/>
  <c r="G145" i="6"/>
  <c r="H145" i="6"/>
  <c r="I145" i="6"/>
  <c r="J145" i="6"/>
  <c r="K145" i="6"/>
  <c r="L145" i="6"/>
  <c r="M145" i="6"/>
  <c r="N145" i="6"/>
  <c r="N144" i="6" s="1"/>
  <c r="O145" i="6"/>
  <c r="P145" i="6"/>
  <c r="Q145" i="6"/>
  <c r="Q144" i="6" s="1"/>
  <c r="R145" i="6"/>
  <c r="S145" i="6"/>
  <c r="T145" i="6"/>
  <c r="U145" i="6"/>
  <c r="U144" i="6" s="1"/>
  <c r="V145" i="6"/>
  <c r="W145" i="6"/>
  <c r="E148" i="6"/>
  <c r="F148" i="6"/>
  <c r="G148" i="6"/>
  <c r="H148" i="6"/>
  <c r="I148" i="6"/>
  <c r="J148" i="6"/>
  <c r="K148" i="6"/>
  <c r="L148" i="6"/>
  <c r="M148" i="6"/>
  <c r="N148" i="6"/>
  <c r="O148" i="6"/>
  <c r="Q148" i="6"/>
  <c r="R148" i="6"/>
  <c r="S148" i="6"/>
  <c r="T148" i="6"/>
  <c r="U148" i="6"/>
  <c r="V148" i="6"/>
  <c r="W148" i="6"/>
  <c r="E149" i="6"/>
  <c r="F149" i="6"/>
  <c r="G149" i="6"/>
  <c r="H149" i="6"/>
  <c r="I149" i="6"/>
  <c r="J149" i="6"/>
  <c r="K149" i="6"/>
  <c r="L149" i="6"/>
  <c r="M149" i="6"/>
  <c r="N149" i="6"/>
  <c r="O149" i="6"/>
  <c r="P149" i="6"/>
  <c r="Q149" i="6"/>
  <c r="R149" i="6"/>
  <c r="S149" i="6"/>
  <c r="T149" i="6"/>
  <c r="U149" i="6"/>
  <c r="V149" i="6"/>
  <c r="W149" i="6"/>
  <c r="E150" i="6"/>
  <c r="F150" i="6"/>
  <c r="G150" i="6"/>
  <c r="H150" i="6"/>
  <c r="I150" i="6"/>
  <c r="J150" i="6"/>
  <c r="K150" i="6"/>
  <c r="L150" i="6"/>
  <c r="M150" i="6"/>
  <c r="N150" i="6"/>
  <c r="O150" i="6"/>
  <c r="P150" i="6"/>
  <c r="Q150" i="6"/>
  <c r="R150" i="6"/>
  <c r="S150" i="6"/>
  <c r="T150" i="6"/>
  <c r="U150" i="6"/>
  <c r="V150" i="6"/>
  <c r="W150" i="6"/>
  <c r="N153" i="6"/>
  <c r="O153" i="6"/>
  <c r="P153" i="6"/>
  <c r="Q153" i="6"/>
  <c r="R153" i="6"/>
  <c r="S153" i="6"/>
  <c r="T153" i="6"/>
  <c r="U153" i="6"/>
  <c r="V153" i="6"/>
  <c r="W153" i="6"/>
  <c r="M153" i="6"/>
  <c r="X154" i="6"/>
  <c r="X155" i="6"/>
  <c r="X158" i="6"/>
  <c r="N157" i="6"/>
  <c r="N156" i="6" s="1"/>
  <c r="O157" i="6"/>
  <c r="P157" i="6"/>
  <c r="P156" i="6" s="1"/>
  <c r="Q157" i="6"/>
  <c r="Q156" i="6" s="1"/>
  <c r="Q152" i="6" s="1"/>
  <c r="R157" i="6"/>
  <c r="R156" i="6" s="1"/>
  <c r="S157" i="6"/>
  <c r="S156" i="6" s="1"/>
  <c r="S152" i="6" s="1"/>
  <c r="T157" i="6"/>
  <c r="T156" i="6" s="1"/>
  <c r="U157" i="6"/>
  <c r="U156" i="6" s="1"/>
  <c r="U152" i="6" s="1"/>
  <c r="V157" i="6"/>
  <c r="V156" i="6" s="1"/>
  <c r="W157" i="6"/>
  <c r="W156" i="6" s="1"/>
  <c r="W152" i="6" s="1"/>
  <c r="M157" i="6"/>
  <c r="M156" i="6" s="1"/>
  <c r="D154" i="6"/>
  <c r="D155" i="6"/>
  <c r="D158" i="6"/>
  <c r="N160" i="6"/>
  <c r="O160" i="6"/>
  <c r="P160" i="6"/>
  <c r="Q160" i="6"/>
  <c r="R160" i="6"/>
  <c r="S160" i="6"/>
  <c r="T160" i="6"/>
  <c r="U160" i="6"/>
  <c r="V160" i="6"/>
  <c r="W160" i="6"/>
  <c r="M160" i="6"/>
  <c r="D161" i="6"/>
  <c r="N163" i="6"/>
  <c r="O163" i="6"/>
  <c r="P163" i="6"/>
  <c r="Q163" i="6"/>
  <c r="R163" i="6"/>
  <c r="S163" i="6"/>
  <c r="T163" i="6"/>
  <c r="U163" i="6"/>
  <c r="V163" i="6"/>
  <c r="W163" i="6"/>
  <c r="M163" i="6"/>
  <c r="D164" i="6"/>
  <c r="N167" i="6"/>
  <c r="O167" i="6"/>
  <c r="P167" i="6"/>
  <c r="Q167" i="6"/>
  <c r="R167" i="6"/>
  <c r="S167" i="6"/>
  <c r="T167" i="6"/>
  <c r="U167" i="6"/>
  <c r="V167" i="6"/>
  <c r="W167" i="6"/>
  <c r="M167" i="6"/>
  <c r="X168" i="6"/>
  <c r="X169" i="6"/>
  <c r="X172" i="6"/>
  <c r="X173" i="6"/>
  <c r="N171" i="6"/>
  <c r="N170" i="6" s="1"/>
  <c r="O171" i="6"/>
  <c r="O170" i="6" s="1"/>
  <c r="P171" i="6"/>
  <c r="P170" i="6" s="1"/>
  <c r="Q171" i="6"/>
  <c r="Q170" i="6" s="1"/>
  <c r="R171" i="6"/>
  <c r="R170" i="6" s="1"/>
  <c r="S171" i="6"/>
  <c r="S170" i="6" s="1"/>
  <c r="T171" i="6"/>
  <c r="T170" i="6" s="1"/>
  <c r="U171" i="6"/>
  <c r="U170" i="6" s="1"/>
  <c r="V171" i="6"/>
  <c r="V170" i="6" s="1"/>
  <c r="W171" i="6"/>
  <c r="W170" i="6" s="1"/>
  <c r="M171" i="6"/>
  <c r="M170" i="6" s="1"/>
  <c r="D173" i="6"/>
  <c r="D141" i="6" s="1"/>
  <c r="D172" i="6"/>
  <c r="D169" i="6"/>
  <c r="D168" i="6"/>
  <c r="E174" i="6"/>
  <c r="F174" i="6"/>
  <c r="G174" i="6"/>
  <c r="H174" i="6"/>
  <c r="I174" i="6"/>
  <c r="J174" i="6"/>
  <c r="K174" i="6"/>
  <c r="L174" i="6"/>
  <c r="N175" i="6"/>
  <c r="O175" i="6"/>
  <c r="P175" i="6"/>
  <c r="Q175" i="6"/>
  <c r="R175" i="6"/>
  <c r="S175" i="6"/>
  <c r="T175" i="6"/>
  <c r="U175" i="6"/>
  <c r="V175" i="6"/>
  <c r="W175" i="6"/>
  <c r="M175" i="6"/>
  <c r="N178" i="6"/>
  <c r="N177" i="6" s="1"/>
  <c r="O178" i="6"/>
  <c r="O177" i="6" s="1"/>
  <c r="P177" i="6"/>
  <c r="Q178" i="6"/>
  <c r="Q177" i="6" s="1"/>
  <c r="R178" i="6"/>
  <c r="R177" i="6" s="1"/>
  <c r="S178" i="6"/>
  <c r="S177" i="6" s="1"/>
  <c r="T178" i="6"/>
  <c r="T177" i="6" s="1"/>
  <c r="U178" i="6"/>
  <c r="U177" i="6" s="1"/>
  <c r="V178" i="6"/>
  <c r="V177" i="6" s="1"/>
  <c r="W178" i="6"/>
  <c r="W177" i="6" s="1"/>
  <c r="M178" i="6"/>
  <c r="D179" i="6"/>
  <c r="D180" i="6"/>
  <c r="D149" i="6" s="1"/>
  <c r="N183" i="6"/>
  <c r="O183" i="6"/>
  <c r="P183" i="6"/>
  <c r="Q183" i="6"/>
  <c r="R183" i="6"/>
  <c r="S183" i="6"/>
  <c r="T183" i="6"/>
  <c r="U183" i="6"/>
  <c r="V183" i="6"/>
  <c r="W183" i="6"/>
  <c r="M183" i="6"/>
  <c r="D184" i="6"/>
  <c r="X184" i="6"/>
  <c r="N186" i="6"/>
  <c r="N185" i="6" s="1"/>
  <c r="O186" i="6"/>
  <c r="O185" i="6" s="1"/>
  <c r="P186" i="6"/>
  <c r="P185" i="6" s="1"/>
  <c r="Q186" i="6"/>
  <c r="R186" i="6"/>
  <c r="R185" i="6" s="1"/>
  <c r="S186" i="6"/>
  <c r="S185" i="6" s="1"/>
  <c r="T186" i="6"/>
  <c r="T185" i="6" s="1"/>
  <c r="U186" i="6"/>
  <c r="U185" i="6" s="1"/>
  <c r="V186" i="6"/>
  <c r="V185" i="6" s="1"/>
  <c r="W186" i="6"/>
  <c r="W185" i="6" s="1"/>
  <c r="M186" i="6"/>
  <c r="M185" i="6" s="1"/>
  <c r="E188" i="6"/>
  <c r="F188" i="6"/>
  <c r="G188" i="6"/>
  <c r="H188" i="6"/>
  <c r="I188" i="6"/>
  <c r="J188" i="6"/>
  <c r="K188" i="6"/>
  <c r="L188" i="6"/>
  <c r="N190" i="6"/>
  <c r="N189" i="6" s="1"/>
  <c r="O190" i="6"/>
  <c r="O189" i="6" s="1"/>
  <c r="O188" i="6" s="1"/>
  <c r="P190" i="6"/>
  <c r="P189" i="6" s="1"/>
  <c r="P188" i="6" s="1"/>
  <c r="Q190" i="6"/>
  <c r="R190" i="6"/>
  <c r="R189" i="6" s="1"/>
  <c r="R188" i="6" s="1"/>
  <c r="S190" i="6"/>
  <c r="S189" i="6" s="1"/>
  <c r="S188" i="6" s="1"/>
  <c r="T190" i="6"/>
  <c r="T189" i="6" s="1"/>
  <c r="T188" i="6" s="1"/>
  <c r="U190" i="6"/>
  <c r="U189" i="6" s="1"/>
  <c r="U188" i="6" s="1"/>
  <c r="V190" i="6"/>
  <c r="V189" i="6" s="1"/>
  <c r="V188" i="6" s="1"/>
  <c r="W190" i="6"/>
  <c r="W189" i="6" s="1"/>
  <c r="W188" i="6" s="1"/>
  <c r="M190" i="6"/>
  <c r="Q189" i="6"/>
  <c r="Q188" i="6" s="1"/>
  <c r="D191" i="6"/>
  <c r="X195" i="6"/>
  <c r="X196" i="6"/>
  <c r="D195" i="6"/>
  <c r="D206" i="6"/>
  <c r="D275" i="6" s="1"/>
  <c r="D207" i="6"/>
  <c r="D150" i="6" s="1"/>
  <c r="X199" i="6"/>
  <c r="X200" i="6"/>
  <c r="D199" i="6"/>
  <c r="D200" i="6"/>
  <c r="D142" i="6" s="1"/>
  <c r="E198" i="6"/>
  <c r="E197" i="6" s="1"/>
  <c r="E193" i="6" s="1"/>
  <c r="F198" i="6"/>
  <c r="F197" i="6" s="1"/>
  <c r="F193" i="6" s="1"/>
  <c r="G198" i="6"/>
  <c r="G197" i="6" s="1"/>
  <c r="G193" i="6" s="1"/>
  <c r="H198" i="6"/>
  <c r="H197" i="6" s="1"/>
  <c r="H193" i="6" s="1"/>
  <c r="I198" i="6"/>
  <c r="I197" i="6" s="1"/>
  <c r="I193" i="6" s="1"/>
  <c r="J198" i="6"/>
  <c r="J197" i="6" s="1"/>
  <c r="J193" i="6" s="1"/>
  <c r="K198" i="6"/>
  <c r="K197" i="6" s="1"/>
  <c r="K193" i="6" s="1"/>
  <c r="L198" i="6"/>
  <c r="L197" i="6" s="1"/>
  <c r="L193" i="6" s="1"/>
  <c r="M198" i="6"/>
  <c r="M197" i="6" s="1"/>
  <c r="N198" i="6"/>
  <c r="N197" i="6" s="1"/>
  <c r="O198" i="6"/>
  <c r="O197" i="6" s="1"/>
  <c r="P198" i="6"/>
  <c r="P197" i="6" s="1"/>
  <c r="P193" i="6" s="1"/>
  <c r="Q198" i="6"/>
  <c r="Q197" i="6" s="1"/>
  <c r="R198" i="6"/>
  <c r="R197" i="6" s="1"/>
  <c r="S198" i="6"/>
  <c r="S197" i="6" s="1"/>
  <c r="T198" i="6"/>
  <c r="T197" i="6" s="1"/>
  <c r="T193" i="6" s="1"/>
  <c r="U198" i="6"/>
  <c r="U197" i="6" s="1"/>
  <c r="V198" i="6"/>
  <c r="V197" i="6" s="1"/>
  <c r="W198" i="6"/>
  <c r="W197" i="6" s="1"/>
  <c r="E202" i="6"/>
  <c r="F202" i="6"/>
  <c r="G202" i="6"/>
  <c r="H202" i="6"/>
  <c r="I202" i="6"/>
  <c r="J202" i="6"/>
  <c r="K202" i="6"/>
  <c r="L202" i="6"/>
  <c r="E205" i="6"/>
  <c r="E147" i="6" s="1"/>
  <c r="F205" i="6"/>
  <c r="F147" i="6" s="1"/>
  <c r="G205" i="6"/>
  <c r="G147" i="6" s="1"/>
  <c r="H205" i="6"/>
  <c r="H147" i="6" s="1"/>
  <c r="I205" i="6"/>
  <c r="I147" i="6" s="1"/>
  <c r="J205" i="6"/>
  <c r="J147" i="6" s="1"/>
  <c r="K205" i="6"/>
  <c r="K147" i="6" s="1"/>
  <c r="L205" i="6"/>
  <c r="L147" i="6" s="1"/>
  <c r="M205" i="6"/>
  <c r="N205" i="6"/>
  <c r="O205" i="6"/>
  <c r="P205" i="6"/>
  <c r="Q205" i="6"/>
  <c r="S205" i="6"/>
  <c r="T205" i="6"/>
  <c r="U205" i="6"/>
  <c r="V205" i="6"/>
  <c r="V204" i="6" s="1"/>
  <c r="W205" i="6"/>
  <c r="W204" i="6" s="1"/>
  <c r="W201" i="6" s="1"/>
  <c r="P147" i="6" l="1"/>
  <c r="M204" i="6"/>
  <c r="D205" i="6"/>
  <c r="X141" i="6"/>
  <c r="D276" i="6"/>
  <c r="D137" i="6"/>
  <c r="D17" i="6" s="1"/>
  <c r="X153" i="6"/>
  <c r="N139" i="6"/>
  <c r="N138" i="6" s="1"/>
  <c r="L139" i="6"/>
  <c r="L138" i="6" s="1"/>
  <c r="J139" i="6"/>
  <c r="J138" i="6" s="1"/>
  <c r="H139" i="6"/>
  <c r="H138" i="6" s="1"/>
  <c r="F139" i="6"/>
  <c r="F138" i="6" s="1"/>
  <c r="M189" i="6"/>
  <c r="M188" i="6" s="1"/>
  <c r="D190" i="6"/>
  <c r="D148" i="6"/>
  <c r="W147" i="6"/>
  <c r="W26" i="6" s="1"/>
  <c r="U147" i="6"/>
  <c r="U26" i="6" s="1"/>
  <c r="S147" i="6"/>
  <c r="S26" i="6" s="1"/>
  <c r="Q147" i="6"/>
  <c r="O147" i="6"/>
  <c r="O26" i="6" s="1"/>
  <c r="T147" i="6"/>
  <c r="T26" i="6" s="1"/>
  <c r="R147" i="6"/>
  <c r="N147" i="6"/>
  <c r="N26" i="6" s="1"/>
  <c r="M147" i="6"/>
  <c r="D163" i="6"/>
  <c r="V162" i="6"/>
  <c r="V147" i="6"/>
  <c r="V26" i="6" s="1"/>
  <c r="L204" i="6"/>
  <c r="L146" i="6"/>
  <c r="J204" i="6"/>
  <c r="J201" i="6" s="1"/>
  <c r="H204" i="6"/>
  <c r="H146" i="6"/>
  <c r="F204" i="6"/>
  <c r="J146" i="6"/>
  <c r="F146" i="6"/>
  <c r="K204" i="6"/>
  <c r="K201" i="6" s="1"/>
  <c r="K146" i="6"/>
  <c r="I204" i="6"/>
  <c r="I201" i="6" s="1"/>
  <c r="I146" i="6"/>
  <c r="G204" i="6"/>
  <c r="G201" i="6" s="1"/>
  <c r="G146" i="6"/>
  <c r="E204" i="6"/>
  <c r="E201" i="6" s="1"/>
  <c r="E146" i="6"/>
  <c r="T162" i="6"/>
  <c r="T159" i="6" s="1"/>
  <c r="R162" i="6"/>
  <c r="R159" i="6" s="1"/>
  <c r="P162" i="6"/>
  <c r="P159" i="6" s="1"/>
  <c r="N162" i="6"/>
  <c r="N159" i="6" s="1"/>
  <c r="D277" i="6"/>
  <c r="D160" i="6"/>
  <c r="V166" i="6"/>
  <c r="T166" i="6"/>
  <c r="R166" i="6"/>
  <c r="P166" i="6"/>
  <c r="W135" i="6"/>
  <c r="U135" i="6"/>
  <c r="O135" i="6"/>
  <c r="M135" i="6"/>
  <c r="W182" i="6"/>
  <c r="W279" i="6" s="1"/>
  <c r="S182" i="6"/>
  <c r="S279" i="6" s="1"/>
  <c r="O182" i="6"/>
  <c r="W174" i="6"/>
  <c r="U174" i="6"/>
  <c r="S174" i="6"/>
  <c r="Q174" i="6"/>
  <c r="O174" i="6"/>
  <c r="K139" i="6"/>
  <c r="K138" i="6" s="1"/>
  <c r="I139" i="6"/>
  <c r="I138" i="6" s="1"/>
  <c r="G139" i="6"/>
  <c r="G138" i="6" s="1"/>
  <c r="E139" i="6"/>
  <c r="E138" i="6" s="1"/>
  <c r="V135" i="6"/>
  <c r="T135" i="6"/>
  <c r="P135" i="6"/>
  <c r="T139" i="6"/>
  <c r="W139" i="6"/>
  <c r="V139" i="6"/>
  <c r="U139" i="6"/>
  <c r="P139" i="6"/>
  <c r="O139" i="6"/>
  <c r="Q185" i="6"/>
  <c r="X185" i="6" s="1"/>
  <c r="D186" i="6"/>
  <c r="Q139" i="6"/>
  <c r="S17" i="6"/>
  <c r="S135" i="6"/>
  <c r="R17" i="6"/>
  <c r="R135" i="6"/>
  <c r="Q17" i="6"/>
  <c r="Q135" i="6"/>
  <c r="S139" i="6"/>
  <c r="R139" i="6"/>
  <c r="W24" i="6"/>
  <c r="W144" i="6"/>
  <c r="S24" i="6"/>
  <c r="S144" i="6"/>
  <c r="O24" i="6"/>
  <c r="O144" i="6"/>
  <c r="M24" i="6"/>
  <c r="M144" i="6"/>
  <c r="V24" i="6"/>
  <c r="V144" i="6"/>
  <c r="T24" i="6"/>
  <c r="T144" i="6"/>
  <c r="R24" i="6"/>
  <c r="R144" i="6"/>
  <c r="P24" i="6"/>
  <c r="P144" i="6"/>
  <c r="X170" i="6"/>
  <c r="N166" i="6"/>
  <c r="D145" i="6"/>
  <c r="D144" i="6" s="1"/>
  <c r="D202" i="6"/>
  <c r="X183" i="6"/>
  <c r="V159" i="6"/>
  <c r="D197" i="6"/>
  <c r="U204" i="6"/>
  <c r="U201" i="6" s="1"/>
  <c r="Q204" i="6"/>
  <c r="Q201" i="6" s="1"/>
  <c r="V201" i="6"/>
  <c r="L201" i="6"/>
  <c r="H201" i="6"/>
  <c r="F201" i="6"/>
  <c r="D189" i="6"/>
  <c r="D188" i="6" s="1"/>
  <c r="N188" i="6"/>
  <c r="W166" i="6"/>
  <c r="U166" i="6"/>
  <c r="S166" i="6"/>
  <c r="Q166" i="6"/>
  <c r="U146" i="6"/>
  <c r="U143" i="6" s="1"/>
  <c r="S146" i="6"/>
  <c r="O146" i="6"/>
  <c r="W162" i="6"/>
  <c r="S162" i="6"/>
  <c r="S159" i="6" s="1"/>
  <c r="O162" i="6"/>
  <c r="K144" i="6"/>
  <c r="I144" i="6"/>
  <c r="G144" i="6"/>
  <c r="E144" i="6"/>
  <c r="Q24" i="6"/>
  <c r="S204" i="6"/>
  <c r="S201" i="6" s="1"/>
  <c r="O204" i="6"/>
  <c r="O201" i="6" s="1"/>
  <c r="D198" i="6"/>
  <c r="D175" i="6"/>
  <c r="U162" i="6"/>
  <c r="Q162" i="6"/>
  <c r="L144" i="6"/>
  <c r="J144" i="6"/>
  <c r="J143" i="6" s="1"/>
  <c r="H144" i="6"/>
  <c r="F144" i="6"/>
  <c r="F143" i="6" s="1"/>
  <c r="U24" i="6"/>
  <c r="V193" i="6"/>
  <c r="R193" i="6"/>
  <c r="N193" i="6"/>
  <c r="M201" i="6"/>
  <c r="W193" i="6"/>
  <c r="U193" i="6"/>
  <c r="S193" i="6"/>
  <c r="Q193" i="6"/>
  <c r="O193" i="6"/>
  <c r="D185" i="6"/>
  <c r="M182" i="6"/>
  <c r="D183" i="6"/>
  <c r="V182" i="6"/>
  <c r="T182" i="6"/>
  <c r="R182" i="6"/>
  <c r="P182" i="6"/>
  <c r="N182" i="6"/>
  <c r="D178" i="6"/>
  <c r="M177" i="6"/>
  <c r="D177" i="6" s="1"/>
  <c r="D174" i="6" s="1"/>
  <c r="V174" i="6"/>
  <c r="T174" i="6"/>
  <c r="R174" i="6"/>
  <c r="P174" i="6"/>
  <c r="N174" i="6"/>
  <c r="M174" i="6"/>
  <c r="O166" i="6"/>
  <c r="X167" i="6"/>
  <c r="X166" i="6" s="1"/>
  <c r="D167" i="6"/>
  <c r="M166" i="6"/>
  <c r="M152" i="6"/>
  <c r="D153" i="6"/>
  <c r="V152" i="6"/>
  <c r="T152" i="6"/>
  <c r="R152" i="6"/>
  <c r="P152" i="6"/>
  <c r="P279" i="6" s="1"/>
  <c r="N152" i="6"/>
  <c r="T204" i="6"/>
  <c r="T201" i="6" s="1"/>
  <c r="R204" i="6"/>
  <c r="R201" i="6" s="1"/>
  <c r="P204" i="6"/>
  <c r="P201" i="6" s="1"/>
  <c r="N204" i="6"/>
  <c r="X197" i="6"/>
  <c r="X193" i="6" s="1"/>
  <c r="M193" i="6"/>
  <c r="D194" i="6"/>
  <c r="U182" i="6"/>
  <c r="U279" i="6" s="1"/>
  <c r="Q182" i="6"/>
  <c r="Q279" i="6" s="1"/>
  <c r="D170" i="6"/>
  <c r="X171" i="6"/>
  <c r="M162" i="6"/>
  <c r="W159" i="6"/>
  <c r="U159" i="6"/>
  <c r="Q159" i="6"/>
  <c r="O159" i="6"/>
  <c r="D136" i="6"/>
  <c r="D157" i="6"/>
  <c r="X157" i="6"/>
  <c r="O156" i="6"/>
  <c r="O152" i="6" s="1"/>
  <c r="N146" i="6"/>
  <c r="N143" i="6" s="1"/>
  <c r="X136" i="6"/>
  <c r="X198" i="6"/>
  <c r="X186" i="6"/>
  <c r="D171" i="6"/>
  <c r="M139" i="6"/>
  <c r="X142" i="6"/>
  <c r="X140" i="6"/>
  <c r="X137" i="6"/>
  <c r="N134" i="6"/>
  <c r="O551" i="2"/>
  <c r="O606" i="2"/>
  <c r="O614" i="2"/>
  <c r="O615" i="2"/>
  <c r="O610" i="2"/>
  <c r="O611" i="2"/>
  <c r="O503" i="2"/>
  <c r="X343" i="2"/>
  <c r="X342" i="2"/>
  <c r="M348" i="2"/>
  <c r="M343" i="2"/>
  <c r="M41" i="2" s="1"/>
  <c r="F341" i="2"/>
  <c r="G341" i="2"/>
  <c r="H341" i="2"/>
  <c r="J341" i="2"/>
  <c r="K341" i="2"/>
  <c r="L341" i="2"/>
  <c r="N341" i="2"/>
  <c r="O341" i="2"/>
  <c r="P341" i="2"/>
  <c r="P212" i="2"/>
  <c r="P52" i="2" s="1"/>
  <c r="P209" i="2"/>
  <c r="P43" i="2" s="1"/>
  <c r="E347" i="2"/>
  <c r="F347" i="2"/>
  <c r="G347" i="2"/>
  <c r="H347" i="2"/>
  <c r="I347" i="2"/>
  <c r="J347" i="2"/>
  <c r="K347" i="2"/>
  <c r="L347" i="2"/>
  <c r="N347" i="2"/>
  <c r="O347" i="2"/>
  <c r="P347" i="2"/>
  <c r="X345" i="2"/>
  <c r="X344" i="2" s="1"/>
  <c r="M146" i="6" l="1"/>
  <c r="R146" i="6"/>
  <c r="R26" i="6"/>
  <c r="P280" i="6"/>
  <c r="T280" i="6"/>
  <c r="Q146" i="6"/>
  <c r="Q143" i="6" s="1"/>
  <c r="Q26" i="6"/>
  <c r="P146" i="6"/>
  <c r="P26" i="6"/>
  <c r="T279" i="6"/>
  <c r="M143" i="6"/>
  <c r="R279" i="6"/>
  <c r="O143" i="6"/>
  <c r="S280" i="6"/>
  <c r="W280" i="6"/>
  <c r="D204" i="6"/>
  <c r="V279" i="6"/>
  <c r="O280" i="6"/>
  <c r="Q280" i="6"/>
  <c r="U280" i="6"/>
  <c r="R280" i="6"/>
  <c r="V280" i="6"/>
  <c r="I143" i="6"/>
  <c r="D147" i="6"/>
  <c r="G143" i="6"/>
  <c r="K143" i="6"/>
  <c r="H143" i="6"/>
  <c r="L143" i="6"/>
  <c r="E143" i="6"/>
  <c r="V146" i="6"/>
  <c r="V143" i="6" s="1"/>
  <c r="W146" i="6"/>
  <c r="T146" i="6"/>
  <c r="T143" i="6" s="1"/>
  <c r="V138" i="6"/>
  <c r="V134" i="6" s="1"/>
  <c r="M138" i="6"/>
  <c r="O138" i="6"/>
  <c r="O134" i="6" s="1"/>
  <c r="U138" i="6"/>
  <c r="U134" i="6" s="1"/>
  <c r="W138" i="6"/>
  <c r="W134" i="6" s="1"/>
  <c r="W143" i="6"/>
  <c r="Z190" i="6"/>
  <c r="D343" i="2"/>
  <c r="D41" i="2" s="1"/>
  <c r="D348" i="2"/>
  <c r="M49" i="2"/>
  <c r="M347" i="2"/>
  <c r="X341" i="2"/>
  <c r="X340" i="2" s="1"/>
  <c r="X182" i="6"/>
  <c r="D193" i="6"/>
  <c r="Q138" i="6"/>
  <c r="Q134" i="6" s="1"/>
  <c r="S138" i="6"/>
  <c r="S134" i="6" s="1"/>
  <c r="T138" i="6"/>
  <c r="T134" i="6" s="1"/>
  <c r="R138" i="6"/>
  <c r="R134" i="6" s="1"/>
  <c r="D24" i="6"/>
  <c r="R143" i="6"/>
  <c r="P143" i="6"/>
  <c r="D166" i="6"/>
  <c r="S143" i="6"/>
  <c r="X138" i="6"/>
  <c r="P138" i="6"/>
  <c r="P134" i="6" s="1"/>
  <c r="V31" i="1"/>
  <c r="X139" i="6"/>
  <c r="D182" i="6"/>
  <c r="D140" i="6" s="1"/>
  <c r="D139" i="6" s="1"/>
  <c r="X17" i="6"/>
  <c r="X135" i="6"/>
  <c r="D135" i="6"/>
  <c r="X156" i="6"/>
  <c r="M159" i="6"/>
  <c r="D159" i="6" s="1"/>
  <c r="D162" i="6"/>
  <c r="M134" i="6"/>
  <c r="D156" i="6"/>
  <c r="X152" i="6"/>
  <c r="D152" i="6"/>
  <c r="D279" i="6" s="1"/>
  <c r="N201" i="6"/>
  <c r="P79" i="6"/>
  <c r="P23" i="6" s="1"/>
  <c r="P81" i="6"/>
  <c r="O74" i="6"/>
  <c r="O76" i="6"/>
  <c r="O79" i="6"/>
  <c r="O81" i="6"/>
  <c r="D280" i="6" l="1"/>
  <c r="D146" i="6"/>
  <c r="D143" i="6" s="1"/>
  <c r="D347" i="2"/>
  <c r="D138" i="6"/>
  <c r="D134" i="6" s="1"/>
  <c r="X134" i="6"/>
  <c r="L578" i="2"/>
  <c r="L577" i="2" s="1"/>
  <c r="K81" i="9" l="1"/>
  <c r="K80" i="9"/>
  <c r="K83" i="9"/>
  <c r="X60" i="5" l="1"/>
  <c r="X59" i="5" s="1"/>
  <c r="X58" i="5" s="1"/>
  <c r="X144" i="4" l="1"/>
  <c r="X130" i="4" l="1"/>
  <c r="D130" i="4" s="1"/>
  <c r="D15" i="4" s="1"/>
  <c r="X128" i="4" l="1"/>
  <c r="X127" i="4" s="1"/>
  <c r="W72" i="13" l="1"/>
  <c r="W71" i="13" s="1"/>
  <c r="W70" i="13" s="1"/>
  <c r="V72" i="13"/>
  <c r="V71" i="13" s="1"/>
  <c r="V70" i="13" s="1"/>
  <c r="U72" i="13"/>
  <c r="U71" i="13" s="1"/>
  <c r="U70" i="13" s="1"/>
  <c r="W68" i="13"/>
  <c r="W67" i="13" s="1"/>
  <c r="V68" i="13"/>
  <c r="V67" i="13" s="1"/>
  <c r="U68" i="13"/>
  <c r="U67" i="13" s="1"/>
  <c r="T68" i="13"/>
  <c r="S79" i="13"/>
  <c r="S78" i="13" s="1"/>
  <c r="S68" i="13" s="1"/>
  <c r="S67" i="13" s="1"/>
  <c r="R79" i="13"/>
  <c r="R78" i="13" s="1"/>
  <c r="Q79" i="13"/>
  <c r="Q78" i="13" s="1"/>
  <c r="Q68" i="13" s="1"/>
  <c r="Q67" i="13" s="1"/>
  <c r="M80" i="13"/>
  <c r="X80" i="13"/>
  <c r="X79" i="13" s="1"/>
  <c r="X78" i="13" s="1"/>
  <c r="N79" i="13"/>
  <c r="N78" i="13" s="1"/>
  <c r="L79" i="13"/>
  <c r="L78" i="13" s="1"/>
  <c r="J79" i="13"/>
  <c r="J78" i="13" s="1"/>
  <c r="P79" i="13"/>
  <c r="O79" i="13"/>
  <c r="O78" i="13" s="1"/>
  <c r="O68" i="13" s="1"/>
  <c r="O67" i="13" s="1"/>
  <c r="K79" i="13"/>
  <c r="K78" i="13" s="1"/>
  <c r="K69" i="13" s="1"/>
  <c r="I79" i="13"/>
  <c r="I78" i="13" s="1"/>
  <c r="I69" i="13" s="1"/>
  <c r="H79" i="13"/>
  <c r="G79" i="13"/>
  <c r="G78" i="13" s="1"/>
  <c r="G69" i="13" s="1"/>
  <c r="F79" i="13"/>
  <c r="F78" i="13" s="1"/>
  <c r="F69" i="13" s="1"/>
  <c r="E79" i="13"/>
  <c r="E78" i="13" s="1"/>
  <c r="E69" i="13" s="1"/>
  <c r="P78" i="13"/>
  <c r="P68" i="13" s="1"/>
  <c r="H78" i="13"/>
  <c r="T76" i="13"/>
  <c r="S76" i="13"/>
  <c r="S75" i="13" s="1"/>
  <c r="S74" i="13" s="1"/>
  <c r="R76" i="13"/>
  <c r="Q76" i="13"/>
  <c r="Q75" i="13" s="1"/>
  <c r="Q74" i="13" s="1"/>
  <c r="P76" i="13"/>
  <c r="O76" i="13"/>
  <c r="O75" i="13" s="1"/>
  <c r="O74" i="13" s="1"/>
  <c r="N76" i="13"/>
  <c r="M76" i="13"/>
  <c r="M75" i="13" s="1"/>
  <c r="M74" i="13" s="1"/>
  <c r="L76" i="13"/>
  <c r="K76" i="13"/>
  <c r="K75" i="13" s="1"/>
  <c r="K74" i="13" s="1"/>
  <c r="J76" i="13"/>
  <c r="I76" i="13"/>
  <c r="I75" i="13" s="1"/>
  <c r="I74" i="13" s="1"/>
  <c r="H76" i="13"/>
  <c r="G76" i="13"/>
  <c r="G75" i="13" s="1"/>
  <c r="G74" i="13" s="1"/>
  <c r="F76" i="13"/>
  <c r="E76" i="13"/>
  <c r="E75" i="13" s="1"/>
  <c r="E74" i="13" s="1"/>
  <c r="D76" i="13"/>
  <c r="T75" i="13"/>
  <c r="T74" i="13" s="1"/>
  <c r="R75" i="13"/>
  <c r="R74" i="13" s="1"/>
  <c r="P75" i="13"/>
  <c r="P74" i="13" s="1"/>
  <c r="N75" i="13"/>
  <c r="N74" i="13" s="1"/>
  <c r="L75" i="13"/>
  <c r="L74" i="13" s="1"/>
  <c r="J75" i="13"/>
  <c r="J74" i="13" s="1"/>
  <c r="H75" i="13"/>
  <c r="H74" i="13" s="1"/>
  <c r="F75" i="13"/>
  <c r="F74" i="13" s="1"/>
  <c r="D75" i="13"/>
  <c r="D74" i="13" s="1"/>
  <c r="T73" i="13"/>
  <c r="S73" i="13"/>
  <c r="R73" i="13"/>
  <c r="Q73" i="13"/>
  <c r="P73" i="13"/>
  <c r="O73" i="13"/>
  <c r="N73" i="13"/>
  <c r="M73" i="13"/>
  <c r="L73" i="13"/>
  <c r="K73" i="13"/>
  <c r="J73" i="13"/>
  <c r="I73" i="13"/>
  <c r="H73" i="13"/>
  <c r="G73" i="13"/>
  <c r="F73" i="13"/>
  <c r="E73" i="13"/>
  <c r="D73" i="13"/>
  <c r="T72" i="13"/>
  <c r="T71" i="13" s="1"/>
  <c r="T70" i="13" s="1"/>
  <c r="S72" i="13"/>
  <c r="S71" i="13" s="1"/>
  <c r="R72" i="13"/>
  <c r="R71" i="13" s="1"/>
  <c r="R70" i="13" s="1"/>
  <c r="Q72" i="13"/>
  <c r="Q71" i="13" s="1"/>
  <c r="P72" i="13"/>
  <c r="O72" i="13"/>
  <c r="M72" i="13"/>
  <c r="M71" i="13" s="1"/>
  <c r="M70" i="13" s="1"/>
  <c r="K72" i="13"/>
  <c r="K71" i="13" s="1"/>
  <c r="I72" i="13"/>
  <c r="I71" i="13" s="1"/>
  <c r="I70" i="13" s="1"/>
  <c r="H72" i="13"/>
  <c r="G72" i="13"/>
  <c r="G71" i="13" s="1"/>
  <c r="G70" i="13" s="1"/>
  <c r="F72" i="13"/>
  <c r="E72" i="13"/>
  <c r="E71" i="13" s="1"/>
  <c r="E70" i="13" s="1"/>
  <c r="H71" i="13"/>
  <c r="H70" i="13" s="1"/>
  <c r="F71" i="13"/>
  <c r="F70" i="13" s="1"/>
  <c r="S70" i="13"/>
  <c r="Q70" i="13"/>
  <c r="K70" i="13"/>
  <c r="N69" i="13"/>
  <c r="L69" i="13"/>
  <c r="J69" i="13"/>
  <c r="J67" i="13" s="1"/>
  <c r="H69" i="13"/>
  <c r="N68" i="13"/>
  <c r="L68" i="13"/>
  <c r="K68" i="13"/>
  <c r="K67" i="13" s="1"/>
  <c r="J68" i="13"/>
  <c r="I68" i="13"/>
  <c r="I67" i="13" s="1"/>
  <c r="H68" i="13"/>
  <c r="H67" i="13" s="1"/>
  <c r="G68" i="13"/>
  <c r="G67" i="13" s="1"/>
  <c r="F68" i="13"/>
  <c r="E68" i="13"/>
  <c r="E67" i="13" s="1"/>
  <c r="T67" i="13"/>
  <c r="N67" i="13"/>
  <c r="O71" i="13" l="1"/>
  <c r="O70" i="13" s="1"/>
  <c r="F67" i="13"/>
  <c r="L67" i="13"/>
  <c r="X73" i="13"/>
  <c r="R68" i="13"/>
  <c r="R67" i="13" s="1"/>
  <c r="X69" i="13"/>
  <c r="X72" i="13"/>
  <c r="P67" i="13"/>
  <c r="P71" i="13"/>
  <c r="P70" i="13" s="1"/>
  <c r="D80" i="13"/>
  <c r="M79" i="13"/>
  <c r="M78" i="13" s="1"/>
  <c r="X68" i="13"/>
  <c r="X67" i="13" s="1"/>
  <c r="J72" i="13"/>
  <c r="J71" i="13" s="1"/>
  <c r="J70" i="13" s="1"/>
  <c r="L72" i="13"/>
  <c r="L71" i="13" s="1"/>
  <c r="L70" i="13" s="1"/>
  <c r="N72" i="13"/>
  <c r="N71" i="13" s="1"/>
  <c r="N70" i="13" s="1"/>
  <c r="X71" i="13" l="1"/>
  <c r="X70" i="13" s="1"/>
  <c r="M68" i="13"/>
  <c r="M67" i="13" s="1"/>
  <c r="D79" i="13"/>
  <c r="D78" i="13" s="1"/>
  <c r="D72" i="13"/>
  <c r="D71" i="13" s="1"/>
  <c r="D70" i="13" s="1"/>
  <c r="P35" i="5"/>
  <c r="O35" i="5"/>
  <c r="O37" i="5"/>
  <c r="R42" i="5"/>
  <c r="O42" i="5"/>
  <c r="O34" i="5"/>
  <c r="P34" i="5"/>
  <c r="Q34" i="5"/>
  <c r="R34" i="5"/>
  <c r="S34" i="5"/>
  <c r="P36" i="5"/>
  <c r="Q36" i="5"/>
  <c r="R36" i="5"/>
  <c r="S36" i="5"/>
  <c r="O36" i="5"/>
  <c r="O39" i="5"/>
  <c r="P39" i="5"/>
  <c r="Q39" i="5"/>
  <c r="R39" i="5"/>
  <c r="D68" i="13" l="1"/>
  <c r="D67" i="13" s="1"/>
  <c r="R33" i="5"/>
  <c r="S33" i="5"/>
  <c r="Q33" i="5"/>
  <c r="P33" i="5"/>
  <c r="O33" i="5"/>
  <c r="O86" i="9" l="1"/>
  <c r="N83" i="9"/>
  <c r="O83" i="9" l="1"/>
  <c r="P80" i="9" l="1"/>
  <c r="P79" i="9" s="1"/>
  <c r="D81" i="9"/>
  <c r="X81" i="9"/>
  <c r="X80" i="9"/>
  <c r="O80" i="9"/>
  <c r="N80" i="9"/>
  <c r="L80" i="9"/>
  <c r="D80" i="9" l="1"/>
  <c r="M80" i="9"/>
  <c r="P609" i="2" l="1"/>
  <c r="P608" i="2" s="1"/>
  <c r="AD144" i="4" l="1"/>
  <c r="AA144" i="4" l="1"/>
  <c r="Z144" i="4"/>
  <c r="Y144" i="4"/>
  <c r="M234" i="2" l="1"/>
  <c r="S10" i="3" l="1"/>
  <c r="T10" i="3"/>
  <c r="U10" i="3"/>
  <c r="V10" i="3"/>
  <c r="W10" i="3"/>
  <c r="P74" i="4" l="1"/>
  <c r="M103" i="5" l="1"/>
  <c r="M101" i="5"/>
  <c r="D29" i="9" l="1"/>
  <c r="M109" i="3" l="1"/>
  <c r="D60" i="5"/>
  <c r="M63" i="5"/>
  <c r="D63" i="5" s="1"/>
  <c r="O70" i="4" l="1"/>
  <c r="O72" i="4"/>
  <c r="O75" i="4"/>
  <c r="O77" i="4"/>
  <c r="P105" i="4"/>
  <c r="P109" i="4"/>
  <c r="P112" i="4"/>
  <c r="O108" i="4"/>
  <c r="O113" i="4"/>
  <c r="P104" i="4" l="1"/>
  <c r="W530" i="2" l="1"/>
  <c r="W529" i="2" s="1"/>
  <c r="V530" i="2"/>
  <c r="U530" i="2"/>
  <c r="U529" i="2" s="1"/>
  <c r="V529" i="2"/>
  <c r="W527" i="2"/>
  <c r="V527" i="2"/>
  <c r="U527" i="2"/>
  <c r="W525" i="2"/>
  <c r="V525" i="2"/>
  <c r="U525" i="2"/>
  <c r="V524" i="2" l="1"/>
  <c r="V10" i="2" s="1"/>
  <c r="U524" i="2"/>
  <c r="U10" i="2" s="1"/>
  <c r="W524" i="2"/>
  <c r="W10" i="2" s="1"/>
  <c r="O37" i="6"/>
  <c r="O35" i="6"/>
  <c r="O23" i="6" s="1"/>
  <c r="O32" i="6"/>
  <c r="O30" i="6"/>
  <c r="O16" i="6" s="1"/>
  <c r="U546" i="2" l="1"/>
  <c r="V546" i="2"/>
  <c r="W546" i="2"/>
  <c r="U545" i="2"/>
  <c r="V545" i="2"/>
  <c r="W545" i="2"/>
  <c r="U540" i="2"/>
  <c r="V540" i="2"/>
  <c r="W540" i="2"/>
  <c r="U537" i="2"/>
  <c r="U536" i="2" s="1"/>
  <c r="W537" i="2"/>
  <c r="W536" i="2" s="1"/>
  <c r="V537" i="2"/>
  <c r="V536" i="2" s="1"/>
  <c r="W238" i="6"/>
  <c r="W237" i="6" s="1"/>
  <c r="V238" i="6"/>
  <c r="V237" i="6" s="1"/>
  <c r="U238" i="6"/>
  <c r="U237" i="6" s="1"/>
  <c r="W246" i="6"/>
  <c r="W245" i="6" s="1"/>
  <c r="V246" i="6"/>
  <c r="U246" i="6"/>
  <c r="V245" i="6"/>
  <c r="U245" i="6"/>
  <c r="W242" i="6"/>
  <c r="W241" i="6" s="1"/>
  <c r="V242" i="6"/>
  <c r="U242" i="6"/>
  <c r="U241" i="6" s="1"/>
  <c r="V241" i="6"/>
  <c r="O235" i="6"/>
  <c r="P56" i="4"/>
  <c r="O56" i="4"/>
  <c r="O11" i="4"/>
  <c r="O15" i="4"/>
  <c r="W101" i="4"/>
  <c r="V101" i="4"/>
  <c r="V100" i="4" s="1"/>
  <c r="U101" i="4"/>
  <c r="W100" i="4"/>
  <c r="U100" i="4"/>
  <c r="W98" i="4"/>
  <c r="V98" i="4"/>
  <c r="U98" i="4"/>
  <c r="W95" i="4"/>
  <c r="W94" i="4" s="1"/>
  <c r="V95" i="4"/>
  <c r="U95" i="4"/>
  <c r="U94" i="4" s="1"/>
  <c r="V94" i="4"/>
  <c r="W114" i="4"/>
  <c r="W111" i="4" s="1"/>
  <c r="V114" i="4"/>
  <c r="U114" i="4"/>
  <c r="U111" i="4" s="1"/>
  <c r="V111" i="4"/>
  <c r="W109" i="4"/>
  <c r="V109" i="4"/>
  <c r="U109" i="4"/>
  <c r="U104" i="4" s="1"/>
  <c r="W105" i="4"/>
  <c r="V105" i="4"/>
  <c r="V104" i="4" s="1"/>
  <c r="U105" i="4"/>
  <c r="W104" i="4"/>
  <c r="W123" i="4"/>
  <c r="W122" i="4" s="1"/>
  <c r="V123" i="4"/>
  <c r="U123" i="4"/>
  <c r="U122" i="4" s="1"/>
  <c r="V122" i="4"/>
  <c r="D127" i="4"/>
  <c r="D128" i="4"/>
  <c r="U128" i="4"/>
  <c r="U127" i="4" s="1"/>
  <c r="V128" i="4"/>
  <c r="V127" i="4" s="1"/>
  <c r="W128" i="4"/>
  <c r="W127" i="4" s="1"/>
  <c r="T128" i="4"/>
  <c r="T127" i="4" s="1"/>
  <c r="S128" i="4"/>
  <c r="R128" i="4"/>
  <c r="R127" i="4" s="1"/>
  <c r="Q128" i="4"/>
  <c r="Q127" i="4" s="1"/>
  <c r="P128" i="4"/>
  <c r="P127" i="4" s="1"/>
  <c r="S127" i="4"/>
  <c r="W51" i="4"/>
  <c r="V51" i="4"/>
  <c r="U51" i="4"/>
  <c r="W49" i="4"/>
  <c r="V49" i="4"/>
  <c r="U49" i="4"/>
  <c r="W48" i="4"/>
  <c r="V48" i="4"/>
  <c r="U48" i="4"/>
  <c r="W46" i="4"/>
  <c r="V46" i="4"/>
  <c r="U46" i="4"/>
  <c r="W42" i="4"/>
  <c r="V42" i="4"/>
  <c r="U42" i="4"/>
  <c r="W41" i="4"/>
  <c r="V41" i="4"/>
  <c r="U41" i="4"/>
  <c r="W63" i="4"/>
  <c r="W62" i="4" s="1"/>
  <c r="V63" i="4"/>
  <c r="U63" i="4"/>
  <c r="U62" i="4" s="1"/>
  <c r="V62" i="4"/>
  <c r="W55" i="4"/>
  <c r="W54" i="4" s="1"/>
  <c r="V55" i="4"/>
  <c r="U55" i="4"/>
  <c r="U54" i="4" s="1"/>
  <c r="V54" i="4"/>
  <c r="W71" i="4"/>
  <c r="V71" i="4"/>
  <c r="U71" i="4"/>
  <c r="W68" i="4"/>
  <c r="V68" i="4"/>
  <c r="U68" i="4"/>
  <c r="W67" i="4"/>
  <c r="V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582" i="2"/>
  <c r="N581" i="2" s="1"/>
  <c r="O578" i="2"/>
  <c r="O577" i="2" s="1"/>
  <c r="D580" i="2"/>
  <c r="O582" i="2"/>
  <c r="O581" i="2" s="1"/>
  <c r="K582" i="2"/>
  <c r="K581" i="2" s="1"/>
  <c r="J582" i="2"/>
  <c r="J581" i="2" s="1"/>
  <c r="J578" i="2"/>
  <c r="J577" i="2" s="1"/>
  <c r="W543" i="2" l="1"/>
  <c r="W542" i="2" s="1"/>
  <c r="V543" i="2"/>
  <c r="V542" i="2" s="1"/>
  <c r="U543" i="2"/>
  <c r="U542" i="2" s="1"/>
  <c r="U533" i="2"/>
  <c r="V533" i="2"/>
  <c r="K578" i="2"/>
  <c r="K577" i="2" s="1"/>
  <c r="D579" i="2"/>
  <c r="N578" i="2"/>
  <c r="N577" i="2" s="1"/>
  <c r="M583" i="2"/>
  <c r="W533" i="2"/>
  <c r="M578" i="2" l="1"/>
  <c r="M577" i="2" s="1"/>
  <c r="M582" i="2"/>
  <c r="M581" i="2" s="1"/>
  <c r="D583" i="2"/>
  <c r="U34" i="5"/>
  <c r="V34" i="5"/>
  <c r="W34" i="5"/>
  <c r="W33" i="5" s="1"/>
  <c r="U36" i="5"/>
  <c r="V36" i="5"/>
  <c r="W36" i="5"/>
  <c r="U41" i="5"/>
  <c r="U38" i="5" s="1"/>
  <c r="V41" i="5"/>
  <c r="V38" i="5" s="1"/>
  <c r="W41" i="5"/>
  <c r="W38" i="5" s="1"/>
  <c r="U45" i="5"/>
  <c r="V45" i="5"/>
  <c r="W45" i="5"/>
  <c r="U48" i="5"/>
  <c r="U47" i="5" s="1"/>
  <c r="V48" i="5"/>
  <c r="V47" i="5" s="1"/>
  <c r="W48" i="5"/>
  <c r="W47" i="5" s="1"/>
  <c r="U52" i="5"/>
  <c r="U51" i="5" s="1"/>
  <c r="V52" i="5"/>
  <c r="V51" i="5" s="1"/>
  <c r="W52" i="5"/>
  <c r="W51" i="5" s="1"/>
  <c r="U55" i="5"/>
  <c r="V55" i="5"/>
  <c r="W55" i="5"/>
  <c r="U75" i="5"/>
  <c r="U73" i="5" s="1"/>
  <c r="V75" i="5"/>
  <c r="V73" i="5" s="1"/>
  <c r="W75" i="5"/>
  <c r="W73" i="5" s="1"/>
  <c r="U81" i="5"/>
  <c r="V81" i="5"/>
  <c r="W81" i="5"/>
  <c r="U77" i="5"/>
  <c r="U76" i="5" s="1"/>
  <c r="V77" i="5"/>
  <c r="W77" i="5"/>
  <c r="W76" i="5" s="1"/>
  <c r="U87" i="5"/>
  <c r="U83" i="5" s="1"/>
  <c r="V87" i="5"/>
  <c r="V83" i="5" s="1"/>
  <c r="W87" i="5"/>
  <c r="W83" i="5" s="1"/>
  <c r="U99" i="5"/>
  <c r="V99" i="5"/>
  <c r="W99" i="5"/>
  <c r="U105" i="5"/>
  <c r="V105" i="5"/>
  <c r="W105" i="5"/>
  <c r="U112" i="5"/>
  <c r="U111" i="5" s="1"/>
  <c r="V112" i="5"/>
  <c r="V111" i="5" s="1"/>
  <c r="W112" i="5"/>
  <c r="W111" i="5" s="1"/>
  <c r="U59" i="5"/>
  <c r="V59" i="5"/>
  <c r="W59" i="5"/>
  <c r="U62" i="5"/>
  <c r="U61" i="5" s="1"/>
  <c r="V62" i="5"/>
  <c r="V61" i="5" s="1"/>
  <c r="W62" i="5"/>
  <c r="W61" i="5" s="1"/>
  <c r="E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T61" i="5"/>
  <c r="S61" i="5"/>
  <c r="R61" i="5"/>
  <c r="D61" i="5"/>
  <c r="E60" i="5"/>
  <c r="T59" i="5"/>
  <c r="S59" i="5"/>
  <c r="R59" i="5"/>
  <c r="Q59" i="5"/>
  <c r="P59" i="5"/>
  <c r="O59" i="5"/>
  <c r="N59" i="5"/>
  <c r="M59" i="5"/>
  <c r="L59" i="5"/>
  <c r="L58" i="5" s="1"/>
  <c r="K59" i="5"/>
  <c r="J59" i="5"/>
  <c r="J58" i="5" s="1"/>
  <c r="I59" i="5"/>
  <c r="H59" i="5"/>
  <c r="H58" i="5" s="1"/>
  <c r="G59" i="5"/>
  <c r="F59" i="5"/>
  <c r="F58" i="5" s="1"/>
  <c r="D59" i="5"/>
  <c r="T58" i="5"/>
  <c r="S58" i="5"/>
  <c r="R58" i="5"/>
  <c r="Q58" i="5"/>
  <c r="P58" i="5"/>
  <c r="O58" i="5"/>
  <c r="N58" i="5"/>
  <c r="M58" i="5"/>
  <c r="K58" i="5"/>
  <c r="I58" i="5"/>
  <c r="G58" i="5"/>
  <c r="D58" i="5"/>
  <c r="F75" i="5"/>
  <c r="F73" i="5" s="1"/>
  <c r="G75" i="5"/>
  <c r="G73" i="5" s="1"/>
  <c r="H75" i="5"/>
  <c r="H73" i="5" s="1"/>
  <c r="K75" i="5"/>
  <c r="K73" i="5" s="1"/>
  <c r="P75" i="5"/>
  <c r="P73" i="5" s="1"/>
  <c r="Q75" i="5"/>
  <c r="Q73" i="5" s="1"/>
  <c r="R75" i="5"/>
  <c r="R73" i="5" s="1"/>
  <c r="S75" i="5"/>
  <c r="S73" i="5" s="1"/>
  <c r="T75" i="5"/>
  <c r="T73" i="5" s="1"/>
  <c r="X17" i="5" l="1"/>
  <c r="U58" i="5"/>
  <c r="V44" i="5"/>
  <c r="U33" i="5"/>
  <c r="E59" i="5"/>
  <c r="E58" i="5" s="1"/>
  <c r="V33" i="5"/>
  <c r="V58" i="5"/>
  <c r="W44" i="5"/>
  <c r="U44" i="5"/>
  <c r="W58" i="5"/>
  <c r="V76" i="5"/>
  <c r="D115" i="9"/>
  <c r="D114" i="9" s="1"/>
  <c r="X115" i="9"/>
  <c r="X114" i="9"/>
  <c r="N114" i="9"/>
  <c r="M114" i="9"/>
  <c r="L114" i="9"/>
  <c r="O97" i="9"/>
  <c r="O114" i="9" l="1"/>
  <c r="T131" i="9" l="1"/>
  <c r="T130" i="9" s="1"/>
  <c r="T129" i="9" s="1"/>
  <c r="U131" i="9"/>
  <c r="U130" i="9" s="1"/>
  <c r="U129" i="9" s="1"/>
  <c r="V131" i="9"/>
  <c r="V130" i="9" s="1"/>
  <c r="V129" i="9" s="1"/>
  <c r="W131" i="9"/>
  <c r="W130" i="9" s="1"/>
  <c r="W129" i="9" s="1"/>
  <c r="S131" i="9"/>
  <c r="U133" i="9"/>
  <c r="V133" i="9"/>
  <c r="W133" i="9"/>
  <c r="U119" i="9"/>
  <c r="U118" i="9" s="1"/>
  <c r="V119" i="9"/>
  <c r="V118" i="9" s="1"/>
  <c r="W119" i="9"/>
  <c r="W118" i="9" s="1"/>
  <c r="U88" i="9"/>
  <c r="V88" i="9"/>
  <c r="W88" i="9"/>
  <c r="U92" i="9"/>
  <c r="U91" i="9" s="1"/>
  <c r="V92" i="9"/>
  <c r="V91" i="9" s="1"/>
  <c r="W92" i="9"/>
  <c r="W91" i="9" s="1"/>
  <c r="U79" i="9"/>
  <c r="V79" i="9"/>
  <c r="W79" i="9"/>
  <c r="U85" i="9"/>
  <c r="U84" i="9" s="1"/>
  <c r="V85" i="9"/>
  <c r="V84" i="9" s="1"/>
  <c r="W85" i="9"/>
  <c r="W84" i="9" s="1"/>
  <c r="U72" i="9"/>
  <c r="V72" i="9"/>
  <c r="W72" i="9"/>
  <c r="U76" i="9"/>
  <c r="U75" i="9" s="1"/>
  <c r="V76" i="9"/>
  <c r="V75" i="9" s="1"/>
  <c r="W76" i="9"/>
  <c r="W75" i="9" s="1"/>
  <c r="U65" i="9"/>
  <c r="V65" i="9"/>
  <c r="W65" i="9"/>
  <c r="U69" i="9"/>
  <c r="U68" i="9" s="1"/>
  <c r="V69" i="9"/>
  <c r="V68" i="9" s="1"/>
  <c r="W69" i="9"/>
  <c r="W68" i="9" s="1"/>
  <c r="U59" i="9"/>
  <c r="U56" i="9" s="1"/>
  <c r="V59" i="9"/>
  <c r="V56" i="9" s="1"/>
  <c r="W59" i="9"/>
  <c r="W56" i="9" s="1"/>
  <c r="U62" i="9"/>
  <c r="U61" i="9" s="1"/>
  <c r="V62" i="9"/>
  <c r="V61" i="9" s="1"/>
  <c r="W62" i="9"/>
  <c r="W61" i="9" s="1"/>
  <c r="U49" i="9"/>
  <c r="V49" i="9"/>
  <c r="W49" i="9"/>
  <c r="U53" i="9"/>
  <c r="U52" i="9" s="1"/>
  <c r="V53" i="9"/>
  <c r="V52" i="9" s="1"/>
  <c r="W53" i="9"/>
  <c r="W52" i="9" s="1"/>
  <c r="U41" i="9"/>
  <c r="V41" i="9"/>
  <c r="W41" i="9"/>
  <c r="U43" i="9"/>
  <c r="V43" i="9"/>
  <c r="W43" i="9"/>
  <c r="U46" i="9"/>
  <c r="U45" i="9" s="1"/>
  <c r="V46" i="9"/>
  <c r="V45" i="9" s="1"/>
  <c r="W46" i="9"/>
  <c r="W45" i="9" s="1"/>
  <c r="U37" i="9"/>
  <c r="U36" i="9" s="1"/>
  <c r="V37" i="9"/>
  <c r="V36" i="9" s="1"/>
  <c r="W37" i="9"/>
  <c r="W36" i="9" s="1"/>
  <c r="U32" i="9"/>
  <c r="V32" i="9"/>
  <c r="W32" i="9"/>
  <c r="U34" i="9"/>
  <c r="V34" i="9"/>
  <c r="W34" i="9"/>
  <c r="U28" i="9"/>
  <c r="U27" i="9" s="1"/>
  <c r="V28" i="9"/>
  <c r="V27" i="9" s="1"/>
  <c r="W28" i="9"/>
  <c r="W27" i="9" s="1"/>
  <c r="U23" i="9"/>
  <c r="V23" i="9"/>
  <c r="W23" i="9"/>
  <c r="U25" i="9"/>
  <c r="V25" i="9"/>
  <c r="W25" i="9"/>
  <c r="V40" i="9" l="1"/>
  <c r="W40" i="9"/>
  <c r="U40" i="9"/>
  <c r="W31" i="9"/>
  <c r="V31" i="9"/>
  <c r="U31" i="9"/>
  <c r="W22" i="9"/>
  <c r="U22" i="9"/>
  <c r="V22" i="9"/>
  <c r="L70" i="7"/>
  <c r="D195" i="3"/>
  <c r="O194" i="3"/>
  <c r="N194" i="3"/>
  <c r="L194" i="3"/>
  <c r="K194" i="3"/>
  <c r="J194" i="3"/>
  <c r="I194" i="3"/>
  <c r="H194" i="3"/>
  <c r="G194" i="3"/>
  <c r="F194" i="3"/>
  <c r="E194" i="3"/>
  <c r="E193" i="3"/>
  <c r="D193" i="3" s="1"/>
  <c r="D192" i="3" s="1"/>
  <c r="O192" i="3"/>
  <c r="O191" i="3" s="1"/>
  <c r="N192" i="3"/>
  <c r="M192" i="3"/>
  <c r="L192" i="3"/>
  <c r="L191" i="3" s="1"/>
  <c r="K192" i="3"/>
  <c r="J192" i="3"/>
  <c r="J191" i="3" s="1"/>
  <c r="I192" i="3"/>
  <c r="H192" i="3"/>
  <c r="G192" i="3"/>
  <c r="F192" i="3"/>
  <c r="E192" i="3"/>
  <c r="K191" i="3"/>
  <c r="I191" i="3"/>
  <c r="H191" i="3"/>
  <c r="G191" i="3"/>
  <c r="F191" i="3"/>
  <c r="E191" i="3"/>
  <c r="E190" i="3"/>
  <c r="O189" i="3"/>
  <c r="N189" i="3"/>
  <c r="L189" i="3"/>
  <c r="K189" i="3"/>
  <c r="J189" i="3"/>
  <c r="I189" i="3"/>
  <c r="H189" i="3"/>
  <c r="G189" i="3"/>
  <c r="F189" i="3"/>
  <c r="E189" i="3"/>
  <c r="E188" i="3"/>
  <c r="D188" i="3" s="1"/>
  <c r="E187" i="3"/>
  <c r="D187" i="3" s="1"/>
  <c r="O186" i="3"/>
  <c r="N186" i="3"/>
  <c r="M186" i="3"/>
  <c r="L186" i="3"/>
  <c r="K186" i="3"/>
  <c r="K185" i="3" s="1"/>
  <c r="J186" i="3"/>
  <c r="I186" i="3"/>
  <c r="I185" i="3" s="1"/>
  <c r="H186" i="3"/>
  <c r="G186" i="3"/>
  <c r="G185" i="3" s="1"/>
  <c r="F186" i="3"/>
  <c r="E186" i="3"/>
  <c r="E185" i="3" s="1"/>
  <c r="N185" i="3"/>
  <c r="L185" i="3"/>
  <c r="J185" i="3"/>
  <c r="H185" i="3"/>
  <c r="F185" i="3"/>
  <c r="J182" i="3"/>
  <c r="E183" i="3"/>
  <c r="E182" i="3" s="1"/>
  <c r="O182" i="3"/>
  <c r="N182" i="3"/>
  <c r="L182" i="3"/>
  <c r="K182" i="3"/>
  <c r="I182" i="3"/>
  <c r="H182" i="3"/>
  <c r="G182" i="3"/>
  <c r="F182" i="3"/>
  <c r="N180" i="3"/>
  <c r="K180" i="3"/>
  <c r="K179" i="3" s="1"/>
  <c r="J180" i="3"/>
  <c r="E181" i="3"/>
  <c r="O180" i="3"/>
  <c r="I180" i="3"/>
  <c r="H180" i="3"/>
  <c r="G180" i="3"/>
  <c r="F180" i="3"/>
  <c r="F179" i="3" s="1"/>
  <c r="E180" i="3"/>
  <c r="H179" i="3"/>
  <c r="E178" i="3"/>
  <c r="O177" i="3"/>
  <c r="N177" i="3"/>
  <c r="L177" i="3"/>
  <c r="K177" i="3"/>
  <c r="J177" i="3"/>
  <c r="I177" i="3"/>
  <c r="H177" i="3"/>
  <c r="G177" i="3"/>
  <c r="F177" i="3"/>
  <c r="E177" i="3"/>
  <c r="E176" i="3"/>
  <c r="E175" i="3"/>
  <c r="O174" i="3"/>
  <c r="N174" i="3"/>
  <c r="L174" i="3"/>
  <c r="K174" i="3"/>
  <c r="J174" i="3"/>
  <c r="I174" i="3"/>
  <c r="H174" i="3"/>
  <c r="G174" i="3"/>
  <c r="F174" i="3"/>
  <c r="E174" i="3"/>
  <c r="O173" i="3"/>
  <c r="N173" i="3"/>
  <c r="L173" i="3"/>
  <c r="K173" i="3"/>
  <c r="J173" i="3"/>
  <c r="I173" i="3"/>
  <c r="H173" i="3"/>
  <c r="G173" i="3"/>
  <c r="F173" i="3"/>
  <c r="E173" i="3"/>
  <c r="U23" i="3"/>
  <c r="U21" i="3" s="1"/>
  <c r="V23" i="3"/>
  <c r="V21" i="3" s="1"/>
  <c r="W23" i="3"/>
  <c r="W21" i="3" s="1"/>
  <c r="U20" i="3"/>
  <c r="V20" i="3"/>
  <c r="W20" i="3"/>
  <c r="U17" i="3"/>
  <c r="U15" i="3" s="1"/>
  <c r="V17" i="3"/>
  <c r="V15" i="3" s="1"/>
  <c r="W17" i="3"/>
  <c r="W15" i="3" s="1"/>
  <c r="U14" i="3"/>
  <c r="V14" i="3"/>
  <c r="W14" i="3"/>
  <c r="T23" i="3"/>
  <c r="T21" i="3" s="1"/>
  <c r="S23" i="3"/>
  <c r="S21" i="3" s="1"/>
  <c r="R23" i="3"/>
  <c r="R21" i="3" s="1"/>
  <c r="Q23" i="3"/>
  <c r="Q21" i="3" s="1"/>
  <c r="I23" i="3"/>
  <c r="I21" i="3" s="1"/>
  <c r="T20" i="3"/>
  <c r="T19" i="3" s="1"/>
  <c r="S20" i="3"/>
  <c r="R20" i="3"/>
  <c r="R19" i="3" s="1"/>
  <c r="Q20" i="3"/>
  <c r="Q19" i="3" s="1"/>
  <c r="P20" i="3"/>
  <c r="P19" i="3" s="1"/>
  <c r="K20" i="3"/>
  <c r="K19" i="3" s="1"/>
  <c r="H20" i="3"/>
  <c r="H19" i="3" s="1"/>
  <c r="G20" i="3"/>
  <c r="G19" i="3" s="1"/>
  <c r="F20" i="3"/>
  <c r="F19" i="3" s="1"/>
  <c r="S19" i="3"/>
  <c r="T17" i="3"/>
  <c r="T15" i="3" s="1"/>
  <c r="S17" i="3"/>
  <c r="S15" i="3" s="1"/>
  <c r="R17" i="3"/>
  <c r="R15" i="3" s="1"/>
  <c r="Q17" i="3"/>
  <c r="Q15" i="3" s="1"/>
  <c r="I17" i="3"/>
  <c r="I15" i="3" s="1"/>
  <c r="T14" i="3"/>
  <c r="S14" i="3"/>
  <c r="R14" i="3"/>
  <c r="Q14" i="3"/>
  <c r="Q12" i="3" s="1"/>
  <c r="P14" i="3"/>
  <c r="K14" i="3"/>
  <c r="K12" i="3" s="1"/>
  <c r="H14" i="3"/>
  <c r="G14" i="3"/>
  <c r="F14" i="3"/>
  <c r="S12" i="3"/>
  <c r="O110" i="3"/>
  <c r="D111" i="3"/>
  <c r="D110" i="3" s="1"/>
  <c r="P110" i="3"/>
  <c r="N110" i="3"/>
  <c r="L110" i="3"/>
  <c r="D109" i="3"/>
  <c r="P108" i="3"/>
  <c r="O108" i="3"/>
  <c r="N108" i="3"/>
  <c r="M108" i="3"/>
  <c r="L108" i="3"/>
  <c r="D108" i="3"/>
  <c r="P105" i="3"/>
  <c r="O105" i="3"/>
  <c r="L105" i="3"/>
  <c r="D104" i="3"/>
  <c r="O102" i="3"/>
  <c r="D103" i="3"/>
  <c r="D102" i="3" s="1"/>
  <c r="P102" i="3"/>
  <c r="P101" i="3" s="1"/>
  <c r="L102" i="3"/>
  <c r="L101" i="3" s="1"/>
  <c r="P23" i="3"/>
  <c r="P21" i="3" s="1"/>
  <c r="O158" i="3"/>
  <c r="M159" i="3"/>
  <c r="R158" i="3"/>
  <c r="Q158" i="3"/>
  <c r="P158" i="3"/>
  <c r="N158" i="3"/>
  <c r="M158" i="3"/>
  <c r="L158" i="3"/>
  <c r="K158" i="3"/>
  <c r="J158" i="3"/>
  <c r="I158" i="3"/>
  <c r="H158" i="3"/>
  <c r="G158" i="3"/>
  <c r="F158" i="3"/>
  <c r="E158" i="3"/>
  <c r="R156" i="3"/>
  <c r="Q156" i="3"/>
  <c r="P156" i="3"/>
  <c r="O156" i="3"/>
  <c r="N156" i="3"/>
  <c r="M156" i="3"/>
  <c r="L156" i="3"/>
  <c r="K156" i="3"/>
  <c r="J156" i="3"/>
  <c r="I156" i="3"/>
  <c r="H156" i="3"/>
  <c r="G156" i="3"/>
  <c r="F156" i="3"/>
  <c r="E156" i="3"/>
  <c r="D156" i="3"/>
  <c r="R155" i="3"/>
  <c r="Q155" i="3"/>
  <c r="P155" i="3"/>
  <c r="N155" i="3"/>
  <c r="M155" i="3"/>
  <c r="L155" i="3"/>
  <c r="K155" i="3"/>
  <c r="J155" i="3"/>
  <c r="I155" i="3"/>
  <c r="H155" i="3"/>
  <c r="G155" i="3"/>
  <c r="F155" i="3"/>
  <c r="E155" i="3"/>
  <c r="P17" i="3"/>
  <c r="P15" i="3" s="1"/>
  <c r="M154" i="3"/>
  <c r="D154" i="3" s="1"/>
  <c r="D153" i="3" s="1"/>
  <c r="R153" i="3"/>
  <c r="Q153" i="3"/>
  <c r="O153" i="3"/>
  <c r="N153" i="3"/>
  <c r="M153" i="3"/>
  <c r="L153" i="3"/>
  <c r="K153" i="3"/>
  <c r="J153" i="3"/>
  <c r="I153" i="3"/>
  <c r="H153" i="3"/>
  <c r="G153" i="3"/>
  <c r="F153" i="3"/>
  <c r="E153" i="3"/>
  <c r="P150" i="3"/>
  <c r="M151" i="3"/>
  <c r="R150" i="3"/>
  <c r="Q150" i="3"/>
  <c r="Q149" i="3" s="1"/>
  <c r="O150" i="3"/>
  <c r="O149" i="3" s="1"/>
  <c r="N150" i="3"/>
  <c r="L150" i="3"/>
  <c r="L149" i="3" s="1"/>
  <c r="K150" i="3"/>
  <c r="J150" i="3"/>
  <c r="J149" i="3" s="1"/>
  <c r="I150" i="3"/>
  <c r="H150" i="3"/>
  <c r="H149" i="3" s="1"/>
  <c r="G150" i="3"/>
  <c r="F150" i="3"/>
  <c r="F149" i="3" s="1"/>
  <c r="E150" i="3"/>
  <c r="R149" i="3"/>
  <c r="N149" i="3"/>
  <c r="K149" i="3"/>
  <c r="I149" i="3"/>
  <c r="G149" i="3"/>
  <c r="E149" i="3"/>
  <c r="M171" i="3"/>
  <c r="P170" i="3"/>
  <c r="O170" i="3"/>
  <c r="N170" i="3"/>
  <c r="L170" i="3"/>
  <c r="K170" i="3"/>
  <c r="J170" i="3"/>
  <c r="I170" i="3"/>
  <c r="H170" i="3"/>
  <c r="G170" i="3"/>
  <c r="F170" i="3"/>
  <c r="E170" i="3"/>
  <c r="P168" i="3"/>
  <c r="O168" i="3"/>
  <c r="N168" i="3"/>
  <c r="N167" i="3" s="1"/>
  <c r="M168" i="3"/>
  <c r="L168" i="3"/>
  <c r="K168" i="3"/>
  <c r="K167" i="3" s="1"/>
  <c r="J168" i="3"/>
  <c r="J167" i="3" s="1"/>
  <c r="I168" i="3"/>
  <c r="I167" i="3" s="1"/>
  <c r="H168" i="3"/>
  <c r="G168" i="3"/>
  <c r="G167" i="3" s="1"/>
  <c r="F168" i="3"/>
  <c r="F167" i="3" s="1"/>
  <c r="E168" i="3"/>
  <c r="E167" i="3" s="1"/>
  <c r="D168" i="3"/>
  <c r="L167" i="3"/>
  <c r="H167" i="3"/>
  <c r="M166" i="3"/>
  <c r="D166" i="3" s="1"/>
  <c r="D165" i="3" s="1"/>
  <c r="P165" i="3"/>
  <c r="O165" i="3"/>
  <c r="N165" i="3"/>
  <c r="L165" i="3"/>
  <c r="K165" i="3"/>
  <c r="J165" i="3"/>
  <c r="I165" i="3"/>
  <c r="H165" i="3"/>
  <c r="G165" i="3"/>
  <c r="F165" i="3"/>
  <c r="E165" i="3"/>
  <c r="M163" i="3"/>
  <c r="R10" i="3"/>
  <c r="P162" i="3"/>
  <c r="P161" i="3" s="1"/>
  <c r="O162" i="3"/>
  <c r="N162" i="3"/>
  <c r="N161" i="3" s="1"/>
  <c r="L162" i="3"/>
  <c r="K162" i="3"/>
  <c r="J162" i="3"/>
  <c r="I162" i="3"/>
  <c r="I161" i="3" s="1"/>
  <c r="H162" i="3"/>
  <c r="G162" i="3"/>
  <c r="G161" i="3" s="1"/>
  <c r="F162" i="3"/>
  <c r="E162" i="3"/>
  <c r="E161" i="3" s="1"/>
  <c r="Q10" i="3"/>
  <c r="K161" i="3"/>
  <c r="X166" i="3"/>
  <c r="X165" i="3" s="1"/>
  <c r="X164" i="3"/>
  <c r="X163" i="3"/>
  <c r="Q11" i="3" l="1"/>
  <c r="F161" i="3"/>
  <c r="H161" i="3"/>
  <c r="J161" i="3"/>
  <c r="L161" i="3"/>
  <c r="T18" i="3"/>
  <c r="S18" i="3"/>
  <c r="X162" i="3"/>
  <c r="X161" i="3" s="1"/>
  <c r="G179" i="3"/>
  <c r="I179" i="3"/>
  <c r="D186" i="3"/>
  <c r="N191" i="3"/>
  <c r="M165" i="3"/>
  <c r="O155" i="3"/>
  <c r="P167" i="3"/>
  <c r="O23" i="10"/>
  <c r="E179" i="3"/>
  <c r="N179" i="3"/>
  <c r="D175" i="3"/>
  <c r="O185" i="3"/>
  <c r="O179" i="3"/>
  <c r="R18" i="3"/>
  <c r="O101" i="3"/>
  <c r="Q18" i="3"/>
  <c r="P23" i="10"/>
  <c r="D151" i="3"/>
  <c r="D150" i="3" s="1"/>
  <c r="D149" i="3" s="1"/>
  <c r="N24" i="10"/>
  <c r="P24" i="10"/>
  <c r="D159" i="3"/>
  <c r="D158" i="3" s="1"/>
  <c r="D155" i="3" s="1"/>
  <c r="N102" i="3"/>
  <c r="P18" i="3"/>
  <c r="D176" i="3"/>
  <c r="D174" i="3" s="1"/>
  <c r="D178" i="3"/>
  <c r="D183" i="3"/>
  <c r="D190" i="3"/>
  <c r="O161" i="3"/>
  <c r="M23" i="10" s="1"/>
  <c r="D163" i="3"/>
  <c r="D162" i="3" s="1"/>
  <c r="D161" i="3" s="1"/>
  <c r="D171" i="3"/>
  <c r="D170" i="3" s="1"/>
  <c r="D167" i="3" s="1"/>
  <c r="P153" i="3"/>
  <c r="P149" i="3" s="1"/>
  <c r="N23" i="10" s="1"/>
  <c r="N105" i="3"/>
  <c r="N101" i="3" s="1"/>
  <c r="N107" i="3"/>
  <c r="J179" i="3"/>
  <c r="D181" i="3"/>
  <c r="P12" i="3"/>
  <c r="P11" i="3" s="1"/>
  <c r="R12" i="3"/>
  <c r="R11" i="3" s="1"/>
  <c r="T12" i="3"/>
  <c r="T11" i="3" s="1"/>
  <c r="O107" i="3"/>
  <c r="L107" i="3"/>
  <c r="P107" i="3"/>
  <c r="D107" i="3"/>
  <c r="M194" i="3"/>
  <c r="M191" i="3" s="1"/>
  <c r="D194" i="3"/>
  <c r="D191" i="3" s="1"/>
  <c r="D189" i="3"/>
  <c r="D185" i="3" s="1"/>
  <c r="M189" i="3"/>
  <c r="M185" i="3" s="1"/>
  <c r="M174" i="3"/>
  <c r="M177" i="3"/>
  <c r="M180" i="3"/>
  <c r="M182" i="3"/>
  <c r="L180" i="3"/>
  <c r="L179" i="3" s="1"/>
  <c r="S11" i="3"/>
  <c r="M102" i="3"/>
  <c r="M110" i="3"/>
  <c r="M107" i="3" s="1"/>
  <c r="M150" i="3"/>
  <c r="M149" i="3" s="1"/>
  <c r="O167" i="3"/>
  <c r="M24" i="10" s="1"/>
  <c r="O24" i="10"/>
  <c r="M162" i="3"/>
  <c r="M161" i="3" s="1"/>
  <c r="M170" i="3"/>
  <c r="M167" i="3" s="1"/>
  <c r="D106" i="3" l="1"/>
  <c r="D105" i="3" s="1"/>
  <c r="D101" i="3" s="1"/>
  <c r="M105" i="3"/>
  <c r="M101" i="3" s="1"/>
  <c r="M179" i="3"/>
  <c r="D182" i="3"/>
  <c r="D180" i="3"/>
  <c r="D177" i="3"/>
  <c r="D173" i="3" s="1"/>
  <c r="M173" i="3"/>
  <c r="D179" i="3" l="1"/>
  <c r="P606" i="2" l="1"/>
  <c r="X606" i="2" s="1"/>
  <c r="O100" i="8"/>
  <c r="O98" i="8"/>
  <c r="O94" i="8"/>
  <c r="O92" i="8"/>
  <c r="P195" i="2"/>
  <c r="P194" i="2" s="1"/>
  <c r="O195" i="2"/>
  <c r="O194" i="2" s="1"/>
  <c r="P192" i="2"/>
  <c r="O192" i="2"/>
  <c r="P190" i="2"/>
  <c r="O190" i="2"/>
  <c r="O97" i="8" l="1"/>
  <c r="O91" i="8"/>
  <c r="P189" i="2"/>
  <c r="O189" i="2"/>
  <c r="S37" i="10"/>
  <c r="T37" i="10"/>
  <c r="U37" i="10"/>
  <c r="S36" i="10"/>
  <c r="T36" i="10"/>
  <c r="U36" i="10"/>
  <c r="S19" i="10"/>
  <c r="T19" i="10"/>
  <c r="U19" i="10"/>
  <c r="V27" i="10"/>
  <c r="R14" i="10" l="1"/>
  <c r="S14" i="10"/>
  <c r="T14" i="10"/>
  <c r="U14" i="10"/>
  <c r="R13" i="10"/>
  <c r="S13" i="10"/>
  <c r="T13" i="10"/>
  <c r="U13" i="10"/>
  <c r="S30" i="10"/>
  <c r="T30" i="10"/>
  <c r="U30" i="10"/>
  <c r="S31" i="10"/>
  <c r="T31" i="10"/>
  <c r="U31" i="10"/>
  <c r="Q23" i="10"/>
  <c r="R23" i="10"/>
  <c r="S23" i="10"/>
  <c r="T23" i="10"/>
  <c r="U23" i="10"/>
  <c r="S24" i="10"/>
  <c r="T24" i="10"/>
  <c r="U24" i="10"/>
  <c r="O21" i="10"/>
  <c r="P21" i="10"/>
  <c r="Q21" i="10"/>
  <c r="R21" i="10"/>
  <c r="S21" i="10"/>
  <c r="T21" i="10"/>
  <c r="U21" i="10"/>
  <c r="P22" i="10"/>
  <c r="Q22" i="10"/>
  <c r="R22" i="10"/>
  <c r="S22" i="10"/>
  <c r="T22" i="10"/>
  <c r="U22" i="10"/>
  <c r="S20" i="10"/>
  <c r="T20" i="10"/>
  <c r="U20" i="10"/>
  <c r="P17" i="10"/>
  <c r="Q17" i="10"/>
  <c r="R17" i="10"/>
  <c r="S17" i="10"/>
  <c r="T17" i="10"/>
  <c r="U17" i="10"/>
  <c r="Q18" i="10"/>
  <c r="R18" i="10"/>
  <c r="S18" i="10"/>
  <c r="T18" i="10"/>
  <c r="U18" i="10"/>
  <c r="P15" i="10"/>
  <c r="Q15" i="10"/>
  <c r="R15" i="10"/>
  <c r="S15" i="10"/>
  <c r="T15" i="10"/>
  <c r="U15" i="10"/>
  <c r="P16" i="10"/>
  <c r="Q16" i="10"/>
  <c r="R16" i="10"/>
  <c r="S16" i="10"/>
  <c r="T16" i="10"/>
  <c r="U16" i="10"/>
  <c r="R180" i="1" l="1"/>
  <c r="S180" i="1"/>
  <c r="T180" i="1"/>
  <c r="R164" i="1"/>
  <c r="S164" i="1"/>
  <c r="T164" i="1"/>
  <c r="R167" i="1"/>
  <c r="S167" i="1"/>
  <c r="T167" i="1"/>
  <c r="R152" i="1"/>
  <c r="S152" i="1"/>
  <c r="T152" i="1"/>
  <c r="R140" i="1"/>
  <c r="R202" i="1" s="1"/>
  <c r="S140" i="1"/>
  <c r="S202" i="1" s="1"/>
  <c r="T140" i="1"/>
  <c r="T202" i="1" s="1"/>
  <c r="K152" i="1" l="1"/>
  <c r="K164" i="1"/>
  <c r="K167" i="1"/>
  <c r="K180" i="1"/>
  <c r="O71" i="1"/>
  <c r="P71" i="1"/>
  <c r="Q71" i="1"/>
  <c r="R71" i="1"/>
  <c r="S71" i="1"/>
  <c r="T71" i="1"/>
  <c r="R72" i="1"/>
  <c r="S72" i="1"/>
  <c r="T72" i="1"/>
  <c r="R76" i="1"/>
  <c r="R75" i="1" s="1"/>
  <c r="S76" i="1"/>
  <c r="S75" i="1" s="1"/>
  <c r="S86" i="1" s="1"/>
  <c r="T76" i="1"/>
  <c r="T75" i="1" s="1"/>
  <c r="M81" i="1"/>
  <c r="N81" i="1"/>
  <c r="O81" i="1"/>
  <c r="P81" i="1"/>
  <c r="Q81" i="1"/>
  <c r="R86" i="1"/>
  <c r="T86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J152" i="1"/>
  <c r="L152" i="1"/>
  <c r="M152" i="1"/>
  <c r="N152" i="1"/>
  <c r="O152" i="1"/>
  <c r="P152" i="1"/>
  <c r="Q152" i="1"/>
  <c r="B164" i="1"/>
  <c r="C164" i="1"/>
  <c r="D164" i="1"/>
  <c r="E164" i="1"/>
  <c r="F164" i="1"/>
  <c r="G164" i="1"/>
  <c r="H164" i="1"/>
  <c r="I164" i="1"/>
  <c r="J164" i="1"/>
  <c r="L164" i="1"/>
  <c r="M164" i="1"/>
  <c r="M165" i="1" s="1"/>
  <c r="N164" i="1"/>
  <c r="O164" i="1"/>
  <c r="O165" i="1" s="1"/>
  <c r="P164" i="1"/>
  <c r="Q164" i="1"/>
  <c r="Q165" i="1" s="1"/>
  <c r="U164" i="1"/>
  <c r="B165" i="1"/>
  <c r="C165" i="1"/>
  <c r="D165" i="1"/>
  <c r="E165" i="1"/>
  <c r="F165" i="1"/>
  <c r="G165" i="1"/>
  <c r="H165" i="1"/>
  <c r="I165" i="1"/>
  <c r="J165" i="1"/>
  <c r="B167" i="1"/>
  <c r="C167" i="1"/>
  <c r="D167" i="1"/>
  <c r="E167" i="1"/>
  <c r="F167" i="1"/>
  <c r="G167" i="1"/>
  <c r="H167" i="1"/>
  <c r="I167" i="1"/>
  <c r="J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X92" i="4"/>
  <c r="U11" i="5"/>
  <c r="V11" i="5"/>
  <c r="W11" i="5"/>
  <c r="K165" i="1" l="1"/>
  <c r="P165" i="1"/>
  <c r="N165" i="1"/>
  <c r="L165" i="1"/>
  <c r="V10" i="5"/>
  <c r="W10" i="5"/>
  <c r="U10" i="5"/>
  <c r="U152" i="1"/>
  <c r="U165" i="1" s="1"/>
  <c r="U167" i="1"/>
  <c r="X119" i="4"/>
  <c r="W120" i="4"/>
  <c r="W118" i="4" s="1"/>
  <c r="W117" i="4" s="1"/>
  <c r="V120" i="4"/>
  <c r="U120" i="4"/>
  <c r="V118" i="4" l="1"/>
  <c r="V117" i="4" s="1"/>
  <c r="V144" i="4"/>
  <c r="V15" i="4"/>
  <c r="S65" i="1" s="1"/>
  <c r="V11" i="4"/>
  <c r="S60" i="1" s="1"/>
  <c r="U118" i="4"/>
  <c r="U117" i="4" s="1"/>
  <c r="U144" i="4"/>
  <c r="U11" i="4"/>
  <c r="R60" i="1" s="1"/>
  <c r="U15" i="4"/>
  <c r="R65" i="1" s="1"/>
  <c r="W144" i="4"/>
  <c r="W11" i="4"/>
  <c r="T60" i="1" s="1"/>
  <c r="W15" i="4"/>
  <c r="T65" i="1" s="1"/>
  <c r="X214" i="3"/>
  <c r="X211" i="3"/>
  <c r="W131" i="6"/>
  <c r="W130" i="6" s="1"/>
  <c r="V131" i="6"/>
  <c r="V130" i="6" s="1"/>
  <c r="U131" i="6"/>
  <c r="U130" i="6" s="1"/>
  <c r="X129" i="6"/>
  <c r="X128" i="6"/>
  <c r="X127" i="6"/>
  <c r="X126" i="6"/>
  <c r="X125" i="6"/>
  <c r="X124" i="6"/>
  <c r="D125" i="6"/>
  <c r="D124" i="6"/>
  <c r="W122" i="6"/>
  <c r="P55" i="12" s="1"/>
  <c r="V122" i="6"/>
  <c r="O55" i="12" s="1"/>
  <c r="U122" i="6"/>
  <c r="N55" i="12" s="1"/>
  <c r="D120" i="6"/>
  <c r="D119" i="6"/>
  <c r="W118" i="6"/>
  <c r="W117" i="6" s="1"/>
  <c r="V118" i="6"/>
  <c r="V117" i="6" s="1"/>
  <c r="U118" i="6"/>
  <c r="U117" i="6" s="1"/>
  <c r="W114" i="6"/>
  <c r="V114" i="6"/>
  <c r="U114" i="6"/>
  <c r="D111" i="6"/>
  <c r="D110" i="6"/>
  <c r="D109" i="6"/>
  <c r="D107" i="6"/>
  <c r="W104" i="6"/>
  <c r="W20" i="6" s="1"/>
  <c r="V104" i="6"/>
  <c r="V20" i="6" s="1"/>
  <c r="U104" i="6"/>
  <c r="U20" i="6" s="1"/>
  <c r="X111" i="6"/>
  <c r="X110" i="6"/>
  <c r="X109" i="6"/>
  <c r="X107" i="6"/>
  <c r="W100" i="6"/>
  <c r="W18" i="6" s="1"/>
  <c r="V100" i="6"/>
  <c r="V18" i="6" s="1"/>
  <c r="U100" i="6"/>
  <c r="U18" i="6" s="1"/>
  <c r="D102" i="6"/>
  <c r="D101" i="6"/>
  <c r="W94" i="6"/>
  <c r="V94" i="6"/>
  <c r="U94" i="6"/>
  <c r="W15" i="6" l="1"/>
  <c r="P127" i="12"/>
  <c r="U15" i="6"/>
  <c r="N127" i="12"/>
  <c r="V15" i="6"/>
  <c r="O127" i="12"/>
  <c r="U113" i="6"/>
  <c r="U112" i="6" s="1"/>
  <c r="N129" i="12" s="1"/>
  <c r="W113" i="6"/>
  <c r="W112" i="6" s="1"/>
  <c r="P129" i="12" s="1"/>
  <c r="V263" i="6"/>
  <c r="V103" i="6"/>
  <c r="O128" i="12" s="1"/>
  <c r="U263" i="6"/>
  <c r="U103" i="6"/>
  <c r="N128" i="12" s="1"/>
  <c r="W103" i="6"/>
  <c r="P128" i="12" s="1"/>
  <c r="V113" i="6"/>
  <c r="V112" i="6" s="1"/>
  <c r="O129" i="12" s="1"/>
  <c r="U121" i="6"/>
  <c r="U264" i="6"/>
  <c r="W121" i="6"/>
  <c r="W264" i="6"/>
  <c r="V121" i="6"/>
  <c r="V264" i="6"/>
  <c r="W93" i="6"/>
  <c r="W92" i="6" s="1"/>
  <c r="W263" i="6"/>
  <c r="V93" i="6"/>
  <c r="U93" i="6"/>
  <c r="U92" i="6" s="1"/>
  <c r="D33" i="13"/>
  <c r="U11" i="13"/>
  <c r="V11" i="13"/>
  <c r="W11" i="13"/>
  <c r="U16" i="13"/>
  <c r="V16" i="13"/>
  <c r="L96" i="9"/>
  <c r="U8" i="10" l="1"/>
  <c r="W11" i="6"/>
  <c r="P126" i="12"/>
  <c r="P108" i="12" s="1"/>
  <c r="U11" i="6"/>
  <c r="N126" i="12"/>
  <c r="N108" i="12" s="1"/>
  <c r="T8" i="10"/>
  <c r="S8" i="10"/>
  <c r="V116" i="6"/>
  <c r="O53" i="12"/>
  <c r="O10" i="12" s="1"/>
  <c r="W116" i="6"/>
  <c r="U7" i="10" s="1"/>
  <c r="P53" i="12"/>
  <c r="U116" i="6"/>
  <c r="S7" i="10" s="1"/>
  <c r="N53" i="12"/>
  <c r="V12" i="6"/>
  <c r="W12" i="6"/>
  <c r="U12" i="6"/>
  <c r="V92" i="6"/>
  <c r="W16" i="13"/>
  <c r="W12" i="13" s="1"/>
  <c r="W22" i="13"/>
  <c r="W19" i="13" s="1"/>
  <c r="U22" i="13"/>
  <c r="U19" i="13" s="1"/>
  <c r="V22" i="13"/>
  <c r="V19" i="13" s="1"/>
  <c r="V9" i="13"/>
  <c r="W9" i="13"/>
  <c r="U9" i="13"/>
  <c r="V12" i="13"/>
  <c r="U12" i="13"/>
  <c r="N10" i="12" l="1"/>
  <c r="N9" i="12" s="1"/>
  <c r="P10" i="12"/>
  <c r="P9" i="12" s="1"/>
  <c r="V11" i="6"/>
  <c r="O126" i="12"/>
  <c r="O108" i="12" s="1"/>
  <c r="O9" i="12" s="1"/>
  <c r="T7" i="10"/>
  <c r="D83" i="9"/>
  <c r="D77" i="9"/>
  <c r="D54" i="9"/>
  <c r="D51" i="9"/>
  <c r="D38" i="9"/>
  <c r="D35" i="9"/>
  <c r="D33" i="9"/>
  <c r="D26" i="9"/>
  <c r="M120" i="9"/>
  <c r="D120" i="9" s="1"/>
  <c r="M117" i="9"/>
  <c r="D117" i="9" s="1"/>
  <c r="M102" i="9"/>
  <c r="D97" i="9"/>
  <c r="M93" i="9"/>
  <c r="D93" i="9" s="1"/>
  <c r="M90" i="9"/>
  <c r="D90" i="9" s="1"/>
  <c r="M86" i="9"/>
  <c r="D86" i="9" s="1"/>
  <c r="D24" i="9"/>
  <c r="U123" i="9"/>
  <c r="V123" i="9"/>
  <c r="W123" i="9"/>
  <c r="U124" i="9"/>
  <c r="V124" i="9"/>
  <c r="W124" i="9"/>
  <c r="U127" i="9"/>
  <c r="R66" i="1" s="1"/>
  <c r="V127" i="9"/>
  <c r="S66" i="1" s="1"/>
  <c r="W127" i="9"/>
  <c r="T66" i="1" s="1"/>
  <c r="U128" i="9"/>
  <c r="V128" i="9"/>
  <c r="W128" i="9"/>
  <c r="U9" i="9"/>
  <c r="V9" i="9"/>
  <c r="W9" i="9"/>
  <c r="U10" i="9"/>
  <c r="V10" i="9"/>
  <c r="W10" i="9"/>
  <c r="U12" i="9"/>
  <c r="V12" i="9"/>
  <c r="W12" i="9"/>
  <c r="U14" i="9"/>
  <c r="V14" i="9"/>
  <c r="W14" i="9"/>
  <c r="V18" i="9" l="1"/>
  <c r="V17" i="9" s="1"/>
  <c r="W18" i="9"/>
  <c r="W17" i="9" s="1"/>
  <c r="U18" i="9"/>
  <c r="U17" i="9" s="1"/>
  <c r="W8" i="9"/>
  <c r="U8" i="9"/>
  <c r="V8" i="9"/>
  <c r="V126" i="9"/>
  <c r="V125" i="9" s="1"/>
  <c r="V122" i="9"/>
  <c r="W126" i="9"/>
  <c r="W125" i="9" s="1"/>
  <c r="U126" i="9"/>
  <c r="U125" i="9" s="1"/>
  <c r="W122" i="9"/>
  <c r="U122" i="9"/>
  <c r="V11" i="9"/>
  <c r="W11" i="9"/>
  <c r="U11" i="9"/>
  <c r="U10" i="7"/>
  <c r="U8" i="7" s="1"/>
  <c r="V10" i="7"/>
  <c r="V8" i="7" s="1"/>
  <c r="W10" i="7"/>
  <c r="W8" i="7" s="1"/>
  <c r="U13" i="7"/>
  <c r="V13" i="7"/>
  <c r="W13" i="7"/>
  <c r="U14" i="7"/>
  <c r="V14" i="7"/>
  <c r="W14" i="7"/>
  <c r="U16" i="7"/>
  <c r="U15" i="7" s="1"/>
  <c r="V16" i="7"/>
  <c r="V15" i="7" s="1"/>
  <c r="W16" i="7"/>
  <c r="W15" i="7" s="1"/>
  <c r="U19" i="7"/>
  <c r="U18" i="7" s="1"/>
  <c r="V19" i="7"/>
  <c r="V18" i="7" s="1"/>
  <c r="W19" i="7"/>
  <c r="W18" i="7" s="1"/>
  <c r="U21" i="7"/>
  <c r="U20" i="7" s="1"/>
  <c r="V21" i="7"/>
  <c r="V20" i="7" s="1"/>
  <c r="W21" i="7"/>
  <c r="W20" i="7" s="1"/>
  <c r="D70" i="7"/>
  <c r="D59" i="7"/>
  <c r="D99" i="6"/>
  <c r="D97" i="6"/>
  <c r="D96" i="6"/>
  <c r="D95" i="6"/>
  <c r="X244" i="6"/>
  <c r="M132" i="6"/>
  <c r="M114" i="6"/>
  <c r="M70" i="6"/>
  <c r="D70" i="6" s="1"/>
  <c r="M68" i="6"/>
  <c r="D68" i="6" s="1"/>
  <c r="M65" i="6"/>
  <c r="D65" i="6" s="1"/>
  <c r="M63" i="6"/>
  <c r="D63" i="6" s="1"/>
  <c r="D62" i="6" s="1"/>
  <c r="M59" i="6"/>
  <c r="M57" i="6"/>
  <c r="M54" i="6"/>
  <c r="D54" i="6" s="1"/>
  <c r="M52" i="6"/>
  <c r="R25" i="1"/>
  <c r="S25" i="1"/>
  <c r="T25" i="1"/>
  <c r="U19" i="6"/>
  <c r="V19" i="6"/>
  <c r="W19" i="6"/>
  <c r="U22" i="6"/>
  <c r="V22" i="6"/>
  <c r="W22" i="6"/>
  <c r="U25" i="6"/>
  <c r="V25" i="6"/>
  <c r="V21" i="6" s="1"/>
  <c r="W25" i="6"/>
  <c r="M53" i="5"/>
  <c r="U12" i="4"/>
  <c r="R61" i="1" s="1"/>
  <c r="V12" i="4"/>
  <c r="S61" i="1" s="1"/>
  <c r="W12" i="4"/>
  <c r="T61" i="1" s="1"/>
  <c r="U16" i="4"/>
  <c r="R67" i="1" s="1"/>
  <c r="V16" i="4"/>
  <c r="S67" i="1" s="1"/>
  <c r="W16" i="4"/>
  <c r="T67" i="1" s="1"/>
  <c r="U17" i="4"/>
  <c r="R68" i="1" s="1"/>
  <c r="R123" i="1" s="1"/>
  <c r="R185" i="1" s="1"/>
  <c r="V17" i="4"/>
  <c r="S68" i="1" s="1"/>
  <c r="S123" i="1" s="1"/>
  <c r="S185" i="1" s="1"/>
  <c r="W17" i="4"/>
  <c r="T68" i="1" s="1"/>
  <c r="U18" i="4"/>
  <c r="R70" i="1" s="1"/>
  <c r="V18" i="4"/>
  <c r="S70" i="1" s="1"/>
  <c r="W18" i="4"/>
  <c r="T70" i="1" s="1"/>
  <c r="U20" i="4"/>
  <c r="R69" i="1" s="1"/>
  <c r="V20" i="4"/>
  <c r="S69" i="1" s="1"/>
  <c r="W20" i="4"/>
  <c r="T69" i="1" s="1"/>
  <c r="U22" i="4"/>
  <c r="V22" i="4"/>
  <c r="W22" i="4"/>
  <c r="U25" i="4"/>
  <c r="V25" i="4"/>
  <c r="W25" i="4"/>
  <c r="U26" i="4"/>
  <c r="V26" i="4"/>
  <c r="W26" i="4"/>
  <c r="U28" i="4"/>
  <c r="U27" i="4" s="1"/>
  <c r="V28" i="4"/>
  <c r="V27" i="4" s="1"/>
  <c r="W28" i="4"/>
  <c r="W27" i="4" s="1"/>
  <c r="X82" i="4"/>
  <c r="X87" i="4"/>
  <c r="U90" i="4"/>
  <c r="U89" i="4" s="1"/>
  <c r="V90" i="4"/>
  <c r="V89" i="4" s="1"/>
  <c r="W90" i="4"/>
  <c r="W89" i="4" s="1"/>
  <c r="X125" i="4"/>
  <c r="M56" i="5"/>
  <c r="D56" i="5" s="1"/>
  <c r="D49" i="5"/>
  <c r="D53" i="5"/>
  <c r="U15" i="5"/>
  <c r="V15" i="5"/>
  <c r="W15" i="5"/>
  <c r="D132" i="6" l="1"/>
  <c r="F56" i="12"/>
  <c r="E56" i="12" s="1"/>
  <c r="D59" i="6"/>
  <c r="W21" i="6"/>
  <c r="U21" i="6"/>
  <c r="D52" i="6"/>
  <c r="D57" i="6"/>
  <c r="T123" i="1"/>
  <c r="T185" i="1" s="1"/>
  <c r="V14" i="6"/>
  <c r="V13" i="6" s="1"/>
  <c r="W14" i="6"/>
  <c r="U14" i="6"/>
  <c r="V12" i="7"/>
  <c r="V17" i="7"/>
  <c r="W12" i="7"/>
  <c r="U12" i="7"/>
  <c r="W21" i="4"/>
  <c r="T74" i="1"/>
  <c r="U21" i="4"/>
  <c r="R74" i="1"/>
  <c r="S64" i="1"/>
  <c r="S63" i="1" s="1"/>
  <c r="S85" i="1" s="1"/>
  <c r="S59" i="1"/>
  <c r="W24" i="4"/>
  <c r="V21" i="4"/>
  <c r="S74" i="1"/>
  <c r="T64" i="1"/>
  <c r="T63" i="1" s="1"/>
  <c r="T85" i="1" s="1"/>
  <c r="R64" i="1"/>
  <c r="R63" i="1" s="1"/>
  <c r="R85" i="1" s="1"/>
  <c r="T59" i="1"/>
  <c r="R59" i="1"/>
  <c r="W16" i="5"/>
  <c r="U16" i="5"/>
  <c r="V14" i="5"/>
  <c r="V16" i="5"/>
  <c r="W14" i="5"/>
  <c r="W13" i="5" s="1"/>
  <c r="U14" i="5"/>
  <c r="U19" i="5"/>
  <c r="U18" i="5" s="1"/>
  <c r="V19" i="5"/>
  <c r="V18" i="5" s="1"/>
  <c r="W19" i="5"/>
  <c r="W18" i="5" s="1"/>
  <c r="U24" i="4"/>
  <c r="W14" i="4"/>
  <c r="W13" i="4" s="1"/>
  <c r="U14" i="4"/>
  <c r="U13" i="4" s="1"/>
  <c r="W10" i="4"/>
  <c r="U10" i="4"/>
  <c r="V24" i="4"/>
  <c r="V14" i="4"/>
  <c r="V10" i="4"/>
  <c r="W13" i="6"/>
  <c r="U13" i="6"/>
  <c r="W10" i="6"/>
  <c r="U10" i="6"/>
  <c r="V10" i="6"/>
  <c r="W11" i="7"/>
  <c r="U11" i="7"/>
  <c r="W17" i="7"/>
  <c r="U17" i="7"/>
  <c r="V11" i="7"/>
  <c r="W23" i="4"/>
  <c r="U23" i="4"/>
  <c r="U13" i="5"/>
  <c r="M125" i="4"/>
  <c r="M124" i="4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 s="1"/>
  <c r="F68" i="4"/>
  <c r="F67" i="4" s="1"/>
  <c r="G68" i="4"/>
  <c r="G67" i="4" s="1"/>
  <c r="H68" i="4"/>
  <c r="H67" i="4" s="1"/>
  <c r="I68" i="4"/>
  <c r="I67" i="4" s="1"/>
  <c r="J68" i="4"/>
  <c r="J67" i="4" s="1"/>
  <c r="K68" i="4"/>
  <c r="K67" i="4" s="1"/>
  <c r="L68" i="4"/>
  <c r="L67" i="4" s="1"/>
  <c r="M113" i="4"/>
  <c r="M108" i="4"/>
  <c r="M107" i="4"/>
  <c r="M97" i="4"/>
  <c r="M92" i="4"/>
  <c r="M91" i="4"/>
  <c r="M87" i="4"/>
  <c r="M86" i="4"/>
  <c r="M82" i="4"/>
  <c r="M81" i="4"/>
  <c r="M56" i="4"/>
  <c r="M50" i="4"/>
  <c r="M45" i="4"/>
  <c r="D125" i="4"/>
  <c r="D124" i="4"/>
  <c r="D113" i="4"/>
  <c r="D108" i="4"/>
  <c r="D107" i="4"/>
  <c r="D97" i="4"/>
  <c r="D92" i="4"/>
  <c r="D91" i="4"/>
  <c r="D87" i="4"/>
  <c r="D86" i="4"/>
  <c r="D82" i="4"/>
  <c r="D81" i="4"/>
  <c r="D56" i="4"/>
  <c r="D52" i="4"/>
  <c r="D50" i="4"/>
  <c r="D45" i="4"/>
  <c r="D43" i="4"/>
  <c r="U19" i="3"/>
  <c r="V19" i="3"/>
  <c r="W19" i="3"/>
  <c r="U218" i="3"/>
  <c r="V218" i="3"/>
  <c r="W218" i="3"/>
  <c r="U216" i="3"/>
  <c r="V216" i="3"/>
  <c r="W216" i="3"/>
  <c r="V215" i="3"/>
  <c r="V266" i="6" s="1"/>
  <c r="U213" i="3"/>
  <c r="V213" i="3"/>
  <c r="W213" i="3"/>
  <c r="U210" i="3"/>
  <c r="V210" i="3"/>
  <c r="W210" i="3"/>
  <c r="W10" i="8"/>
  <c r="W11" i="8"/>
  <c r="W14" i="8"/>
  <c r="W15" i="8"/>
  <c r="W16" i="8"/>
  <c r="T20" i="1" s="1"/>
  <c r="W17" i="8"/>
  <c r="W19" i="8"/>
  <c r="T27" i="1" s="1"/>
  <c r="W20" i="8"/>
  <c r="W21" i="8"/>
  <c r="T30" i="1" s="1"/>
  <c r="W22" i="8"/>
  <c r="W25" i="8"/>
  <c r="W26" i="8"/>
  <c r="T36" i="1" s="1"/>
  <c r="W27" i="8"/>
  <c r="W28" i="8"/>
  <c r="T35" i="1" s="1"/>
  <c r="T136" i="1" s="1"/>
  <c r="T198" i="1" s="1"/>
  <c r="W31" i="8"/>
  <c r="W32" i="8"/>
  <c r="T44" i="1" s="1"/>
  <c r="T142" i="1" s="1"/>
  <c r="T204" i="1" s="1"/>
  <c r="W33" i="8"/>
  <c r="U10" i="8"/>
  <c r="V10" i="8"/>
  <c r="U11" i="8"/>
  <c r="V11" i="8"/>
  <c r="U14" i="8"/>
  <c r="V14" i="8"/>
  <c r="U15" i="8"/>
  <c r="V15" i="8"/>
  <c r="U16" i="8"/>
  <c r="R20" i="1" s="1"/>
  <c r="R125" i="1" s="1"/>
  <c r="R191" i="1" s="1"/>
  <c r="V16" i="8"/>
  <c r="S20" i="1" s="1"/>
  <c r="S125" i="1" s="1"/>
  <c r="S191" i="1" s="1"/>
  <c r="U17" i="8"/>
  <c r="V17" i="8"/>
  <c r="U19" i="8"/>
  <c r="R27" i="1" s="1"/>
  <c r="V19" i="8"/>
  <c r="S27" i="1" s="1"/>
  <c r="U20" i="8"/>
  <c r="V20" i="8"/>
  <c r="U21" i="8"/>
  <c r="R30" i="1" s="1"/>
  <c r="R130" i="1" s="1"/>
  <c r="R192" i="1" s="1"/>
  <c r="V21" i="8"/>
  <c r="S30" i="1" s="1"/>
  <c r="S130" i="1" s="1"/>
  <c r="S192" i="1" s="1"/>
  <c r="U22" i="8"/>
  <c r="V22" i="8"/>
  <c r="U25" i="8"/>
  <c r="V25" i="8"/>
  <c r="U26" i="8"/>
  <c r="R36" i="1" s="1"/>
  <c r="R141" i="1" s="1"/>
  <c r="R203" i="1" s="1"/>
  <c r="V26" i="8"/>
  <c r="S36" i="1" s="1"/>
  <c r="S141" i="1" s="1"/>
  <c r="S203" i="1" s="1"/>
  <c r="U27" i="8"/>
  <c r="V27" i="8"/>
  <c r="U28" i="8"/>
  <c r="R136" i="1" s="1"/>
  <c r="R198" i="1" s="1"/>
  <c r="V28" i="8"/>
  <c r="S35" i="1" s="1"/>
  <c r="S136" i="1" s="1"/>
  <c r="S198" i="1" s="1"/>
  <c r="U31" i="8"/>
  <c r="V31" i="8"/>
  <c r="U32" i="8"/>
  <c r="R44" i="1" s="1"/>
  <c r="R142" i="1" s="1"/>
  <c r="R204" i="1" s="1"/>
  <c r="V32" i="8"/>
  <c r="S44" i="1" s="1"/>
  <c r="S142" i="1" s="1"/>
  <c r="S204" i="1" s="1"/>
  <c r="U33" i="8"/>
  <c r="V33" i="8"/>
  <c r="D221" i="8"/>
  <c r="D217" i="8"/>
  <c r="M149" i="8"/>
  <c r="M146" i="8"/>
  <c r="M143" i="8"/>
  <c r="M141" i="8"/>
  <c r="M140" i="8"/>
  <c r="M121" i="8"/>
  <c r="D121" i="8" s="1"/>
  <c r="M67" i="8"/>
  <c r="D67" i="8" s="1"/>
  <c r="M64" i="8"/>
  <c r="D64" i="8" s="1"/>
  <c r="M60" i="8"/>
  <c r="D60" i="8" s="1"/>
  <c r="M57" i="8"/>
  <c r="D57" i="8" s="1"/>
  <c r="M52" i="8"/>
  <c r="D52" i="8" s="1"/>
  <c r="M48" i="8"/>
  <c r="D48" i="8" s="1"/>
  <c r="M41" i="8"/>
  <c r="D41" i="8" s="1"/>
  <c r="M599" i="2"/>
  <c r="D599" i="2" s="1"/>
  <c r="U379" i="2"/>
  <c r="V379" i="2"/>
  <c r="W379" i="2"/>
  <c r="U382" i="2"/>
  <c r="V382" i="2"/>
  <c r="W382" i="2"/>
  <c r="U387" i="2"/>
  <c r="V387" i="2"/>
  <c r="W387" i="2"/>
  <c r="U474" i="2"/>
  <c r="V474" i="2"/>
  <c r="W474" i="2"/>
  <c r="U475" i="2"/>
  <c r="U15" i="2" s="1"/>
  <c r="V475" i="2"/>
  <c r="V15" i="2" s="1"/>
  <c r="W475" i="2"/>
  <c r="W15" i="2" s="1"/>
  <c r="U476" i="2"/>
  <c r="U17" i="2" s="1"/>
  <c r="V476" i="2"/>
  <c r="V17" i="2" s="1"/>
  <c r="W476" i="2"/>
  <c r="W17" i="2" s="1"/>
  <c r="U478" i="2"/>
  <c r="V478" i="2"/>
  <c r="W478" i="2"/>
  <c r="U479" i="2"/>
  <c r="U22" i="2" s="1"/>
  <c r="R28" i="1" s="1"/>
  <c r="R131" i="1" s="1"/>
  <c r="R193" i="1" s="1"/>
  <c r="V479" i="2"/>
  <c r="V22" i="2" s="1"/>
  <c r="S28" i="1" s="1"/>
  <c r="S131" i="1" s="1"/>
  <c r="S193" i="1" s="1"/>
  <c r="W479" i="2"/>
  <c r="W22" i="2" s="1"/>
  <c r="T28" i="1" s="1"/>
  <c r="U482" i="2"/>
  <c r="U25" i="2" s="1"/>
  <c r="V482" i="2"/>
  <c r="V25" i="2" s="1"/>
  <c r="W482" i="2"/>
  <c r="W25" i="2" s="1"/>
  <c r="U483" i="2"/>
  <c r="U27" i="2" s="1"/>
  <c r="R38" i="1" s="1"/>
  <c r="R139" i="1" s="1"/>
  <c r="R201" i="1" s="1"/>
  <c r="V483" i="2"/>
  <c r="V27" i="2" s="1"/>
  <c r="W483" i="2"/>
  <c r="W27" i="2" s="1"/>
  <c r="T38" i="1" s="1"/>
  <c r="T139" i="1" s="1"/>
  <c r="T201" i="1" s="1"/>
  <c r="U485" i="2"/>
  <c r="V485" i="2"/>
  <c r="W485" i="2"/>
  <c r="U486" i="2"/>
  <c r="U34" i="2" s="1"/>
  <c r="R43" i="1" s="1"/>
  <c r="R146" i="1" s="1"/>
  <c r="R208" i="1" s="1"/>
  <c r="V486" i="2"/>
  <c r="W486" i="2"/>
  <c r="W34" i="2" s="1"/>
  <c r="T43" i="1" s="1"/>
  <c r="T146" i="1" s="1"/>
  <c r="T208" i="1" s="1"/>
  <c r="U517" i="2"/>
  <c r="U516" i="2" s="1"/>
  <c r="V517" i="2"/>
  <c r="V516" i="2" s="1"/>
  <c r="W517" i="2"/>
  <c r="W516" i="2" s="1"/>
  <c r="U519" i="2"/>
  <c r="U518" i="2" s="1"/>
  <c r="V519" i="2"/>
  <c r="V518" i="2" s="1"/>
  <c r="W519" i="2"/>
  <c r="W518" i="2" s="1"/>
  <c r="U522" i="2"/>
  <c r="U521" i="2" s="1"/>
  <c r="U520" i="2" s="1"/>
  <c r="S39" i="10" s="1"/>
  <c r="V522" i="2"/>
  <c r="V521" i="2" s="1"/>
  <c r="V520" i="2" s="1"/>
  <c r="T39" i="10" s="1"/>
  <c r="W522" i="2"/>
  <c r="W521" i="2" s="1"/>
  <c r="W520" i="2" s="1"/>
  <c r="U39" i="10" s="1"/>
  <c r="W39" i="2"/>
  <c r="W40" i="2"/>
  <c r="W18" i="2" s="1"/>
  <c r="T24" i="1" s="1"/>
  <c r="W42" i="2"/>
  <c r="W46" i="2"/>
  <c r="W47" i="2"/>
  <c r="W28" i="2" s="1"/>
  <c r="T39" i="1" s="1"/>
  <c r="T143" i="1" s="1"/>
  <c r="T205" i="1" s="1"/>
  <c r="W48" i="2"/>
  <c r="W51" i="2"/>
  <c r="W31" i="2" s="1"/>
  <c r="U39" i="2"/>
  <c r="V39" i="2"/>
  <c r="U40" i="2"/>
  <c r="U18" i="2" s="1"/>
  <c r="R24" i="1" s="1"/>
  <c r="R129" i="1" s="1"/>
  <c r="R190" i="1" s="1"/>
  <c r="V40" i="2"/>
  <c r="V18" i="2" s="1"/>
  <c r="S24" i="1" s="1"/>
  <c r="S129" i="1" s="1"/>
  <c r="S190" i="1" s="1"/>
  <c r="U42" i="2"/>
  <c r="V42" i="2"/>
  <c r="U46" i="2"/>
  <c r="U26" i="2" s="1"/>
  <c r="V46" i="2"/>
  <c r="V26" i="2" s="1"/>
  <c r="U47" i="2"/>
  <c r="V47" i="2"/>
  <c r="V28" i="2" s="1"/>
  <c r="S39" i="1" s="1"/>
  <c r="S143" i="1" s="1"/>
  <c r="S205" i="1" s="1"/>
  <c r="U48" i="2"/>
  <c r="U29" i="2" s="1"/>
  <c r="R40" i="1" s="1"/>
  <c r="R144" i="1" s="1"/>
  <c r="R206" i="1" s="1"/>
  <c r="V48" i="2"/>
  <c r="V29" i="2" s="1"/>
  <c r="S40" i="1" s="1"/>
  <c r="S144" i="1" s="1"/>
  <c r="S206" i="1" s="1"/>
  <c r="U51" i="2"/>
  <c r="U31" i="2" s="1"/>
  <c r="V51" i="2"/>
  <c r="V31" i="2" s="1"/>
  <c r="U33" i="2"/>
  <c r="R46" i="1" s="1"/>
  <c r="V33" i="2"/>
  <c r="S46" i="1" s="1"/>
  <c r="U28" i="2"/>
  <c r="R39" i="1" s="1"/>
  <c r="R143" i="1" s="1"/>
  <c r="R205" i="1" s="1"/>
  <c r="W29" i="2"/>
  <c r="T40" i="1" s="1"/>
  <c r="T144" i="1" s="1"/>
  <c r="T206" i="1" s="1"/>
  <c r="V34" i="2"/>
  <c r="S43" i="1" s="1"/>
  <c r="S146" i="1" s="1"/>
  <c r="S208" i="1" s="1"/>
  <c r="M647" i="2"/>
  <c r="M635" i="2"/>
  <c r="D635" i="2" s="1"/>
  <c r="M632" i="2"/>
  <c r="D632" i="2" s="1"/>
  <c r="M627" i="2"/>
  <c r="D627" i="2" s="1"/>
  <c r="M624" i="2"/>
  <c r="D624" i="2" s="1"/>
  <c r="M614" i="2"/>
  <c r="D595" i="2"/>
  <c r="M592" i="2"/>
  <c r="D592" i="2" s="1"/>
  <c r="M551" i="2"/>
  <c r="D528" i="2"/>
  <c r="D519" i="2" s="1"/>
  <c r="M498" i="2"/>
  <c r="M491" i="2"/>
  <c r="M269" i="2"/>
  <c r="D269" i="2" s="1"/>
  <c r="M266" i="2"/>
  <c r="D266" i="2" s="1"/>
  <c r="M262" i="2"/>
  <c r="D262" i="2" s="1"/>
  <c r="M250" i="2"/>
  <c r="M180" i="2"/>
  <c r="D180" i="2" s="1"/>
  <c r="N120" i="2"/>
  <c r="E115" i="2"/>
  <c r="M93" i="2"/>
  <c r="D93" i="2" s="1"/>
  <c r="M86" i="2"/>
  <c r="D86" i="2" s="1"/>
  <c r="M233" i="2"/>
  <c r="D233" i="2" s="1"/>
  <c r="D234" i="2"/>
  <c r="R103" i="1" l="1"/>
  <c r="R101" i="1" s="1"/>
  <c r="R100" i="1" s="1"/>
  <c r="T103" i="1"/>
  <c r="T101" i="1" s="1"/>
  <c r="T100" i="1" s="1"/>
  <c r="S103" i="1"/>
  <c r="S101" i="1" s="1"/>
  <c r="S100" i="1" s="1"/>
  <c r="U20" i="2"/>
  <c r="R29" i="1" s="1"/>
  <c r="R128" i="1" s="1"/>
  <c r="R189" i="1" s="1"/>
  <c r="D250" i="2"/>
  <c r="M249" i="2"/>
  <c r="U16" i="2"/>
  <c r="R21" i="1" s="1"/>
  <c r="R126" i="1" s="1"/>
  <c r="R187" i="1" s="1"/>
  <c r="W26" i="2"/>
  <c r="T37" i="1" s="1"/>
  <c r="T138" i="1" s="1"/>
  <c r="T200" i="1" s="1"/>
  <c r="W384" i="2"/>
  <c r="U29" i="10" s="1"/>
  <c r="U26" i="10" s="1"/>
  <c r="U384" i="2"/>
  <c r="S29" i="10" s="1"/>
  <c r="S26" i="10" s="1"/>
  <c r="R34" i="1"/>
  <c r="R137" i="1" s="1"/>
  <c r="R199" i="1" s="1"/>
  <c r="R19" i="1"/>
  <c r="R124" i="1" s="1"/>
  <c r="R186" i="1" s="1"/>
  <c r="T19" i="1"/>
  <c r="V16" i="2"/>
  <c r="S21" i="1" s="1"/>
  <c r="S126" i="1" s="1"/>
  <c r="S187" i="1" s="1"/>
  <c r="W16" i="2"/>
  <c r="T21" i="1" s="1"/>
  <c r="T126" i="1" s="1"/>
  <c r="T187" i="1" s="1"/>
  <c r="V384" i="2"/>
  <c r="T29" i="10" s="1"/>
  <c r="T26" i="10" s="1"/>
  <c r="S34" i="1"/>
  <c r="S19" i="1"/>
  <c r="T34" i="1"/>
  <c r="T137" i="1" s="1"/>
  <c r="T199" i="1" s="1"/>
  <c r="S38" i="1"/>
  <c r="S139" i="1" s="1"/>
  <c r="S201" i="1" s="1"/>
  <c r="S22" i="1"/>
  <c r="S127" i="1" s="1"/>
  <c r="S188" i="1" s="1"/>
  <c r="T22" i="1"/>
  <c r="T127" i="1" s="1"/>
  <c r="T188" i="1" s="1"/>
  <c r="R22" i="1"/>
  <c r="R127" i="1" s="1"/>
  <c r="R188" i="1" s="1"/>
  <c r="T129" i="1"/>
  <c r="T190" i="1" s="1"/>
  <c r="T131" i="1"/>
  <c r="T193" i="1" s="1"/>
  <c r="T130" i="1"/>
  <c r="T192" i="1" s="1"/>
  <c r="T125" i="1"/>
  <c r="T191" i="1" s="1"/>
  <c r="W33" i="2"/>
  <c r="T46" i="1" s="1"/>
  <c r="U14" i="2"/>
  <c r="R18" i="1" s="1"/>
  <c r="R122" i="1" s="1"/>
  <c r="R184" i="1" s="1"/>
  <c r="V32" i="2"/>
  <c r="V21" i="2"/>
  <c r="S31" i="1" s="1"/>
  <c r="S132" i="1" s="1"/>
  <c r="S194" i="1" s="1"/>
  <c r="W20" i="2"/>
  <c r="R51" i="1"/>
  <c r="V14" i="2"/>
  <c r="V13" i="2" s="1"/>
  <c r="W14" i="2"/>
  <c r="T18" i="1" s="1"/>
  <c r="W32" i="2"/>
  <c r="T45" i="1" s="1"/>
  <c r="U32" i="2"/>
  <c r="R45" i="1" s="1"/>
  <c r="W21" i="2"/>
  <c r="U21" i="2"/>
  <c r="R31" i="1" s="1"/>
  <c r="R132" i="1" s="1"/>
  <c r="R194" i="1" s="1"/>
  <c r="V20" i="2"/>
  <c r="S29" i="1" s="1"/>
  <c r="W50" i="2"/>
  <c r="S37" i="1"/>
  <c r="S138" i="1" s="1"/>
  <c r="S200" i="1" s="1"/>
  <c r="V45" i="2"/>
  <c r="V37" i="2"/>
  <c r="V36" i="2" s="1"/>
  <c r="W45" i="2"/>
  <c r="W37" i="2"/>
  <c r="W36" i="2" s="1"/>
  <c r="R37" i="1"/>
  <c r="R138" i="1" s="1"/>
  <c r="R200" i="1" s="1"/>
  <c r="U45" i="2"/>
  <c r="U37" i="2"/>
  <c r="U36" i="2" s="1"/>
  <c r="S51" i="1"/>
  <c r="W215" i="3"/>
  <c r="U215" i="3"/>
  <c r="U266" i="6" s="1"/>
  <c r="V13" i="4"/>
  <c r="V23" i="4"/>
  <c r="V13" i="5"/>
  <c r="S106" i="1"/>
  <c r="W266" i="6"/>
  <c r="T106" i="1"/>
  <c r="R106" i="1"/>
  <c r="V12" i="3"/>
  <c r="W12" i="3"/>
  <c r="W11" i="3" s="1"/>
  <c r="U12" i="3"/>
  <c r="V9" i="2"/>
  <c r="V515" i="2"/>
  <c r="T38" i="10" s="1"/>
  <c r="V484" i="2"/>
  <c r="V481" i="2"/>
  <c r="V477" i="2"/>
  <c r="W473" i="2"/>
  <c r="U473" i="2"/>
  <c r="V378" i="2"/>
  <c r="T28" i="10" s="1"/>
  <c r="T25" i="10" s="1"/>
  <c r="S137" i="1"/>
  <c r="S199" i="1" s="1"/>
  <c r="S124" i="1"/>
  <c r="S186" i="1" s="1"/>
  <c r="S14" i="1"/>
  <c r="S90" i="1" s="1"/>
  <c r="W9" i="2"/>
  <c r="U9" i="2"/>
  <c r="W484" i="2"/>
  <c r="U484" i="2"/>
  <c r="W481" i="2"/>
  <c r="W480" i="2" s="1"/>
  <c r="U12" i="10" s="1"/>
  <c r="U481" i="2"/>
  <c r="U480" i="2" s="1"/>
  <c r="S12" i="10" s="1"/>
  <c r="W477" i="2"/>
  <c r="U477" i="2"/>
  <c r="V473" i="2"/>
  <c r="R14" i="1"/>
  <c r="R90" i="1" s="1"/>
  <c r="T14" i="1"/>
  <c r="W9" i="8"/>
  <c r="T141" i="1"/>
  <c r="T203" i="1" s="1"/>
  <c r="W209" i="3"/>
  <c r="V209" i="3"/>
  <c r="U209" i="3"/>
  <c r="W18" i="3"/>
  <c r="T98" i="1" s="1"/>
  <c r="U18" i="3"/>
  <c r="R98" i="1" s="1"/>
  <c r="V11" i="3"/>
  <c r="V18" i="3"/>
  <c r="S98" i="1" s="1"/>
  <c r="U11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 s="1"/>
  <c r="W378" i="2"/>
  <c r="U28" i="10" s="1"/>
  <c r="U25" i="10" s="1"/>
  <c r="U378" i="2"/>
  <c r="S28" i="10" s="1"/>
  <c r="S25" i="10" s="1"/>
  <c r="W515" i="2"/>
  <c r="U38" i="10" s="1"/>
  <c r="U515" i="2"/>
  <c r="S38" i="10" s="1"/>
  <c r="U50" i="2"/>
  <c r="V50" i="2"/>
  <c r="V44" i="2" s="1"/>
  <c r="W24" i="2" l="1"/>
  <c r="T29" i="1"/>
  <c r="T128" i="1" s="1"/>
  <c r="T189" i="1" s="1"/>
  <c r="V30" i="2"/>
  <c r="S45" i="1"/>
  <c r="S145" i="1" s="1"/>
  <c r="S207" i="1" s="1"/>
  <c r="W44" i="2"/>
  <c r="T41" i="10"/>
  <c r="S41" i="10"/>
  <c r="T145" i="1"/>
  <c r="T207" i="1" s="1"/>
  <c r="R145" i="1"/>
  <c r="R207" i="1" s="1"/>
  <c r="V23" i="8"/>
  <c r="V12" i="8"/>
  <c r="U12" i="8"/>
  <c r="U23" i="8"/>
  <c r="T51" i="1"/>
  <c r="T52" i="1" s="1"/>
  <c r="V19" i="2"/>
  <c r="V12" i="2" s="1"/>
  <c r="U13" i="2"/>
  <c r="T124" i="1"/>
  <c r="T186" i="1" s="1"/>
  <c r="T122" i="1"/>
  <c r="T184" i="1" s="1"/>
  <c r="T90" i="1"/>
  <c r="W13" i="2"/>
  <c r="U24" i="2"/>
  <c r="U30" i="2"/>
  <c r="V472" i="2"/>
  <c r="U19" i="2"/>
  <c r="U12" i="2" s="1"/>
  <c r="U472" i="2"/>
  <c r="W19" i="2"/>
  <c r="W472" i="2"/>
  <c r="W12" i="2"/>
  <c r="W30" i="2"/>
  <c r="W23" i="2" s="1"/>
  <c r="S18" i="1"/>
  <c r="S17" i="1" s="1"/>
  <c r="S128" i="1"/>
  <c r="S189" i="1" s="1"/>
  <c r="T31" i="1"/>
  <c r="S33" i="1"/>
  <c r="U41" i="10"/>
  <c r="T33" i="1"/>
  <c r="V480" i="2"/>
  <c r="T12" i="10" s="1"/>
  <c r="V24" i="2"/>
  <c r="V23" i="2" s="1"/>
  <c r="R33" i="1"/>
  <c r="U44" i="2"/>
  <c r="R92" i="1"/>
  <c r="S92" i="1"/>
  <c r="T92" i="1"/>
  <c r="R147" i="1"/>
  <c r="R209" i="1" s="1"/>
  <c r="R210" i="1" s="1"/>
  <c r="R52" i="1"/>
  <c r="T147" i="1"/>
  <c r="T209" i="1" s="1"/>
  <c r="S147" i="1"/>
  <c r="S209" i="1" s="1"/>
  <c r="S52" i="1"/>
  <c r="T17" i="1"/>
  <c r="R41" i="1"/>
  <c r="R195" i="1"/>
  <c r="R26" i="1"/>
  <c r="R17" i="1"/>
  <c r="V9" i="3"/>
  <c r="V8" i="3" s="1"/>
  <c r="V267" i="6"/>
  <c r="U9" i="3"/>
  <c r="U8" i="3" s="1"/>
  <c r="U267" i="6"/>
  <c r="W9" i="3"/>
  <c r="W267" i="6"/>
  <c r="W23" i="8"/>
  <c r="R133" i="1"/>
  <c r="R16" i="1" l="1"/>
  <c r="S41" i="1"/>
  <c r="S210" i="1"/>
  <c r="R32" i="1"/>
  <c r="R49" i="1" s="1"/>
  <c r="S45" i="10" s="1"/>
  <c r="U42" i="10"/>
  <c r="T41" i="1"/>
  <c r="T210" i="1"/>
  <c r="S99" i="1"/>
  <c r="S93" i="1" s="1"/>
  <c r="T99" i="1"/>
  <c r="T93" i="1" s="1"/>
  <c r="W8" i="3"/>
  <c r="T13" i="1"/>
  <c r="T89" i="1" s="1"/>
  <c r="T88" i="1" s="1"/>
  <c r="S13" i="1"/>
  <c r="S12" i="1" s="1"/>
  <c r="O333" i="12" s="1"/>
  <c r="T132" i="1"/>
  <c r="T133" i="1" s="1"/>
  <c r="U23" i="2"/>
  <c r="R99" i="1" s="1"/>
  <c r="S26" i="1"/>
  <c r="S32" i="1"/>
  <c r="S49" i="1" s="1"/>
  <c r="S91" i="1" s="1"/>
  <c r="T42" i="10"/>
  <c r="S122" i="1"/>
  <c r="S184" i="1" s="1"/>
  <c r="S195" i="1" s="1"/>
  <c r="T97" i="1"/>
  <c r="T26" i="1"/>
  <c r="T16" i="1" s="1"/>
  <c r="T194" i="1"/>
  <c r="T195" i="1" s="1"/>
  <c r="T32" i="1"/>
  <c r="T49" i="1" s="1"/>
  <c r="U45" i="10" s="1"/>
  <c r="S42" i="10"/>
  <c r="R13" i="1"/>
  <c r="R89" i="1" s="1"/>
  <c r="R88" i="1" s="1"/>
  <c r="R48" i="1"/>
  <c r="R121" i="1" s="1"/>
  <c r="S16" i="1" l="1"/>
  <c r="S48" i="1" s="1"/>
  <c r="U48" i="10"/>
  <c r="S97" i="1"/>
  <c r="S96" i="1" s="1"/>
  <c r="S89" i="1"/>
  <c r="S88" i="1" s="1"/>
  <c r="T12" i="1"/>
  <c r="P333" i="12" s="1"/>
  <c r="R93" i="1"/>
  <c r="T48" i="1"/>
  <c r="T121" i="1" s="1"/>
  <c r="T183" i="1" s="1"/>
  <c r="S107" i="1"/>
  <c r="T107" i="1"/>
  <c r="S133" i="1"/>
  <c r="T135" i="1"/>
  <c r="T197" i="1" s="1"/>
  <c r="T91" i="1"/>
  <c r="T94" i="1" s="1"/>
  <c r="S44" i="10"/>
  <c r="S47" i="10" s="1"/>
  <c r="R12" i="1"/>
  <c r="N333" i="12" s="1"/>
  <c r="S48" i="10"/>
  <c r="R91" i="1"/>
  <c r="R135" i="1"/>
  <c r="R212" i="1" s="1"/>
  <c r="R213" i="1" s="1"/>
  <c r="R183" i="1"/>
  <c r="R196" i="1"/>
  <c r="S135" i="1"/>
  <c r="S197" i="1" s="1"/>
  <c r="S94" i="1"/>
  <c r="T45" i="10"/>
  <c r="T48" i="10" s="1"/>
  <c r="T96" i="1"/>
  <c r="T44" i="10" l="1"/>
  <c r="T47" i="10" s="1"/>
  <c r="S121" i="1"/>
  <c r="S196" i="1" s="1"/>
  <c r="S104" i="1"/>
  <c r="T196" i="1"/>
  <c r="U44" i="10"/>
  <c r="U47" i="10" s="1"/>
  <c r="R94" i="1"/>
  <c r="R97" i="1"/>
  <c r="R96" i="1" s="1"/>
  <c r="R107" i="1"/>
  <c r="T212" i="1"/>
  <c r="T213" i="1" s="1"/>
  <c r="D114" i="6"/>
  <c r="T104" i="1"/>
  <c r="R197" i="1"/>
  <c r="S212" i="1"/>
  <c r="S213" i="1" s="1"/>
  <c r="R216" i="3"/>
  <c r="S216" i="3"/>
  <c r="T216" i="3"/>
  <c r="R218" i="3"/>
  <c r="S218" i="3"/>
  <c r="T218" i="3"/>
  <c r="R213" i="3"/>
  <c r="S213" i="3"/>
  <c r="T213" i="3"/>
  <c r="R210" i="3"/>
  <c r="S210" i="3"/>
  <c r="T210" i="3"/>
  <c r="S183" i="1" l="1"/>
  <c r="R104" i="1"/>
  <c r="S209" i="3"/>
  <c r="T215" i="3"/>
  <c r="R215" i="3"/>
  <c r="S215" i="3"/>
  <c r="T209" i="3"/>
  <c r="R209" i="3"/>
  <c r="X87" i="6" l="1"/>
  <c r="E104" i="6" l="1"/>
  <c r="F104" i="6"/>
  <c r="G104" i="6"/>
  <c r="H104" i="6"/>
  <c r="I104" i="6"/>
  <c r="J104" i="6"/>
  <c r="K104" i="6"/>
  <c r="L104" i="6"/>
  <c r="N104" i="6"/>
  <c r="E122" i="6"/>
  <c r="F122" i="6"/>
  <c r="G122" i="6"/>
  <c r="G121" i="6" s="1"/>
  <c r="H122" i="6"/>
  <c r="H121" i="6" s="1"/>
  <c r="I122" i="6"/>
  <c r="I121" i="6" s="1"/>
  <c r="J122" i="6"/>
  <c r="K122" i="6"/>
  <c r="K121" i="6" s="1"/>
  <c r="L122" i="6"/>
  <c r="L121" i="6" s="1"/>
  <c r="N122" i="6"/>
  <c r="G55" i="12" s="1"/>
  <c r="O122" i="6"/>
  <c r="P122" i="6"/>
  <c r="I55" i="12" s="1"/>
  <c r="Q122" i="6"/>
  <c r="R122" i="6"/>
  <c r="K55" i="12" s="1"/>
  <c r="S122" i="6"/>
  <c r="T122" i="6"/>
  <c r="M55" i="12" s="1"/>
  <c r="D129" i="6"/>
  <c r="D128" i="6"/>
  <c r="D127" i="6"/>
  <c r="D126" i="6"/>
  <c r="M127" i="6"/>
  <c r="J121" i="6"/>
  <c r="F121" i="6"/>
  <c r="X118" i="6"/>
  <c r="X117" i="6" s="1"/>
  <c r="T118" i="6"/>
  <c r="T117" i="6" s="1"/>
  <c r="S118" i="6"/>
  <c r="S117" i="6" s="1"/>
  <c r="R118" i="6"/>
  <c r="R117" i="6" s="1"/>
  <c r="Q118" i="6"/>
  <c r="Q117" i="6" s="1"/>
  <c r="P118" i="6"/>
  <c r="P117" i="6" s="1"/>
  <c r="O118" i="6"/>
  <c r="O117" i="6" s="1"/>
  <c r="N118" i="6"/>
  <c r="N117" i="6" s="1"/>
  <c r="L118" i="6"/>
  <c r="L117" i="6" s="1"/>
  <c r="K118" i="6"/>
  <c r="K117" i="6" s="1"/>
  <c r="J118" i="6"/>
  <c r="J117" i="6" s="1"/>
  <c r="I118" i="6"/>
  <c r="I117" i="6" s="1"/>
  <c r="H118" i="6"/>
  <c r="H117" i="6" s="1"/>
  <c r="G118" i="6"/>
  <c r="G117" i="6" s="1"/>
  <c r="F118" i="6"/>
  <c r="F117" i="6" s="1"/>
  <c r="E118" i="6"/>
  <c r="T108" i="6"/>
  <c r="T104" i="6" s="1"/>
  <c r="T20" i="6" s="1"/>
  <c r="S108" i="6"/>
  <c r="S104" i="6" s="1"/>
  <c r="S20" i="6" s="1"/>
  <c r="R108" i="6"/>
  <c r="R104" i="6" s="1"/>
  <c r="R20" i="6" s="1"/>
  <c r="E94" i="6"/>
  <c r="E15" i="6" s="1"/>
  <c r="F94" i="6"/>
  <c r="F15" i="6" s="1"/>
  <c r="G94" i="6"/>
  <c r="G15" i="6" s="1"/>
  <c r="H94" i="6"/>
  <c r="H15" i="6" s="1"/>
  <c r="I94" i="6"/>
  <c r="I15" i="6" s="1"/>
  <c r="J94" i="6"/>
  <c r="J15" i="6" s="1"/>
  <c r="K94" i="6"/>
  <c r="K15" i="6" s="1"/>
  <c r="L94" i="6"/>
  <c r="L15" i="6" s="1"/>
  <c r="N94" i="6"/>
  <c r="X100" i="6"/>
  <c r="E100" i="6"/>
  <c r="F100" i="6"/>
  <c r="G100" i="6"/>
  <c r="H100" i="6"/>
  <c r="I100" i="6"/>
  <c r="J100" i="6"/>
  <c r="K100" i="6"/>
  <c r="L100" i="6"/>
  <c r="N100" i="6"/>
  <c r="O100" i="6"/>
  <c r="O18" i="6" s="1"/>
  <c r="P100" i="6"/>
  <c r="P18" i="6" s="1"/>
  <c r="Q100" i="6"/>
  <c r="Q18" i="6" s="1"/>
  <c r="R100" i="6"/>
  <c r="R18" i="6" s="1"/>
  <c r="S100" i="6"/>
  <c r="S18" i="6" s="1"/>
  <c r="T100" i="6"/>
  <c r="T18" i="6" s="1"/>
  <c r="X99" i="6"/>
  <c r="X97" i="6"/>
  <c r="X96" i="6"/>
  <c r="T98" i="6"/>
  <c r="S98" i="6"/>
  <c r="R98" i="6"/>
  <c r="S264" i="6" l="1"/>
  <c r="L55" i="12"/>
  <c r="Q264" i="6"/>
  <c r="J55" i="12"/>
  <c r="O264" i="6"/>
  <c r="H55" i="12"/>
  <c r="L20" i="6"/>
  <c r="J20" i="6"/>
  <c r="H20" i="6"/>
  <c r="F20" i="6"/>
  <c r="N20" i="6"/>
  <c r="K20" i="6"/>
  <c r="I20" i="6"/>
  <c r="G20" i="6"/>
  <c r="E20" i="6"/>
  <c r="Q121" i="6"/>
  <c r="J53" i="12" s="1"/>
  <c r="S121" i="6"/>
  <c r="P25" i="1"/>
  <c r="L25" i="1"/>
  <c r="X18" i="6"/>
  <c r="X98" i="6"/>
  <c r="X108" i="6"/>
  <c r="D98" i="6"/>
  <c r="O104" i="6"/>
  <c r="O20" i="6" s="1"/>
  <c r="D108" i="6"/>
  <c r="D106" i="6"/>
  <c r="X106" i="6"/>
  <c r="N25" i="1"/>
  <c r="O121" i="6"/>
  <c r="T121" i="6"/>
  <c r="T264" i="6"/>
  <c r="R121" i="6"/>
  <c r="R264" i="6"/>
  <c r="P121" i="6"/>
  <c r="P264" i="6"/>
  <c r="N121" i="6"/>
  <c r="N264" i="6"/>
  <c r="M94" i="6"/>
  <c r="F127" i="12" s="1"/>
  <c r="E121" i="6"/>
  <c r="M122" i="6"/>
  <c r="F55" i="12" s="1"/>
  <c r="E55" i="12" s="1"/>
  <c r="E18" i="6"/>
  <c r="M100" i="6"/>
  <c r="E117" i="6"/>
  <c r="E116" i="6" s="1"/>
  <c r="E12" i="6" s="1"/>
  <c r="M118" i="6"/>
  <c r="X122" i="6"/>
  <c r="X121" i="6" s="1"/>
  <c r="X116" i="6" s="1"/>
  <c r="X12" i="6" s="1"/>
  <c r="M104" i="6"/>
  <c r="E93" i="6"/>
  <c r="Q25" i="1"/>
  <c r="O25" i="1"/>
  <c r="M25" i="1"/>
  <c r="N18" i="6"/>
  <c r="K25" i="1" s="1"/>
  <c r="L18" i="6"/>
  <c r="J18" i="6"/>
  <c r="H18" i="6"/>
  <c r="F18" i="6"/>
  <c r="G116" i="6"/>
  <c r="G12" i="6" s="1"/>
  <c r="I116" i="6"/>
  <c r="I12" i="6" s="1"/>
  <c r="K116" i="6"/>
  <c r="Q116" i="6"/>
  <c r="D272" i="6"/>
  <c r="K93" i="6"/>
  <c r="K18" i="6"/>
  <c r="I93" i="6"/>
  <c r="I18" i="6"/>
  <c r="G93" i="6"/>
  <c r="G18" i="6"/>
  <c r="P104" i="6"/>
  <c r="P20" i="6" s="1"/>
  <c r="Q104" i="6"/>
  <c r="Q20" i="6" s="1"/>
  <c r="F116" i="6"/>
  <c r="F12" i="6" s="1"/>
  <c r="H116" i="6"/>
  <c r="H12" i="6" s="1"/>
  <c r="J116" i="6"/>
  <c r="J12" i="6" s="1"/>
  <c r="L116" i="6"/>
  <c r="T94" i="6"/>
  <c r="R94" i="6"/>
  <c r="P94" i="6"/>
  <c r="N93" i="6"/>
  <c r="L93" i="6"/>
  <c r="J93" i="6"/>
  <c r="H93" i="6"/>
  <c r="F93" i="6"/>
  <c r="S94" i="6"/>
  <c r="Q94" i="6"/>
  <c r="O94" i="6"/>
  <c r="H127" i="12" s="1"/>
  <c r="Q15" i="6" l="1"/>
  <c r="J127" i="12"/>
  <c r="R15" i="6"/>
  <c r="K127" i="12"/>
  <c r="S15" i="6"/>
  <c r="L127" i="12"/>
  <c r="P15" i="6"/>
  <c r="I127" i="12"/>
  <c r="T15" i="6"/>
  <c r="M127" i="12"/>
  <c r="Q12" i="6"/>
  <c r="O116" i="6"/>
  <c r="H53" i="12"/>
  <c r="S116" i="6"/>
  <c r="L53" i="12"/>
  <c r="L10" i="12" s="1"/>
  <c r="N116" i="6"/>
  <c r="G53" i="12"/>
  <c r="P116" i="6"/>
  <c r="I53" i="12"/>
  <c r="R116" i="6"/>
  <c r="K53" i="12"/>
  <c r="T116" i="6"/>
  <c r="M53" i="12"/>
  <c r="M10" i="12" s="1"/>
  <c r="X94" i="6"/>
  <c r="D100" i="6"/>
  <c r="M18" i="6"/>
  <c r="R263" i="6"/>
  <c r="S263" i="6"/>
  <c r="T263" i="6"/>
  <c r="P263" i="6"/>
  <c r="D122" i="6"/>
  <c r="M264" i="6"/>
  <c r="M93" i="6"/>
  <c r="J25" i="1"/>
  <c r="U25" i="1" s="1"/>
  <c r="M263" i="6"/>
  <c r="Q263" i="6"/>
  <c r="O93" i="6"/>
  <c r="O263" i="6"/>
  <c r="M121" i="6"/>
  <c r="F53" i="12" s="1"/>
  <c r="D104" i="6"/>
  <c r="D118" i="6"/>
  <c r="M117" i="6"/>
  <c r="D94" i="6"/>
  <c r="X93" i="6"/>
  <c r="X104" i="6"/>
  <c r="X20" i="6" s="1"/>
  <c r="S93" i="6"/>
  <c r="R93" i="6"/>
  <c r="Q93" i="6"/>
  <c r="P93" i="6"/>
  <c r="T93" i="6"/>
  <c r="E127" i="12" l="1"/>
  <c r="T12" i="6"/>
  <c r="R12" i="6"/>
  <c r="P12" i="6"/>
  <c r="S12" i="6"/>
  <c r="E53" i="12"/>
  <c r="D52" i="12" s="1"/>
  <c r="D103" i="6"/>
  <c r="D18" i="6"/>
  <c r="X25" i="1"/>
  <c r="Y25" i="1" s="1"/>
  <c r="D259" i="6"/>
  <c r="M116" i="6"/>
  <c r="D264" i="6"/>
  <c r="D121" i="6"/>
  <c r="D256" i="6" s="1"/>
  <c r="D271" i="6"/>
  <c r="D263" i="6"/>
  <c r="D93" i="6"/>
  <c r="D117" i="6"/>
  <c r="O131" i="6"/>
  <c r="O130" i="6" s="1"/>
  <c r="T131" i="6"/>
  <c r="T130" i="6" s="1"/>
  <c r="R8" i="10" s="1"/>
  <c r="S131" i="6"/>
  <c r="R131" i="6"/>
  <c r="R130" i="6" s="1"/>
  <c r="P8" i="10" s="1"/>
  <c r="Q131" i="6"/>
  <c r="Q130" i="6" s="1"/>
  <c r="P131" i="6"/>
  <c r="P130" i="6" s="1"/>
  <c r="N8" i="10" s="1"/>
  <c r="N131" i="6"/>
  <c r="N130" i="6" s="1"/>
  <c r="L131" i="6"/>
  <c r="L130" i="6" s="1"/>
  <c r="J131" i="6"/>
  <c r="J130" i="6" s="1"/>
  <c r="I131" i="6"/>
  <c r="I130" i="6" s="1"/>
  <c r="H131" i="6"/>
  <c r="H130" i="6" s="1"/>
  <c r="G131" i="6"/>
  <c r="G130" i="6" s="1"/>
  <c r="F131" i="6"/>
  <c r="F130" i="6" s="1"/>
  <c r="E131" i="6"/>
  <c r="E130" i="6" s="1"/>
  <c r="S130" i="6"/>
  <c r="H114" i="6"/>
  <c r="T113" i="6"/>
  <c r="T112" i="6" s="1"/>
  <c r="M129" i="12" s="1"/>
  <c r="S113" i="6"/>
  <c r="R113" i="6"/>
  <c r="R112" i="6" s="1"/>
  <c r="K129" i="12" s="1"/>
  <c r="Q113" i="6"/>
  <c r="Q112" i="6" s="1"/>
  <c r="J129" i="12" s="1"/>
  <c r="P113" i="6"/>
  <c r="P112" i="6" s="1"/>
  <c r="I129" i="12" s="1"/>
  <c r="O113" i="6"/>
  <c r="O112" i="6" s="1"/>
  <c r="H129" i="12" s="1"/>
  <c r="N113" i="6"/>
  <c r="N112" i="6" s="1"/>
  <c r="L113" i="6"/>
  <c r="L112" i="6" s="1"/>
  <c r="K113" i="6"/>
  <c r="J113" i="6"/>
  <c r="J112" i="6" s="1"/>
  <c r="I113" i="6"/>
  <c r="I112" i="6" s="1"/>
  <c r="H113" i="6"/>
  <c r="H112" i="6" s="1"/>
  <c r="G113" i="6"/>
  <c r="G112" i="6" s="1"/>
  <c r="F113" i="6"/>
  <c r="F112" i="6" s="1"/>
  <c r="E113" i="6"/>
  <c r="E112" i="6" s="1"/>
  <c r="S112" i="6"/>
  <c r="L129" i="12" s="1"/>
  <c r="K112" i="6"/>
  <c r="M109" i="6"/>
  <c r="L103" i="6"/>
  <c r="L92" i="6" s="1"/>
  <c r="L11" i="6" s="1"/>
  <c r="X103" i="6"/>
  <c r="X92" i="6" s="1"/>
  <c r="X11" i="6" s="1"/>
  <c r="K103" i="6"/>
  <c r="K92" i="6" s="1"/>
  <c r="K11" i="6" s="1"/>
  <c r="J103" i="6"/>
  <c r="J92" i="6" s="1"/>
  <c r="J11" i="6" s="1"/>
  <c r="I103" i="6"/>
  <c r="I92" i="6" s="1"/>
  <c r="I11" i="6" s="1"/>
  <c r="H103" i="6"/>
  <c r="H92" i="6" s="1"/>
  <c r="H11" i="6" s="1"/>
  <c r="G103" i="6"/>
  <c r="G92" i="6" s="1"/>
  <c r="G11" i="6" s="1"/>
  <c r="F103" i="6"/>
  <c r="F92" i="6" s="1"/>
  <c r="F11" i="6" s="1"/>
  <c r="E103" i="6"/>
  <c r="E92" i="6" s="1"/>
  <c r="E11" i="6" s="1"/>
  <c r="T103" i="6"/>
  <c r="S103" i="6"/>
  <c r="R103" i="6"/>
  <c r="Q103" i="6"/>
  <c r="P103" i="6"/>
  <c r="P92" i="6" l="1"/>
  <c r="I128" i="12"/>
  <c r="R92" i="6"/>
  <c r="R267" i="6" s="1"/>
  <c r="K128" i="12"/>
  <c r="T92" i="6"/>
  <c r="T267" i="6" s="1"/>
  <c r="M128" i="12"/>
  <c r="Q92" i="6"/>
  <c r="J128" i="12"/>
  <c r="S92" i="6"/>
  <c r="S267" i="6" s="1"/>
  <c r="L128" i="12"/>
  <c r="Q8" i="10"/>
  <c r="O8" i="10"/>
  <c r="S266" i="6"/>
  <c r="R266" i="6"/>
  <c r="T266" i="6"/>
  <c r="D113" i="6"/>
  <c r="D112" i="6" s="1"/>
  <c r="N103" i="6"/>
  <c r="N92" i="6" s="1"/>
  <c r="N11" i="6" s="1"/>
  <c r="M103" i="6"/>
  <c r="M113" i="6"/>
  <c r="M112" i="6" s="1"/>
  <c r="F129" i="12" s="1"/>
  <c r="E129" i="12" s="1"/>
  <c r="D131" i="6"/>
  <c r="D130" i="6" s="1"/>
  <c r="M131" i="6"/>
  <c r="M130" i="6" s="1"/>
  <c r="D116" i="6"/>
  <c r="K131" i="6"/>
  <c r="K130" i="6" s="1"/>
  <c r="M92" i="6" l="1"/>
  <c r="F128" i="12"/>
  <c r="S11" i="6"/>
  <c r="L126" i="12"/>
  <c r="L108" i="12" s="1"/>
  <c r="L9" i="12" s="1"/>
  <c r="Q7" i="10"/>
  <c r="Q11" i="6"/>
  <c r="J126" i="12"/>
  <c r="J108" i="12" s="1"/>
  <c r="O7" i="10"/>
  <c r="T11" i="6"/>
  <c r="M126" i="12"/>
  <c r="M108" i="12" s="1"/>
  <c r="M9" i="12" s="1"/>
  <c r="R7" i="10"/>
  <c r="R11" i="6"/>
  <c r="K126" i="12"/>
  <c r="K108" i="12" s="1"/>
  <c r="P7" i="10"/>
  <c r="P11" i="6"/>
  <c r="I126" i="12"/>
  <c r="I108" i="12" s="1"/>
  <c r="N7" i="10"/>
  <c r="D252" i="6"/>
  <c r="Z21" i="6"/>
  <c r="D251" i="6"/>
  <c r="D253" i="6" s="1"/>
  <c r="O103" i="6"/>
  <c r="D92" i="6"/>
  <c r="D255" i="6" l="1"/>
  <c r="H128" i="12"/>
  <c r="E128" i="12" s="1"/>
  <c r="M11" i="6"/>
  <c r="F126" i="12"/>
  <c r="O92" i="6"/>
  <c r="H126" i="12" s="1"/>
  <c r="H108" i="12" s="1"/>
  <c r="D257" i="6"/>
  <c r="D261" i="6" s="1"/>
  <c r="F108" i="12" l="1"/>
  <c r="E126" i="12"/>
  <c r="E108" i="12" s="1"/>
  <c r="T12" i="4"/>
  <c r="F12" i="4"/>
  <c r="G12" i="4"/>
  <c r="H12" i="4"/>
  <c r="I12" i="4"/>
  <c r="L12" i="4"/>
  <c r="R12" i="4"/>
  <c r="S12" i="4"/>
  <c r="X46" i="13"/>
  <c r="X45" i="13" s="1"/>
  <c r="X48" i="13"/>
  <c r="X47" i="13" s="1"/>
  <c r="X39" i="13"/>
  <c r="X38" i="13" s="1"/>
  <c r="X37" i="13"/>
  <c r="X36" i="13" s="1"/>
  <c r="X30" i="13"/>
  <c r="X29" i="13" s="1"/>
  <c r="X28" i="13"/>
  <c r="X27" i="13" s="1"/>
  <c r="X96" i="8"/>
  <c r="X121" i="8"/>
  <c r="X124" i="8"/>
  <c r="X123" i="8" s="1"/>
  <c r="X122" i="8"/>
  <c r="X120" i="8"/>
  <c r="X119" i="8" s="1"/>
  <c r="X187" i="8"/>
  <c r="X180" i="8"/>
  <c r="X217" i="8"/>
  <c r="X218" i="8"/>
  <c r="X216" i="8" s="1"/>
  <c r="X215" i="8" s="1"/>
  <c r="X188" i="8"/>
  <c r="X133" i="8"/>
  <c r="X132" i="8" s="1"/>
  <c r="X131" i="8" s="1"/>
  <c r="X110" i="8"/>
  <c r="X108" i="8" s="1"/>
  <c r="X109" i="8"/>
  <c r="X19" i="8" s="1"/>
  <c r="X107" i="8"/>
  <c r="X106" i="8"/>
  <c r="X95" i="8"/>
  <c r="X94" i="8" s="1"/>
  <c r="X93" i="8"/>
  <c r="X92" i="8" s="1"/>
  <c r="X43" i="8"/>
  <c r="X42" i="8"/>
  <c r="X41" i="8"/>
  <c r="X39" i="8"/>
  <c r="X38" i="8"/>
  <c r="X37" i="8"/>
  <c r="X36" i="7"/>
  <c r="X48" i="7"/>
  <c r="X60" i="7"/>
  <c r="X72" i="7"/>
  <c r="X84" i="7"/>
  <c r="X83" i="7"/>
  <c r="X81" i="7" s="1"/>
  <c r="X80" i="7" s="1"/>
  <c r="X71" i="7"/>
  <c r="X69" i="7" s="1"/>
  <c r="X68" i="7" s="1"/>
  <c r="X58" i="7"/>
  <c r="X57" i="7" s="1"/>
  <c r="X56" i="7" s="1"/>
  <c r="X46" i="7"/>
  <c r="X45" i="7" s="1"/>
  <c r="X44" i="7" s="1"/>
  <c r="X35" i="7"/>
  <c r="X33" i="7" s="1"/>
  <c r="X32" i="7" s="1"/>
  <c r="X15" i="7"/>
  <c r="X243" i="6"/>
  <c r="X86" i="6"/>
  <c r="X85" i="6"/>
  <c r="X15" i="6" s="1"/>
  <c r="X76" i="6"/>
  <c r="X75" i="6" s="1"/>
  <c r="X74" i="6"/>
  <c r="X73" i="6" s="1"/>
  <c r="X65" i="6"/>
  <c r="X64" i="6" s="1"/>
  <c r="X63" i="6"/>
  <c r="X62" i="6" s="1"/>
  <c r="X54" i="6"/>
  <c r="X53" i="6" s="1"/>
  <c r="X52" i="6"/>
  <c r="X51" i="6" s="1"/>
  <c r="X43" i="6"/>
  <c r="X41" i="6"/>
  <c r="X40" i="6" s="1"/>
  <c r="X39" i="6" s="1"/>
  <c r="X32" i="6"/>
  <c r="X30" i="6"/>
  <c r="X29" i="6" s="1"/>
  <c r="X123" i="4"/>
  <c r="X122" i="4" s="1"/>
  <c r="X108" i="4"/>
  <c r="X107" i="4"/>
  <c r="X109" i="4"/>
  <c r="X98" i="4"/>
  <c r="X97" i="4"/>
  <c r="X95" i="4" s="1"/>
  <c r="X94" i="4" s="1"/>
  <c r="X90" i="4"/>
  <c r="X89" i="4" s="1"/>
  <c r="X85" i="4"/>
  <c r="X84" i="4" s="1"/>
  <c r="X80" i="4"/>
  <c r="X79" i="4" s="1"/>
  <c r="X70" i="4"/>
  <c r="X69" i="4"/>
  <c r="X59" i="4"/>
  <c r="X58" i="4"/>
  <c r="X57" i="4"/>
  <c r="X46" i="4"/>
  <c r="X45" i="4"/>
  <c r="X44" i="4"/>
  <c r="X20" i="4"/>
  <c r="X560" i="2"/>
  <c r="X495" i="2"/>
  <c r="X647" i="2"/>
  <c r="X646" i="2" s="1"/>
  <c r="X645" i="2" s="1"/>
  <c r="X632" i="2"/>
  <c r="X624" i="2"/>
  <c r="X611" i="2"/>
  <c r="X605" i="2"/>
  <c r="X604" i="2" s="1"/>
  <c r="X599" i="2"/>
  <c r="X598" i="2" s="1"/>
  <c r="X597" i="2" s="1"/>
  <c r="X592" i="2"/>
  <c r="X591" i="2"/>
  <c r="X590" i="2" s="1"/>
  <c r="X589" i="2" s="1"/>
  <c r="X587" i="2"/>
  <c r="X586" i="2" s="1"/>
  <c r="X585" i="2" s="1"/>
  <c r="X580" i="2"/>
  <c r="X579" i="2"/>
  <c r="X570" i="2"/>
  <c r="X569" i="2" s="1"/>
  <c r="X559" i="2"/>
  <c r="X558" i="2" s="1"/>
  <c r="X557" i="2" s="1"/>
  <c r="X539" i="2"/>
  <c r="X528" i="2"/>
  <c r="X527" i="2" s="1"/>
  <c r="X526" i="2"/>
  <c r="X525" i="2" s="1"/>
  <c r="X510" i="2"/>
  <c r="X509" i="2" s="1"/>
  <c r="X508" i="2"/>
  <c r="X507" i="2" s="1"/>
  <c r="X494" i="2"/>
  <c r="X490" i="2"/>
  <c r="X492" i="2"/>
  <c r="X491" i="2"/>
  <c r="X404" i="2"/>
  <c r="X403" i="2" s="1"/>
  <c r="X402" i="2"/>
  <c r="X401" i="2" s="1"/>
  <c r="X394" i="2"/>
  <c r="X393" i="2" s="1"/>
  <c r="X392" i="2"/>
  <c r="X391" i="2" s="1"/>
  <c r="X333" i="2"/>
  <c r="X332" i="2" s="1"/>
  <c r="X330" i="2"/>
  <c r="X329" i="2" s="1"/>
  <c r="X269" i="2"/>
  <c r="X268" i="2" s="1"/>
  <c r="X266" i="2"/>
  <c r="X265" i="2" s="1"/>
  <c r="X255" i="2"/>
  <c r="X253" i="2" s="1"/>
  <c r="X250" i="2"/>
  <c r="X243" i="2"/>
  <c r="X242" i="2" s="1"/>
  <c r="X241" i="2"/>
  <c r="X240" i="2" s="1"/>
  <c r="X230" i="2"/>
  <c r="X229" i="2" s="1"/>
  <c r="X226" i="2"/>
  <c r="X225" i="2" s="1"/>
  <c r="X218" i="2"/>
  <c r="X217" i="2" s="1"/>
  <c r="X202" i="2"/>
  <c r="X201" i="2" s="1"/>
  <c r="X200" i="2"/>
  <c r="X199" i="2" s="1"/>
  <c r="X193" i="2"/>
  <c r="X192" i="2" s="1"/>
  <c r="X191" i="2"/>
  <c r="X190" i="2" s="1"/>
  <c r="X182" i="2"/>
  <c r="X181" i="2" s="1"/>
  <c r="X180" i="2"/>
  <c r="X179" i="2"/>
  <c r="X172" i="2"/>
  <c r="X171" i="2" s="1"/>
  <c r="X170" i="2"/>
  <c r="X169" i="2" s="1"/>
  <c r="X161" i="2"/>
  <c r="X160" i="2" s="1"/>
  <c r="X159" i="2"/>
  <c r="X158" i="2" s="1"/>
  <c r="X150" i="2"/>
  <c r="X149" i="2" s="1"/>
  <c r="X148" i="2"/>
  <c r="X147" i="2"/>
  <c r="X128" i="2"/>
  <c r="X127" i="2" s="1"/>
  <c r="X126" i="2"/>
  <c r="X125" i="2" s="1"/>
  <c r="X117" i="2"/>
  <c r="X116" i="2" s="1"/>
  <c r="X115" i="2"/>
  <c r="X114" i="2"/>
  <c r="X104" i="2"/>
  <c r="X102" i="2" s="1"/>
  <c r="X101" i="2"/>
  <c r="X100" i="2"/>
  <c r="X89" i="2"/>
  <c r="X86" i="2"/>
  <c r="X85" i="2"/>
  <c r="X84" i="2"/>
  <c r="X60" i="2"/>
  <c r="X58" i="2" s="1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D125" i="12" l="1"/>
  <c r="X105" i="4"/>
  <c r="X104" i="4" s="1"/>
  <c r="X55" i="2"/>
  <c r="X328" i="2"/>
  <c r="X83" i="2"/>
  <c r="X40" i="8"/>
  <c r="X91" i="8"/>
  <c r="X105" i="8"/>
  <c r="X18" i="4"/>
  <c r="V148" i="1"/>
  <c r="V164" i="1"/>
  <c r="X42" i="4"/>
  <c r="X41" i="4" s="1"/>
  <c r="X55" i="4"/>
  <c r="X54" i="4" s="1"/>
  <c r="X35" i="13"/>
  <c r="X26" i="13"/>
  <c r="X44" i="13"/>
  <c r="X183" i="8"/>
  <c r="X182" i="8" s="1"/>
  <c r="X36" i="8"/>
  <c r="X35" i="8" s="1"/>
  <c r="X113" i="2"/>
  <c r="X112" i="2" s="1"/>
  <c r="X178" i="2"/>
  <c r="X177" i="2" s="1"/>
  <c r="X224" i="2"/>
  <c r="X239" i="2"/>
  <c r="X390" i="2"/>
  <c r="X400" i="2"/>
  <c r="X489" i="2"/>
  <c r="X524" i="2"/>
  <c r="X493" i="2"/>
  <c r="X31" i="6"/>
  <c r="X84" i="6"/>
  <c r="X83" i="6" s="1"/>
  <c r="X28" i="6"/>
  <c r="X50" i="6"/>
  <c r="X242" i="6"/>
  <c r="X241" i="6" s="1"/>
  <c r="X72" i="6"/>
  <c r="X578" i="2"/>
  <c r="X577" i="2" s="1"/>
  <c r="X104" i="8"/>
  <c r="X61" i="6"/>
  <c r="X68" i="4"/>
  <c r="X67" i="4" s="1"/>
  <c r="X157" i="2"/>
  <c r="X168" i="2"/>
  <c r="X506" i="2"/>
  <c r="X124" i="2"/>
  <c r="X189" i="2"/>
  <c r="X99" i="2"/>
  <c r="X98" i="2" s="1"/>
  <c r="X264" i="2"/>
  <c r="X198" i="2"/>
  <c r="X54" i="2"/>
  <c r="V152" i="1"/>
  <c r="V165" i="1" s="1"/>
  <c r="O88" i="7"/>
  <c r="P141" i="8"/>
  <c r="P143" i="8"/>
  <c r="P146" i="8"/>
  <c r="P149" i="8"/>
  <c r="X488" i="2" l="1"/>
  <c r="X83" i="9"/>
  <c r="X74" i="9"/>
  <c r="X67" i="9"/>
  <c r="X60" i="9"/>
  <c r="X42" i="9"/>
  <c r="X41" i="9" s="1"/>
  <c r="X139" i="9"/>
  <c r="X138" i="9" s="1"/>
  <c r="X137" i="9" s="1"/>
  <c r="X117" i="9"/>
  <c r="X116" i="9" s="1"/>
  <c r="X113" i="9" s="1"/>
  <c r="X99" i="9"/>
  <c r="X98" i="9" s="1"/>
  <c r="X97" i="9"/>
  <c r="X96" i="9" s="1"/>
  <c r="X90" i="9"/>
  <c r="X89" i="9"/>
  <c r="X88" i="9" s="1"/>
  <c r="X82" i="9"/>
  <c r="X73" i="9"/>
  <c r="X72" i="9" s="1"/>
  <c r="X66" i="9"/>
  <c r="X65" i="9" s="1"/>
  <c r="X51" i="9"/>
  <c r="X50" i="9" s="1"/>
  <c r="X49" i="9" s="1"/>
  <c r="X44" i="9"/>
  <c r="X43" i="9"/>
  <c r="X35" i="9"/>
  <c r="X34" i="9" s="1"/>
  <c r="X33" i="9"/>
  <c r="X32" i="9" s="1"/>
  <c r="X26" i="9"/>
  <c r="X25" i="9" s="1"/>
  <c r="X24" i="9"/>
  <c r="X23" i="9" s="1"/>
  <c r="X113" i="5"/>
  <c r="X112" i="5" s="1"/>
  <c r="X111" i="5" s="1"/>
  <c r="X53" i="5"/>
  <c r="X52" i="5" s="1"/>
  <c r="X51" i="5" s="1"/>
  <c r="X46" i="5"/>
  <c r="X45" i="5" s="1"/>
  <c r="X44" i="5" s="1"/>
  <c r="X37" i="5"/>
  <c r="X36" i="5" s="1"/>
  <c r="X35" i="5"/>
  <c r="X102" i="5"/>
  <c r="X101" i="5"/>
  <c r="X99" i="5" s="1"/>
  <c r="X98" i="5" s="1"/>
  <c r="X92" i="5"/>
  <c r="X91" i="5" s="1"/>
  <c r="X90" i="5" s="1"/>
  <c r="X74" i="5"/>
  <c r="X34" i="5"/>
  <c r="X12" i="5"/>
  <c r="X10" i="6" l="1"/>
  <c r="X95" i="9"/>
  <c r="X22" i="9"/>
  <c r="X31" i="9"/>
  <c r="X40" i="9"/>
  <c r="X127" i="9"/>
  <c r="X33" i="5"/>
  <c r="D99" i="3" l="1"/>
  <c r="X202" i="3"/>
  <c r="X201" i="3" s="1"/>
  <c r="X190" i="3"/>
  <c r="X178" i="3"/>
  <c r="X176" i="3"/>
  <c r="X154" i="3"/>
  <c r="X153" i="3" s="1"/>
  <c r="X151" i="3"/>
  <c r="X130" i="3"/>
  <c r="X127" i="3"/>
  <c r="X106" i="3"/>
  <c r="X103" i="3"/>
  <c r="X94" i="3"/>
  <c r="X92" i="3"/>
  <c r="X91" i="3"/>
  <c r="X82" i="3"/>
  <c r="X80" i="3"/>
  <c r="X79" i="3"/>
  <c r="X41" i="3"/>
  <c r="X39" i="3" s="1"/>
  <c r="X38" i="3"/>
  <c r="X33" i="3" s="1"/>
  <c r="X27" i="3"/>
  <c r="X26" i="3" s="1"/>
  <c r="X25" i="3" s="1"/>
  <c r="X213" i="3"/>
  <c r="X212" i="3"/>
  <c r="X200" i="3"/>
  <c r="X199" i="3"/>
  <c r="X189" i="3"/>
  <c r="X188" i="3"/>
  <c r="X177" i="3"/>
  <c r="X152" i="3"/>
  <c r="X142" i="3"/>
  <c r="X141" i="3" s="1"/>
  <c r="X140" i="3"/>
  <c r="X139" i="3"/>
  <c r="X129" i="3"/>
  <c r="X128" i="3"/>
  <c r="X126" i="3" s="1"/>
  <c r="X118" i="3"/>
  <c r="X117" i="3" s="1"/>
  <c r="X116" i="3"/>
  <c r="X114" i="3" s="1"/>
  <c r="X105" i="3"/>
  <c r="X104" i="3"/>
  <c r="X93" i="3"/>
  <c r="X81" i="3"/>
  <c r="X78" i="3" l="1"/>
  <c r="X77" i="3" s="1"/>
  <c r="X90" i="3"/>
  <c r="X150" i="3"/>
  <c r="X149" i="3" s="1"/>
  <c r="X138" i="3"/>
  <c r="X137" i="3" s="1"/>
  <c r="X198" i="3"/>
  <c r="X197" i="3" s="1"/>
  <c r="X113" i="3"/>
  <c r="X102" i="3"/>
  <c r="X101" i="3" s="1"/>
  <c r="X210" i="3"/>
  <c r="X209" i="3" s="1"/>
  <c r="X125" i="3"/>
  <c r="X89" i="3"/>
  <c r="X32" i="3"/>
  <c r="O587" i="2"/>
  <c r="P18" i="4"/>
  <c r="M70" i="1" s="1"/>
  <c r="Q18" i="4"/>
  <c r="N70" i="1" s="1"/>
  <c r="P25" i="4"/>
  <c r="O105" i="4"/>
  <c r="O112" i="4"/>
  <c r="D112" i="4"/>
  <c r="O559" i="2" l="1"/>
  <c r="O538" i="2" s="1"/>
  <c r="D647" i="2"/>
  <c r="O179" i="2" l="1"/>
  <c r="M191" i="2"/>
  <c r="D191" i="2" s="1"/>
  <c r="M193" i="2"/>
  <c r="D193" i="2" s="1"/>
  <c r="O170" i="2"/>
  <c r="O166" i="2"/>
  <c r="N159" i="2"/>
  <c r="N161" i="2"/>
  <c r="P135" i="9" l="1"/>
  <c r="X135" i="9" s="1"/>
  <c r="X128" i="9" l="1"/>
  <c r="X126" i="9" s="1"/>
  <c r="X125" i="9" s="1"/>
  <c r="X134" i="9"/>
  <c r="X133" i="9" s="1"/>
  <c r="D544" i="2"/>
  <c r="AA544" i="2" s="1"/>
  <c r="P25" i="7" l="1"/>
  <c r="X25" i="7" s="1"/>
  <c r="O25" i="7"/>
  <c r="X24" i="7" l="1"/>
  <c r="X23" i="7" s="1"/>
  <c r="X10" i="7"/>
  <c r="X8" i="7" s="1"/>
  <c r="L226" i="2"/>
  <c r="M226" i="2" s="1"/>
  <c r="D226" i="2" s="1"/>
  <c r="L241" i="2"/>
  <c r="O163" i="8" l="1"/>
  <c r="O160" i="8"/>
  <c r="O157" i="8"/>
  <c r="O155" i="8"/>
  <c r="X83" i="8" l="1"/>
  <c r="R88" i="8"/>
  <c r="O89" i="8"/>
  <c r="R86" i="8"/>
  <c r="R85" i="8" s="1"/>
  <c r="P18" i="10" s="1"/>
  <c r="X81" i="8" l="1"/>
  <c r="X80" i="8" s="1"/>
  <c r="O656" i="2"/>
  <c r="O85" i="4" l="1"/>
  <c r="P16" i="4" l="1"/>
  <c r="Q16" i="4"/>
  <c r="R16" i="4"/>
  <c r="S16" i="4"/>
  <c r="T16" i="4"/>
  <c r="T120" i="4" l="1"/>
  <c r="S120" i="4"/>
  <c r="R120" i="4"/>
  <c r="Q120" i="4"/>
  <c r="P120" i="4"/>
  <c r="R144" i="4" l="1"/>
  <c r="R15" i="4"/>
  <c r="R11" i="4"/>
  <c r="O60" i="1" s="1"/>
  <c r="Q144" i="4"/>
  <c r="Q11" i="4"/>
  <c r="Q15" i="4"/>
  <c r="S144" i="4"/>
  <c r="S11" i="4"/>
  <c r="P60" i="1" s="1"/>
  <c r="S15" i="4"/>
  <c r="P144" i="4"/>
  <c r="P15" i="4"/>
  <c r="P11" i="4"/>
  <c r="X120" i="4"/>
  <c r="T144" i="4"/>
  <c r="T15" i="4"/>
  <c r="T11" i="4"/>
  <c r="Q60" i="1" s="1"/>
  <c r="X118" i="4"/>
  <c r="D120" i="4"/>
  <c r="L495" i="2"/>
  <c r="M495" i="2" s="1"/>
  <c r="D495" i="2" s="1"/>
  <c r="D479" i="2" s="1"/>
  <c r="L504" i="2"/>
  <c r="D11" i="4" l="1"/>
  <c r="U60" i="1" s="1"/>
  <c r="AD145" i="4"/>
  <c r="AD146" i="4" s="1"/>
  <c r="X11" i="4"/>
  <c r="X15" i="4"/>
  <c r="X14" i="4" s="1"/>
  <c r="X13" i="4" s="1"/>
  <c r="X117" i="4"/>
  <c r="X10" i="4"/>
  <c r="M96" i="9" l="1"/>
  <c r="N96" i="9"/>
  <c r="O96" i="9"/>
  <c r="D96" i="9"/>
  <c r="T119" i="9"/>
  <c r="S119" i="9"/>
  <c r="R119" i="9"/>
  <c r="R118" i="9" s="1"/>
  <c r="Q119" i="9"/>
  <c r="P119" i="9"/>
  <c r="O119" i="9"/>
  <c r="N119" i="9"/>
  <c r="M119" i="9"/>
  <c r="L119" i="9"/>
  <c r="K119" i="9"/>
  <c r="J119" i="9"/>
  <c r="I119" i="9"/>
  <c r="H119" i="9"/>
  <c r="G119" i="9"/>
  <c r="F119" i="9"/>
  <c r="E119" i="9"/>
  <c r="T118" i="9"/>
  <c r="S118" i="9"/>
  <c r="Q118" i="9"/>
  <c r="P118" i="9"/>
  <c r="O118" i="9"/>
  <c r="N118" i="9"/>
  <c r="M118" i="9"/>
  <c r="L118" i="9"/>
  <c r="K118" i="9"/>
  <c r="J118" i="9"/>
  <c r="I118" i="9"/>
  <c r="H118" i="9"/>
  <c r="G118" i="9"/>
  <c r="F118" i="9"/>
  <c r="E118" i="9"/>
  <c r="D116" i="9"/>
  <c r="D113" i="9" l="1"/>
  <c r="D118" i="9"/>
  <c r="D119" i="9"/>
  <c r="D89" i="9"/>
  <c r="D88" i="9" s="1"/>
  <c r="O89" i="9"/>
  <c r="T92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T91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N89" i="9"/>
  <c r="M89" i="9"/>
  <c r="L89" i="9"/>
  <c r="K89" i="9"/>
  <c r="J89" i="9"/>
  <c r="I89" i="9"/>
  <c r="H89" i="9"/>
  <c r="G89" i="9"/>
  <c r="F89" i="9"/>
  <c r="E89" i="9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O82" i="9"/>
  <c r="O79" i="9" s="1"/>
  <c r="D91" i="9" l="1"/>
  <c r="D92" i="9"/>
  <c r="E622" i="2" l="1"/>
  <c r="F622" i="2"/>
  <c r="G622" i="2"/>
  <c r="H622" i="2"/>
  <c r="I622" i="2"/>
  <c r="E630" i="2"/>
  <c r="F630" i="2"/>
  <c r="G630" i="2"/>
  <c r="H630" i="2"/>
  <c r="I630" i="2"/>
  <c r="J630" i="2"/>
  <c r="P551" i="2" l="1"/>
  <c r="X609" i="2"/>
  <c r="X608" i="2" s="1"/>
  <c r="T31" i="8" l="1"/>
  <c r="S31" i="8"/>
  <c r="T25" i="8"/>
  <c r="S25" i="8"/>
  <c r="N25" i="8"/>
  <c r="T22" i="8"/>
  <c r="T20" i="8"/>
  <c r="S20" i="8"/>
  <c r="T15" i="8"/>
  <c r="S15" i="8"/>
  <c r="N15" i="8"/>
  <c r="R551" i="2" l="1"/>
  <c r="Q551" i="2"/>
  <c r="O490" i="2"/>
  <c r="N490" i="2"/>
  <c r="M490" i="2" s="1"/>
  <c r="P501" i="2"/>
  <c r="J500" i="2"/>
  <c r="I500" i="2"/>
  <c r="O501" i="2"/>
  <c r="L494" i="2"/>
  <c r="L492" i="2"/>
  <c r="O609" i="2"/>
  <c r="O608" i="2" s="1"/>
  <c r="O117" i="2"/>
  <c r="O43" i="2" s="1"/>
  <c r="O115" i="2"/>
  <c r="L172" i="2"/>
  <c r="N187" i="2"/>
  <c r="N182" i="2"/>
  <c r="N43" i="2" s="1"/>
  <c r="N179" i="2"/>
  <c r="O200" i="2"/>
  <c r="O147" i="2"/>
  <c r="Q406" i="2"/>
  <c r="Q405" i="2" s="1"/>
  <c r="M500" i="2" l="1"/>
  <c r="D500" i="2" s="1"/>
  <c r="M492" i="2"/>
  <c r="D492" i="2" s="1"/>
  <c r="D476" i="2" s="1"/>
  <c r="D17" i="2" s="1"/>
  <c r="D551" i="2"/>
  <c r="D490" i="2"/>
  <c r="M494" i="2"/>
  <c r="D494" i="2" s="1"/>
  <c r="X551" i="2"/>
  <c r="X550" i="2" s="1"/>
  <c r="X549" i="2" s="1"/>
  <c r="X379" i="2"/>
  <c r="X383" i="2"/>
  <c r="X382" i="2" s="1"/>
  <c r="E407" i="2"/>
  <c r="M407" i="2" s="1"/>
  <c r="P406" i="2"/>
  <c r="O406" i="2"/>
  <c r="O405" i="2" s="1"/>
  <c r="N406" i="2"/>
  <c r="N405" i="2" s="1"/>
  <c r="L406" i="2"/>
  <c r="L405" i="2" s="1"/>
  <c r="K406" i="2"/>
  <c r="K405" i="2" s="1"/>
  <c r="J406" i="2"/>
  <c r="J405" i="2" s="1"/>
  <c r="I406" i="2"/>
  <c r="I405" i="2" s="1"/>
  <c r="H406" i="2"/>
  <c r="H405" i="2" s="1"/>
  <c r="G406" i="2"/>
  <c r="G405" i="2" s="1"/>
  <c r="F406" i="2"/>
  <c r="F405" i="2" s="1"/>
  <c r="P405" i="2"/>
  <c r="E404" i="2"/>
  <c r="M404" i="2" s="1"/>
  <c r="P403" i="2"/>
  <c r="O403" i="2"/>
  <c r="N403" i="2"/>
  <c r="L403" i="2"/>
  <c r="K403" i="2"/>
  <c r="J403" i="2"/>
  <c r="I403" i="2"/>
  <c r="H403" i="2"/>
  <c r="G403" i="2"/>
  <c r="F403" i="2"/>
  <c r="N402" i="2"/>
  <c r="N401" i="2" s="1"/>
  <c r="N400" i="2" s="1"/>
  <c r="L402" i="2"/>
  <c r="L401" i="2" s="1"/>
  <c r="L400" i="2" s="1"/>
  <c r="E402" i="2"/>
  <c r="E401" i="2" s="1"/>
  <c r="P401" i="2"/>
  <c r="O401" i="2"/>
  <c r="K401" i="2"/>
  <c r="J401" i="2"/>
  <c r="I401" i="2"/>
  <c r="H401" i="2"/>
  <c r="G401" i="2"/>
  <c r="F401" i="2"/>
  <c r="M383" i="2" l="1"/>
  <c r="D404" i="2"/>
  <c r="H400" i="2"/>
  <c r="X378" i="2"/>
  <c r="G400" i="2"/>
  <c r="I400" i="2"/>
  <c r="K400" i="2"/>
  <c r="F400" i="2"/>
  <c r="P400" i="2"/>
  <c r="M402" i="2"/>
  <c r="E406" i="2"/>
  <c r="E405" i="2" s="1"/>
  <c r="D407" i="2"/>
  <c r="E403" i="2"/>
  <c r="E400" i="2" s="1"/>
  <c r="O400" i="2"/>
  <c r="J400" i="2"/>
  <c r="M403" i="2"/>
  <c r="D403" i="2"/>
  <c r="T16" i="8"/>
  <c r="Q20" i="1" s="1"/>
  <c r="T26" i="8"/>
  <c r="Q36" i="1" s="1"/>
  <c r="T32" i="8"/>
  <c r="Q44" i="1" s="1"/>
  <c r="Q142" i="1" s="1"/>
  <c r="Q204" i="1" s="1"/>
  <c r="S32" i="8"/>
  <c r="P44" i="1" s="1"/>
  <c r="P142" i="1" s="1"/>
  <c r="P204" i="1" s="1"/>
  <c r="R32" i="8"/>
  <c r="O44" i="1" s="1"/>
  <c r="O142" i="1" s="1"/>
  <c r="O204" i="1" s="1"/>
  <c r="Q32" i="8"/>
  <c r="N44" i="1" s="1"/>
  <c r="N142" i="1" s="1"/>
  <c r="N204" i="1" s="1"/>
  <c r="P32" i="8"/>
  <c r="M44" i="1" s="1"/>
  <c r="M142" i="1" s="1"/>
  <c r="M204" i="1" s="1"/>
  <c r="O32" i="8"/>
  <c r="L44" i="1" s="1"/>
  <c r="L142" i="1" s="1"/>
  <c r="L204" i="1" s="1"/>
  <c r="S26" i="8"/>
  <c r="P36" i="1" s="1"/>
  <c r="R26" i="8"/>
  <c r="O36" i="1" s="1"/>
  <c r="O141" i="1" s="1"/>
  <c r="O203" i="1" s="1"/>
  <c r="Q26" i="8"/>
  <c r="N36" i="1" s="1"/>
  <c r="N141" i="1" s="1"/>
  <c r="N203" i="1" s="1"/>
  <c r="P26" i="8"/>
  <c r="M36" i="1" s="1"/>
  <c r="M141" i="1" s="1"/>
  <c r="M203" i="1" s="1"/>
  <c r="T21" i="8"/>
  <c r="Q30" i="1" s="1"/>
  <c r="S21" i="8"/>
  <c r="P30" i="1" s="1"/>
  <c r="P130" i="1" s="1"/>
  <c r="P192" i="1" s="1"/>
  <c r="R21" i="8"/>
  <c r="O30" i="1" s="1"/>
  <c r="O130" i="1" s="1"/>
  <c r="O192" i="1" s="1"/>
  <c r="Q21" i="8"/>
  <c r="N30" i="1" s="1"/>
  <c r="N130" i="1" s="1"/>
  <c r="N192" i="1" s="1"/>
  <c r="P21" i="8"/>
  <c r="M30" i="1" s="1"/>
  <c r="M130" i="1" s="1"/>
  <c r="M192" i="1" s="1"/>
  <c r="O21" i="8"/>
  <c r="L30" i="1" s="1"/>
  <c r="S16" i="8"/>
  <c r="P20" i="1" s="1"/>
  <c r="R16" i="8"/>
  <c r="O20" i="1" s="1"/>
  <c r="Q16" i="8"/>
  <c r="N20" i="1" s="1"/>
  <c r="P16" i="8"/>
  <c r="M20" i="1" s="1"/>
  <c r="D402" i="2" l="1"/>
  <c r="D401" i="2" s="1"/>
  <c r="D400" i="2" s="1"/>
  <c r="Q130" i="1"/>
  <c r="Q192" i="1" s="1"/>
  <c r="D406" i="2"/>
  <c r="D405" i="2" s="1"/>
  <c r="Z405" i="2" s="1"/>
  <c r="M401" i="2"/>
  <c r="M400" i="2" s="1"/>
  <c r="M406" i="2"/>
  <c r="M405" i="2" s="1"/>
  <c r="L130" i="1"/>
  <c r="L192" i="1" s="1"/>
  <c r="Q141" i="1"/>
  <c r="Q203" i="1" s="1"/>
  <c r="P141" i="1"/>
  <c r="P203" i="1" s="1"/>
  <c r="P545" i="2"/>
  <c r="M77" i="1" s="1"/>
  <c r="Q545" i="2"/>
  <c r="R545" i="2"/>
  <c r="S545" i="2"/>
  <c r="T545" i="2"/>
  <c r="O545" i="2"/>
  <c r="D634" i="2"/>
  <c r="D633" i="2" s="1"/>
  <c r="O634" i="2"/>
  <c r="O633" i="2" s="1"/>
  <c r="D626" i="2"/>
  <c r="D625" i="2" s="1"/>
  <c r="O626" i="2"/>
  <c r="O625" i="2" s="1"/>
  <c r="O539" i="2"/>
  <c r="O630" i="2" l="1"/>
  <c r="D539" i="2"/>
  <c r="D545" i="2"/>
  <c r="AA545" i="2" s="1"/>
  <c r="Z545" i="2" l="1"/>
  <c r="O622" i="2"/>
  <c r="O144" i="4" l="1"/>
  <c r="N571" i="2" l="1"/>
  <c r="D58" i="9" l="1"/>
  <c r="D57" i="9" s="1"/>
  <c r="M57" i="9"/>
  <c r="N57" i="9"/>
  <c r="O57" i="9"/>
  <c r="Q332" i="2" l="1"/>
  <c r="M335" i="2"/>
  <c r="Q337" i="2"/>
  <c r="Q329" i="2"/>
  <c r="P216" i="2"/>
  <c r="N330" i="2"/>
  <c r="M330" i="2" l="1"/>
  <c r="D330" i="2" s="1"/>
  <c r="X216" i="2"/>
  <c r="X215" i="2" s="1"/>
  <c r="X214" i="2" s="1"/>
  <c r="Q334" i="2"/>
  <c r="Q328" i="2"/>
  <c r="P163" i="8"/>
  <c r="P31" i="8" s="1"/>
  <c r="P160" i="8"/>
  <c r="P25" i="8" s="1"/>
  <c r="P157" i="8"/>
  <c r="P155" i="8"/>
  <c r="P154" i="8"/>
  <c r="X154" i="8" s="1"/>
  <c r="O154" i="8"/>
  <c r="S139" i="8"/>
  <c r="S142" i="8"/>
  <c r="S145" i="8"/>
  <c r="S148" i="8"/>
  <c r="R149" i="8"/>
  <c r="R146" i="8"/>
  <c r="R143" i="8"/>
  <c r="R141" i="8"/>
  <c r="O140" i="8"/>
  <c r="R140" i="8"/>
  <c r="Q140" i="8"/>
  <c r="P140" i="8"/>
  <c r="M329" i="2" l="1"/>
  <c r="R25" i="8"/>
  <c r="D146" i="8"/>
  <c r="R15" i="8"/>
  <c r="D141" i="8"/>
  <c r="X141" i="8"/>
  <c r="R20" i="8"/>
  <c r="X143" i="8"/>
  <c r="D143" i="8"/>
  <c r="R31" i="8"/>
  <c r="D149" i="8"/>
  <c r="S144" i="8"/>
  <c r="Q14" i="10" s="1"/>
  <c r="S138" i="8"/>
  <c r="Q13" i="10" s="1"/>
  <c r="X157" i="8"/>
  <c r="X156" i="8" s="1"/>
  <c r="P20" i="8"/>
  <c r="D140" i="8"/>
  <c r="D139" i="8" s="1"/>
  <c r="X140" i="8"/>
  <c r="X139" i="8" s="1"/>
  <c r="Q15" i="8"/>
  <c r="X142" i="8"/>
  <c r="Q20" i="8"/>
  <c r="Q25" i="8"/>
  <c r="Q31" i="8"/>
  <c r="X155" i="8"/>
  <c r="X153" i="8" s="1"/>
  <c r="X152" i="8" s="1"/>
  <c r="P15" i="8"/>
  <c r="Q273" i="2"/>
  <c r="Q268" i="2"/>
  <c r="M271" i="2"/>
  <c r="M268" i="2"/>
  <c r="M265" i="2"/>
  <c r="Q265" i="2"/>
  <c r="D272" i="2"/>
  <c r="D267" i="2"/>
  <c r="Q253" i="2"/>
  <c r="M256" i="2"/>
  <c r="Q257" i="2"/>
  <c r="Q260" i="2"/>
  <c r="D261" i="2"/>
  <c r="D258" i="2"/>
  <c r="D252" i="2"/>
  <c r="F249" i="2"/>
  <c r="G249" i="2"/>
  <c r="J249" i="2"/>
  <c r="K249" i="2"/>
  <c r="L249" i="2"/>
  <c r="Q245" i="2"/>
  <c r="Q244" i="2" s="1"/>
  <c r="Q256" i="2" l="1"/>
  <c r="X138" i="8"/>
  <c r="X14" i="8"/>
  <c r="Q270" i="2"/>
  <c r="Q248" i="2"/>
  <c r="Q264" i="2"/>
  <c r="M264" i="2"/>
  <c r="I26" i="12" l="1"/>
  <c r="J26" i="12"/>
  <c r="K26" i="12"/>
  <c r="I25" i="12"/>
  <c r="J25" i="12"/>
  <c r="K25" i="12"/>
  <c r="J24" i="12"/>
  <c r="K24" i="12"/>
  <c r="H22" i="12"/>
  <c r="I22" i="12"/>
  <c r="J22" i="12"/>
  <c r="K22" i="12"/>
  <c r="H21" i="12"/>
  <c r="I21" i="12"/>
  <c r="J21" i="12"/>
  <c r="K21" i="12"/>
  <c r="J20" i="12"/>
  <c r="K20" i="12"/>
  <c r="H18" i="12"/>
  <c r="I18" i="12"/>
  <c r="J18" i="12"/>
  <c r="K18" i="12"/>
  <c r="I17" i="12"/>
  <c r="J17" i="12"/>
  <c r="K17" i="12"/>
  <c r="J16" i="12"/>
  <c r="K16" i="12"/>
  <c r="J12" i="12"/>
  <c r="K12" i="12"/>
  <c r="I13" i="12"/>
  <c r="J13" i="12"/>
  <c r="K13" i="12"/>
  <c r="I14" i="12"/>
  <c r="J14" i="12"/>
  <c r="K14" i="12"/>
  <c r="H14" i="12"/>
  <c r="H13" i="12"/>
  <c r="J10" i="12" l="1"/>
  <c r="J9" i="12" s="1"/>
  <c r="K10" i="12"/>
  <c r="K9" i="12" s="1"/>
  <c r="N42" i="4"/>
  <c r="R17" i="8" l="1"/>
  <c r="S17" i="8"/>
  <c r="T17" i="8"/>
  <c r="S14" i="8"/>
  <c r="T14" i="8"/>
  <c r="O133" i="8" l="1"/>
  <c r="D118" i="4" l="1"/>
  <c r="P118" i="4" l="1"/>
  <c r="P117" i="4" s="1"/>
  <c r="Q118" i="4"/>
  <c r="R118" i="4"/>
  <c r="R117" i="4" s="1"/>
  <c r="S118" i="4"/>
  <c r="T118" i="4"/>
  <c r="T117" i="4" s="1"/>
  <c r="O118" i="4"/>
  <c r="O117" i="4" s="1"/>
  <c r="O142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D117" i="4"/>
  <c r="Q117" i="4"/>
  <c r="L117" i="4"/>
  <c r="K117" i="4"/>
  <c r="J117" i="4"/>
  <c r="I117" i="4"/>
  <c r="H117" i="4"/>
  <c r="G117" i="4"/>
  <c r="F117" i="4"/>
  <c r="E117" i="4"/>
  <c r="D123" i="4" l="1"/>
  <c r="D122" i="4" s="1"/>
  <c r="D99" i="9" l="1"/>
  <c r="P598" i="2" l="1"/>
  <c r="P597" i="2" s="1"/>
  <c r="O598" i="2"/>
  <c r="O597" i="2" s="1"/>
  <c r="N598" i="2"/>
  <c r="N597" i="2" s="1"/>
  <c r="L598" i="2"/>
  <c r="L597" i="2" s="1"/>
  <c r="K598" i="2"/>
  <c r="K597" i="2" s="1"/>
  <c r="J598" i="2"/>
  <c r="J597" i="2" s="1"/>
  <c r="N639" i="2"/>
  <c r="N631" i="2"/>
  <c r="N630" i="2" s="1"/>
  <c r="Q623" i="2"/>
  <c r="N623" i="2"/>
  <c r="N622" i="2" s="1"/>
  <c r="N587" i="2"/>
  <c r="N567" i="2"/>
  <c r="M567" i="2" s="1"/>
  <c r="Q622" i="2" l="1"/>
  <c r="Q538" i="2"/>
  <c r="P622" i="2"/>
  <c r="M598" i="2"/>
  <c r="M597" i="2" s="1"/>
  <c r="N106" i="4"/>
  <c r="M106" i="4" s="1"/>
  <c r="D106" i="4" s="1"/>
  <c r="N110" i="4"/>
  <c r="N115" i="4"/>
  <c r="M115" i="4" s="1"/>
  <c r="D115" i="4" s="1"/>
  <c r="O96" i="4"/>
  <c r="O16" i="4" s="1"/>
  <c r="N96" i="4"/>
  <c r="N99" i="4"/>
  <c r="N102" i="4"/>
  <c r="M102" i="4" l="1"/>
  <c r="D102" i="4" s="1"/>
  <c r="N16" i="4"/>
  <c r="M96" i="4"/>
  <c r="D598" i="2"/>
  <c r="D597" i="2" s="1"/>
  <c r="Q232" i="2"/>
  <c r="Q235" i="2"/>
  <c r="D96" i="4" l="1"/>
  <c r="M16" i="4"/>
  <c r="Q231" i="2"/>
  <c r="X16" i="5" l="1"/>
  <c r="F235" i="2"/>
  <c r="G235" i="2"/>
  <c r="H235" i="2"/>
  <c r="I235" i="2"/>
  <c r="J235" i="2"/>
  <c r="K235" i="2"/>
  <c r="L235" i="2"/>
  <c r="F229" i="2"/>
  <c r="G229" i="2"/>
  <c r="H229" i="2"/>
  <c r="I229" i="2"/>
  <c r="J229" i="2"/>
  <c r="K229" i="2"/>
  <c r="L229" i="2"/>
  <c r="N229" i="2"/>
  <c r="O229" i="2"/>
  <c r="P229" i="2"/>
  <c r="M225" i="2"/>
  <c r="D228" i="2"/>
  <c r="D227" i="2"/>
  <c r="L234" i="2" l="1"/>
  <c r="M232" i="2"/>
  <c r="L233" i="2"/>
  <c r="E56" i="5"/>
  <c r="D55" i="5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L54" i="5" s="1"/>
  <c r="K55" i="5"/>
  <c r="K54" i="5" s="1"/>
  <c r="J55" i="5"/>
  <c r="J54" i="5" s="1"/>
  <c r="I55" i="5"/>
  <c r="I54" i="5" s="1"/>
  <c r="H55" i="5"/>
  <c r="H54" i="5" s="1"/>
  <c r="G55" i="5"/>
  <c r="G54" i="5" s="1"/>
  <c r="F55" i="5"/>
  <c r="F54" i="5" s="1"/>
  <c r="E55" i="5"/>
  <c r="E54" i="5" s="1"/>
  <c r="D52" i="5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4" i="2" l="1"/>
  <c r="H234" i="2" s="1"/>
  <c r="G234" i="2" s="1"/>
  <c r="K234" i="2"/>
  <c r="E52" i="5"/>
  <c r="E51" i="5" s="1"/>
  <c r="L232" i="2"/>
  <c r="L231" i="2" s="1"/>
  <c r="F234" i="2" l="1"/>
  <c r="E234" i="2" s="1"/>
  <c r="K232" i="2"/>
  <c r="K231" i="2" s="1"/>
  <c r="O127" i="9"/>
  <c r="M127" i="9"/>
  <c r="P127" i="9"/>
  <c r="M66" i="1" s="1"/>
  <c r="Q127" i="9"/>
  <c r="N66" i="1" s="1"/>
  <c r="R127" i="9"/>
  <c r="O66" i="1" s="1"/>
  <c r="S127" i="9"/>
  <c r="P66" i="1" s="1"/>
  <c r="T127" i="9"/>
  <c r="Q66" i="1" s="1"/>
  <c r="N127" i="9"/>
  <c r="P131" i="9"/>
  <c r="M79" i="1" s="1"/>
  <c r="O131" i="9"/>
  <c r="Q133" i="9"/>
  <c r="R133" i="9"/>
  <c r="S133" i="9"/>
  <c r="T133" i="9"/>
  <c r="E134" i="9"/>
  <c r="E133" i="9" s="1"/>
  <c r="F134" i="9"/>
  <c r="F133" i="9" s="1"/>
  <c r="G134" i="9"/>
  <c r="G133" i="9" s="1"/>
  <c r="H134" i="9"/>
  <c r="H133" i="9" s="1"/>
  <c r="I134" i="9"/>
  <c r="I133" i="9" s="1"/>
  <c r="J134" i="9"/>
  <c r="J133" i="9" s="1"/>
  <c r="K134" i="9"/>
  <c r="K133" i="9" s="1"/>
  <c r="L134" i="9"/>
  <c r="L133" i="9" s="1"/>
  <c r="P134" i="9"/>
  <c r="P133" i="9" s="1"/>
  <c r="N135" i="9"/>
  <c r="O135" i="9"/>
  <c r="T138" i="9"/>
  <c r="T137" i="9" s="1"/>
  <c r="S138" i="9"/>
  <c r="R138" i="9"/>
  <c r="R137" i="9" s="1"/>
  <c r="Q138" i="9"/>
  <c r="Q137" i="9" s="1"/>
  <c r="P138" i="9"/>
  <c r="P137" i="9" s="1"/>
  <c r="M142" i="9"/>
  <c r="D142" i="9" s="1"/>
  <c r="T141" i="9"/>
  <c r="S141" i="9"/>
  <c r="R141" i="9"/>
  <c r="R131" i="9" s="1"/>
  <c r="O79" i="1" s="1"/>
  <c r="Q141" i="9"/>
  <c r="Q131" i="9" s="1"/>
  <c r="N79" i="1" s="1"/>
  <c r="P141" i="9"/>
  <c r="O141" i="9"/>
  <c r="O130" i="9" s="1"/>
  <c r="N141" i="9"/>
  <c r="N131" i="9" s="1"/>
  <c r="M141" i="9"/>
  <c r="M131" i="9" s="1"/>
  <c r="L141" i="9"/>
  <c r="L131" i="9" s="1"/>
  <c r="L130" i="9" s="1"/>
  <c r="L129" i="9" s="1"/>
  <c r="K141" i="9"/>
  <c r="K131" i="9" s="1"/>
  <c r="K130" i="9" s="1"/>
  <c r="K129" i="9" s="1"/>
  <c r="J141" i="9"/>
  <c r="J131" i="9" s="1"/>
  <c r="J130" i="9" s="1"/>
  <c r="J129" i="9" s="1"/>
  <c r="I141" i="9"/>
  <c r="I131" i="9" s="1"/>
  <c r="I130" i="9" s="1"/>
  <c r="I129" i="9" s="1"/>
  <c r="H141" i="9"/>
  <c r="H131" i="9" s="1"/>
  <c r="H130" i="9" s="1"/>
  <c r="H129" i="9" s="1"/>
  <c r="G141" i="9"/>
  <c r="G131" i="9" s="1"/>
  <c r="G130" i="9" s="1"/>
  <c r="G129" i="9" s="1"/>
  <c r="F141" i="9"/>
  <c r="F131" i="9" s="1"/>
  <c r="F130" i="9" s="1"/>
  <c r="F129" i="9" s="1"/>
  <c r="E141" i="9"/>
  <c r="E131" i="9" s="1"/>
  <c r="E130" i="9" s="1"/>
  <c r="E129" i="9" s="1"/>
  <c r="T140" i="9"/>
  <c r="S140" i="9"/>
  <c r="Q140" i="9"/>
  <c r="P140" i="9"/>
  <c r="O140" i="9"/>
  <c r="O129" i="9" s="1"/>
  <c r="N140" i="9"/>
  <c r="M140" i="9"/>
  <c r="L140" i="9"/>
  <c r="K140" i="9"/>
  <c r="J140" i="9"/>
  <c r="I140" i="9"/>
  <c r="H140" i="9"/>
  <c r="G140" i="9"/>
  <c r="F140" i="9"/>
  <c r="E140" i="9"/>
  <c r="D139" i="9"/>
  <c r="N138" i="9"/>
  <c r="N137" i="9" s="1"/>
  <c r="O138" i="9"/>
  <c r="O137" i="9" s="1"/>
  <c r="M138" i="9"/>
  <c r="M137" i="9" s="1"/>
  <c r="L138" i="9"/>
  <c r="L137" i="9" s="1"/>
  <c r="K138" i="9"/>
  <c r="K137" i="9" s="1"/>
  <c r="J138" i="9"/>
  <c r="J137" i="9" s="1"/>
  <c r="I138" i="9"/>
  <c r="H138" i="9"/>
  <c r="H137" i="9" s="1"/>
  <c r="G138" i="9"/>
  <c r="G137" i="9" s="1"/>
  <c r="F138" i="9"/>
  <c r="F137" i="9" s="1"/>
  <c r="E138" i="9"/>
  <c r="S137" i="9"/>
  <c r="I137" i="9"/>
  <c r="E137" i="9"/>
  <c r="N134" i="9" l="1"/>
  <c r="N133" i="9" s="1"/>
  <c r="M135" i="9"/>
  <c r="D140" i="9"/>
  <c r="N123" i="9"/>
  <c r="P123" i="9"/>
  <c r="S123" i="9"/>
  <c r="Q123" i="9"/>
  <c r="D131" i="9"/>
  <c r="T123" i="9"/>
  <c r="R123" i="9"/>
  <c r="Q130" i="9"/>
  <c r="Q129" i="9" s="1"/>
  <c r="S130" i="9"/>
  <c r="S129" i="9" s="1"/>
  <c r="N128" i="9"/>
  <c r="N126" i="9" s="1"/>
  <c r="D127" i="9"/>
  <c r="V66" i="1"/>
  <c r="N130" i="9"/>
  <c r="N129" i="9" s="1"/>
  <c r="R130" i="9"/>
  <c r="R129" i="9" s="1"/>
  <c r="D141" i="9"/>
  <c r="P130" i="9"/>
  <c r="P129" i="9" s="1"/>
  <c r="J232" i="2"/>
  <c r="J231" i="2" s="1"/>
  <c r="I233" i="2"/>
  <c r="M130" i="9"/>
  <c r="O134" i="9"/>
  <c r="O133" i="9" s="1"/>
  <c r="O123" i="9" s="1"/>
  <c r="M134" i="9"/>
  <c r="D137" i="9"/>
  <c r="D138" i="9"/>
  <c r="M47" i="3"/>
  <c r="D41" i="3"/>
  <c r="D39" i="3" s="1"/>
  <c r="D38" i="3" l="1"/>
  <c r="D44" i="3"/>
  <c r="M128" i="9"/>
  <c r="M133" i="9"/>
  <c r="M123" i="9" s="1"/>
  <c r="M129" i="9"/>
  <c r="D129" i="9" s="1"/>
  <c r="D130" i="9"/>
  <c r="I232" i="2"/>
  <c r="I231" i="2" s="1"/>
  <c r="H233" i="2"/>
  <c r="D134" i="9" l="1"/>
  <c r="D133" i="9" s="1"/>
  <c r="D128" i="9"/>
  <c r="D126" i="9" s="1"/>
  <c r="D125" i="9" s="1"/>
  <c r="H232" i="2"/>
  <c r="H231" i="2" s="1"/>
  <c r="G233" i="2"/>
  <c r="G232" i="2" l="1"/>
  <c r="G231" i="2" s="1"/>
  <c r="F233" i="2"/>
  <c r="F232" i="2" l="1"/>
  <c r="F231" i="2" s="1"/>
  <c r="E233" i="2"/>
  <c r="E232" i="2" s="1"/>
  <c r="O498" i="2" l="1"/>
  <c r="D498" i="2" s="1"/>
  <c r="D491" i="2"/>
  <c r="D475" i="2" s="1"/>
  <c r="D482" i="2" l="1"/>
  <c r="Z498" i="2"/>
  <c r="X209" i="2"/>
  <c r="X208" i="2" s="1"/>
  <c r="X207" i="2" s="1"/>
  <c r="O544" i="2" l="1"/>
  <c r="E613" i="2"/>
  <c r="F613" i="2"/>
  <c r="G613" i="2"/>
  <c r="H613" i="2"/>
  <c r="I613" i="2"/>
  <c r="J613" i="2"/>
  <c r="K613" i="2"/>
  <c r="N613" i="2"/>
  <c r="O613" i="2"/>
  <c r="P613" i="2"/>
  <c r="Q613" i="2"/>
  <c r="R613" i="2"/>
  <c r="R612" i="2" s="1"/>
  <c r="O102" i="1" s="1"/>
  <c r="W32" i="10" l="1"/>
  <c r="G16" i="6" l="1"/>
  <c r="G14" i="6" s="1"/>
  <c r="G23" i="6"/>
  <c r="G22" i="6" s="1"/>
  <c r="G25" i="6"/>
  <c r="F16" i="6"/>
  <c r="F14" i="6" s="1"/>
  <c r="F23" i="6"/>
  <c r="F22" i="6" s="1"/>
  <c r="F25" i="6"/>
  <c r="F21" i="6" l="1"/>
  <c r="G21" i="6"/>
  <c r="G123" i="9"/>
  <c r="H123" i="9"/>
  <c r="F123" i="9"/>
  <c r="H10" i="7"/>
  <c r="G10" i="7"/>
  <c r="F10" i="7"/>
  <c r="H14" i="7"/>
  <c r="G14" i="7"/>
  <c r="F14" i="7"/>
  <c r="O105" i="5" l="1"/>
  <c r="O108" i="5"/>
  <c r="O104" i="5" l="1"/>
  <c r="P22" i="4"/>
  <c r="P21" i="4" s="1"/>
  <c r="Q22" i="4"/>
  <c r="R22" i="4"/>
  <c r="R21" i="4" s="1"/>
  <c r="S22" i="4"/>
  <c r="T22" i="4"/>
  <c r="X60" i="8"/>
  <c r="X21" i="8" s="1"/>
  <c r="X59" i="8"/>
  <c r="X57" i="8"/>
  <c r="X16" i="8" s="1"/>
  <c r="X56" i="8"/>
  <c r="T21" i="4" l="1"/>
  <c r="S21" i="4"/>
  <c r="Q21" i="4"/>
  <c r="X55" i="8"/>
  <c r="X15" i="8"/>
  <c r="X20" i="8"/>
  <c r="X58" i="8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 s="1"/>
  <c r="T60" i="7"/>
  <c r="T57" i="7"/>
  <c r="S65" i="7"/>
  <c r="S63" i="7"/>
  <c r="S62" i="7" s="1"/>
  <c r="S60" i="7"/>
  <c r="S57" i="7"/>
  <c r="S56" i="7" s="1"/>
  <c r="T89" i="7"/>
  <c r="T87" i="7"/>
  <c r="T86" i="7" s="1"/>
  <c r="T84" i="7"/>
  <c r="T81" i="7"/>
  <c r="S89" i="7"/>
  <c r="S87" i="7"/>
  <c r="S86" i="7" s="1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S41" i="7"/>
  <c r="S39" i="7"/>
  <c r="S38" i="7" s="1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M67" i="1" s="1"/>
  <c r="Q13" i="7"/>
  <c r="N67" i="1" s="1"/>
  <c r="R13" i="7"/>
  <c r="O67" i="1" s="1"/>
  <c r="S13" i="7"/>
  <c r="P67" i="1" s="1"/>
  <c r="T13" i="7"/>
  <c r="Q67" i="1" s="1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Q19" i="7"/>
  <c r="R19" i="7"/>
  <c r="O80" i="1" s="1"/>
  <c r="O140" i="1" s="1"/>
  <c r="O202" i="1" s="1"/>
  <c r="S19" i="7"/>
  <c r="T19" i="7"/>
  <c r="P21" i="7"/>
  <c r="P20" i="7" s="1"/>
  <c r="Q21" i="7"/>
  <c r="Q20" i="7" s="1"/>
  <c r="R21" i="7"/>
  <c r="R20" i="7" s="1"/>
  <c r="S21" i="7"/>
  <c r="S20" i="7" s="1"/>
  <c r="T21" i="7"/>
  <c r="T20" i="7" s="1"/>
  <c r="S10" i="8"/>
  <c r="T10" i="8"/>
  <c r="S11" i="8"/>
  <c r="T11" i="8"/>
  <c r="S13" i="8"/>
  <c r="T13" i="8"/>
  <c r="S19" i="8"/>
  <c r="P27" i="1" s="1"/>
  <c r="T19" i="8"/>
  <c r="Q27" i="1" s="1"/>
  <c r="S22" i="8"/>
  <c r="S27" i="8"/>
  <c r="T27" i="8"/>
  <c r="S28" i="8"/>
  <c r="P136" i="1" s="1"/>
  <c r="P198" i="1" s="1"/>
  <c r="T28" i="8"/>
  <c r="Q136" i="1" s="1"/>
  <c r="Q198" i="1" s="1"/>
  <c r="S33" i="8"/>
  <c r="T33" i="8"/>
  <c r="S68" i="7" l="1"/>
  <c r="S74" i="7"/>
  <c r="T68" i="7"/>
  <c r="T74" i="7"/>
  <c r="S80" i="7"/>
  <c r="S18" i="7"/>
  <c r="P140" i="1"/>
  <c r="P202" i="1" s="1"/>
  <c r="Q18" i="7"/>
  <c r="Q74" i="1"/>
  <c r="T18" i="7"/>
  <c r="Q140" i="1"/>
  <c r="Q202" i="1" s="1"/>
  <c r="P18" i="7"/>
  <c r="P17" i="7" s="1"/>
  <c r="N74" i="1"/>
  <c r="N73" i="1" s="1"/>
  <c r="P74" i="1"/>
  <c r="P73" i="1" s="1"/>
  <c r="O74" i="1"/>
  <c r="O73" i="1" s="1"/>
  <c r="T30" i="8"/>
  <c r="S18" i="8"/>
  <c r="S12" i="8" s="1"/>
  <c r="T9" i="8"/>
  <c r="T32" i="7"/>
  <c r="Q12" i="7"/>
  <c r="T38" i="7"/>
  <c r="X14" i="7"/>
  <c r="X12" i="7" s="1"/>
  <c r="X11" i="7" s="1"/>
  <c r="R12" i="7"/>
  <c r="T80" i="7"/>
  <c r="T56" i="7"/>
  <c r="R18" i="7"/>
  <c r="T24" i="8"/>
  <c r="X54" i="8"/>
  <c r="S9" i="8"/>
  <c r="P12" i="7"/>
  <c r="P11" i="7" s="1"/>
  <c r="T18" i="8"/>
  <c r="T12" i="8" s="1"/>
  <c r="S30" i="8"/>
  <c r="S24" i="8"/>
  <c r="T12" i="7"/>
  <c r="S12" i="7"/>
  <c r="S11" i="7" s="1"/>
  <c r="S17" i="7"/>
  <c r="Q17" i="7"/>
  <c r="T11" i="7"/>
  <c r="R11" i="7"/>
  <c r="T17" i="7"/>
  <c r="R17" i="7"/>
  <c r="Q11" i="7"/>
  <c r="T23" i="8" l="1"/>
  <c r="Q73" i="1"/>
  <c r="S23" i="8"/>
  <c r="T11" i="13"/>
  <c r="S11" i="13"/>
  <c r="R11" i="13"/>
  <c r="S16" i="13"/>
  <c r="R16" i="13"/>
  <c r="Q16" i="13"/>
  <c r="P16" i="13"/>
  <c r="Q12" i="13"/>
  <c r="M45" i="13"/>
  <c r="T16" i="13" l="1"/>
  <c r="P22" i="13"/>
  <c r="P19" i="13" s="1"/>
  <c r="R22" i="13"/>
  <c r="R19" i="13" s="1"/>
  <c r="T22" i="13"/>
  <c r="T19" i="13" s="1"/>
  <c r="Q22" i="13"/>
  <c r="Q19" i="13" s="1"/>
  <c r="S22" i="13"/>
  <c r="S19" i="13" s="1"/>
  <c r="R9" i="13"/>
  <c r="S9" i="13"/>
  <c r="T9" i="13"/>
  <c r="R12" i="13"/>
  <c r="T12" i="13"/>
  <c r="M52" i="13"/>
  <c r="M49" i="13" s="1"/>
  <c r="S12" i="13"/>
  <c r="P12" i="13" l="1"/>
  <c r="G20" i="8"/>
  <c r="H20" i="8"/>
  <c r="E31" i="8"/>
  <c r="F31" i="8"/>
  <c r="G31" i="8"/>
  <c r="H31" i="8"/>
  <c r="F20" i="8" l="1"/>
  <c r="G14" i="8"/>
  <c r="M163" i="8" l="1"/>
  <c r="D163" i="8" s="1"/>
  <c r="M160" i="8"/>
  <c r="M157" i="8"/>
  <c r="M156" i="8" s="1"/>
  <c r="M155" i="8"/>
  <c r="M154" i="8"/>
  <c r="M153" i="8" s="1"/>
  <c r="D160" i="8"/>
  <c r="D157" i="8"/>
  <c r="D155" i="8"/>
  <c r="D154" i="8"/>
  <c r="M145" i="8"/>
  <c r="M139" i="8"/>
  <c r="M148" i="8"/>
  <c r="M142" i="8"/>
  <c r="M133" i="8"/>
  <c r="M132" i="8" s="1"/>
  <c r="M131" i="8" s="1"/>
  <c r="F100" i="8"/>
  <c r="G100" i="8"/>
  <c r="H100" i="8"/>
  <c r="F94" i="8"/>
  <c r="G94" i="8"/>
  <c r="H94" i="8"/>
  <c r="E94" i="8"/>
  <c r="M187" i="8"/>
  <c r="M193" i="8"/>
  <c r="M162" i="8" l="1"/>
  <c r="M159" i="8"/>
  <c r="M158" i="8" s="1"/>
  <c r="M152" i="8"/>
  <c r="M144" i="8"/>
  <c r="M138" i="8"/>
  <c r="M80" i="5"/>
  <c r="M48" i="5"/>
  <c r="M47" i="5" s="1"/>
  <c r="D31" i="5"/>
  <c r="D24" i="5"/>
  <c r="D26" i="5"/>
  <c r="M23" i="5"/>
  <c r="X24" i="5"/>
  <c r="X23" i="5" s="1"/>
  <c r="X26" i="5"/>
  <c r="X25" i="5" s="1"/>
  <c r="S51" i="5"/>
  <c r="T51" i="5"/>
  <c r="S15" i="5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 s="1"/>
  <c r="T41" i="5"/>
  <c r="T38" i="5" s="1"/>
  <c r="S45" i="5"/>
  <c r="T45" i="5"/>
  <c r="S48" i="5"/>
  <c r="S47" i="5" s="1"/>
  <c r="T48" i="5"/>
  <c r="T47" i="5" s="1"/>
  <c r="S79" i="5"/>
  <c r="S77" i="5" s="1"/>
  <c r="T79" i="5"/>
  <c r="T77" i="5" s="1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18" i="9"/>
  <c r="T18" i="9"/>
  <c r="S17" i="9"/>
  <c r="T17" i="9"/>
  <c r="S14" i="9"/>
  <c r="T14" i="9"/>
  <c r="S12" i="9"/>
  <c r="T12" i="9"/>
  <c r="S11" i="9"/>
  <c r="T11" i="9"/>
  <c r="O25" i="9"/>
  <c r="O23" i="9"/>
  <c r="O22" i="9" s="1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P25" i="9"/>
  <c r="T23" i="9"/>
  <c r="T22" i="9" s="1"/>
  <c r="S23" i="9"/>
  <c r="R23" i="9"/>
  <c r="R22" i="9" s="1"/>
  <c r="Q23" i="9"/>
  <c r="P23" i="9"/>
  <c r="P22" i="9" s="1"/>
  <c r="O34" i="9"/>
  <c r="O32" i="9"/>
  <c r="T46" i="9"/>
  <c r="T45" i="9" s="1"/>
  <c r="S46" i="9"/>
  <c r="S45" i="9" s="1"/>
  <c r="R46" i="9"/>
  <c r="R45" i="9" s="1"/>
  <c r="T43" i="9"/>
  <c r="S43" i="9"/>
  <c r="R43" i="9"/>
  <c r="T41" i="9"/>
  <c r="S41" i="9"/>
  <c r="R41" i="9"/>
  <c r="O50" i="9"/>
  <c r="O49" i="9" s="1"/>
  <c r="T53" i="9"/>
  <c r="T52" i="9" s="1"/>
  <c r="S53" i="9"/>
  <c r="S52" i="9" s="1"/>
  <c r="R53" i="9"/>
  <c r="R52" i="9" s="1"/>
  <c r="Q53" i="9"/>
  <c r="Q52" i="9" s="1"/>
  <c r="P53" i="9"/>
  <c r="P52" i="9" s="1"/>
  <c r="T50" i="9"/>
  <c r="T49" i="9" s="1"/>
  <c r="S50" i="9"/>
  <c r="S49" i="9" s="1"/>
  <c r="R50" i="9"/>
  <c r="R49" i="9" s="1"/>
  <c r="Q50" i="9"/>
  <c r="Q49" i="9" s="1"/>
  <c r="P50" i="9"/>
  <c r="P49" i="9" s="1"/>
  <c r="T62" i="9"/>
  <c r="T61" i="9" s="1"/>
  <c r="S62" i="9"/>
  <c r="S61" i="9" s="1"/>
  <c r="R62" i="9"/>
  <c r="R61" i="9" s="1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22" i="9"/>
  <c r="T128" i="9"/>
  <c r="S128" i="9"/>
  <c r="S126" i="9" s="1"/>
  <c r="R128" i="9"/>
  <c r="S125" i="9"/>
  <c r="T124" i="9"/>
  <c r="T122" i="9" s="1"/>
  <c r="R122" i="9"/>
  <c r="M101" i="9"/>
  <c r="M100" i="9" s="1"/>
  <c r="M98" i="9"/>
  <c r="M95" i="9" s="1"/>
  <c r="S101" i="9"/>
  <c r="R101" i="9"/>
  <c r="R100" i="9" s="1"/>
  <c r="Q101" i="9"/>
  <c r="Q100" i="9" s="1"/>
  <c r="P101" i="9"/>
  <c r="P100" i="9" s="1"/>
  <c r="S100" i="9"/>
  <c r="S95" i="9"/>
  <c r="T85" i="9"/>
  <c r="T84" i="9" s="1"/>
  <c r="S85" i="9"/>
  <c r="S84" i="9" s="1"/>
  <c r="R85" i="9"/>
  <c r="R84" i="9" s="1"/>
  <c r="T79" i="9"/>
  <c r="S79" i="9"/>
  <c r="R79" i="9"/>
  <c r="M82" i="9"/>
  <c r="M79" i="9" s="1"/>
  <c r="M76" i="9"/>
  <c r="M75" i="9" s="1"/>
  <c r="M69" i="9"/>
  <c r="M68" i="9" s="1"/>
  <c r="T37" i="9"/>
  <c r="T36" i="9" s="1"/>
  <c r="S37" i="9"/>
  <c r="R37" i="9"/>
  <c r="R36" i="9" s="1"/>
  <c r="Q37" i="9"/>
  <c r="Q36" i="9" s="1"/>
  <c r="P37" i="9"/>
  <c r="P36" i="9" s="1"/>
  <c r="S36" i="9"/>
  <c r="T34" i="9"/>
  <c r="S34" i="9"/>
  <c r="R34" i="9"/>
  <c r="Q34" i="9"/>
  <c r="P34" i="9"/>
  <c r="T32" i="9"/>
  <c r="S32" i="9"/>
  <c r="R32" i="9"/>
  <c r="Q32" i="9"/>
  <c r="P32" i="9"/>
  <c r="M37" i="9"/>
  <c r="M36" i="9" s="1"/>
  <c r="Q98" i="1" l="1"/>
  <c r="P98" i="1"/>
  <c r="R40" i="9"/>
  <c r="T40" i="9"/>
  <c r="T76" i="5"/>
  <c r="S76" i="5"/>
  <c r="Q22" i="9"/>
  <c r="R37" i="10"/>
  <c r="Q37" i="10"/>
  <c r="S14" i="5"/>
  <c r="S13" i="5" s="1"/>
  <c r="T31" i="9"/>
  <c r="T10" i="9" s="1"/>
  <c r="S40" i="9"/>
  <c r="X22" i="5"/>
  <c r="S22" i="9"/>
  <c r="R126" i="9"/>
  <c r="R125" i="9" s="1"/>
  <c r="T126" i="9"/>
  <c r="T125" i="9" s="1"/>
  <c r="T33" i="5"/>
  <c r="M30" i="5"/>
  <c r="M27" i="5" s="1"/>
  <c r="T44" i="5"/>
  <c r="R36" i="10" s="1"/>
  <c r="T14" i="5"/>
  <c r="T13" i="5" s="1"/>
  <c r="S44" i="5"/>
  <c r="Q36" i="10" s="1"/>
  <c r="M25" i="5"/>
  <c r="M22" i="5" s="1"/>
  <c r="O31" i="9"/>
  <c r="Q31" i="9"/>
  <c r="S31" i="9"/>
  <c r="P31" i="9"/>
  <c r="R31" i="9"/>
  <c r="M85" i="9"/>
  <c r="M84" i="9" s="1"/>
  <c r="T9" i="9"/>
  <c r="T8" i="9" s="1"/>
  <c r="M122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 s="1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 s="1"/>
  <c r="Q82" i="1" s="1"/>
  <c r="Q26" i="4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M90" i="4"/>
  <c r="M89" i="4" s="1"/>
  <c r="M80" i="4"/>
  <c r="M79" i="4" s="1"/>
  <c r="P41" i="4" l="1"/>
  <c r="Q123" i="1"/>
  <c r="Q185" i="1" s="1"/>
  <c r="S8" i="9"/>
  <c r="P67" i="4"/>
  <c r="S11" i="5"/>
  <c r="T11" i="5"/>
  <c r="R27" i="4"/>
  <c r="O83" i="1"/>
  <c r="O82" i="1" s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 s="1"/>
  <c r="M49" i="4"/>
  <c r="S24" i="4"/>
  <c r="Q24" i="4"/>
  <c r="S27" i="4"/>
  <c r="S94" i="4"/>
  <c r="Q94" i="4"/>
  <c r="Q67" i="4"/>
  <c r="T24" i="4"/>
  <c r="R24" i="4"/>
  <c r="R23" i="4" s="1"/>
  <c r="T27" i="4"/>
  <c r="T94" i="4"/>
  <c r="R94" i="4"/>
  <c r="M126" i="9"/>
  <c r="S67" i="4"/>
  <c r="R67" i="4"/>
  <c r="S23" i="4"/>
  <c r="Q23" i="4"/>
  <c r="M85" i="4"/>
  <c r="M84" i="4" s="1"/>
  <c r="M101" i="4"/>
  <c r="M100" i="4" s="1"/>
  <c r="T14" i="4"/>
  <c r="T13" i="4" s="1"/>
  <c r="T10" i="4"/>
  <c r="X54" i="3"/>
  <c r="X68" i="3"/>
  <c r="X67" i="3"/>
  <c r="X70" i="3"/>
  <c r="X69" i="3" s="1"/>
  <c r="T191" i="3"/>
  <c r="S191" i="3"/>
  <c r="R191" i="3"/>
  <c r="T189" i="3"/>
  <c r="S189" i="3"/>
  <c r="R189" i="3"/>
  <c r="T186" i="3"/>
  <c r="S186" i="3"/>
  <c r="R186" i="3"/>
  <c r="R24" i="10"/>
  <c r="Q24" i="10"/>
  <c r="Q26" i="3"/>
  <c r="Q25" i="3" s="1"/>
  <c r="R26" i="3"/>
  <c r="R25" i="3" s="1"/>
  <c r="S26" i="3"/>
  <c r="S25" i="3" s="1"/>
  <c r="T26" i="3"/>
  <c r="T25" i="3" s="1"/>
  <c r="Q29" i="3"/>
  <c r="Q28" i="3" s="1"/>
  <c r="R29" i="3"/>
  <c r="R28" i="3" s="1"/>
  <c r="S29" i="3"/>
  <c r="S28" i="3" s="1"/>
  <c r="T29" i="3"/>
  <c r="T28" i="3" s="1"/>
  <c r="S646" i="2"/>
  <c r="S645" i="2" s="1"/>
  <c r="T646" i="2"/>
  <c r="T645" i="2" s="1"/>
  <c r="T379" i="2"/>
  <c r="T387" i="2"/>
  <c r="S387" i="2"/>
  <c r="R387" i="2"/>
  <c r="Q387" i="2"/>
  <c r="Q384" i="2" s="1"/>
  <c r="R379" i="2"/>
  <c r="Q379" i="2"/>
  <c r="S382" i="2"/>
  <c r="R382" i="2"/>
  <c r="T609" i="2"/>
  <c r="T608" i="2" s="1"/>
  <c r="T534" i="2" s="1"/>
  <c r="S609" i="2"/>
  <c r="S608" i="2" s="1"/>
  <c r="S534" i="2" s="1"/>
  <c r="T570" i="2"/>
  <c r="T569" i="2" s="1"/>
  <c r="T535" i="2" s="1"/>
  <c r="S570" i="2"/>
  <c r="S569" i="2" s="1"/>
  <c r="S535" i="2" s="1"/>
  <c r="S540" i="2"/>
  <c r="P69" i="1" s="1"/>
  <c r="T540" i="2"/>
  <c r="Q69" i="1" s="1"/>
  <c r="S546" i="2"/>
  <c r="T546" i="2"/>
  <c r="T527" i="2"/>
  <c r="T525" i="2"/>
  <c r="S527" i="2"/>
  <c r="S525" i="2"/>
  <c r="T530" i="2"/>
  <c r="T529" i="2" s="1"/>
  <c r="S530" i="2"/>
  <c r="S529" i="2" s="1"/>
  <c r="T522" i="2"/>
  <c r="T521" i="2" s="1"/>
  <c r="T520" i="2" s="1"/>
  <c r="R39" i="10" s="1"/>
  <c r="T519" i="2"/>
  <c r="T518" i="2" s="1"/>
  <c r="T517" i="2"/>
  <c r="T516" i="2" s="1"/>
  <c r="S522" i="2"/>
  <c r="S521" i="2" s="1"/>
  <c r="S520" i="2" s="1"/>
  <c r="Q39" i="10" s="1"/>
  <c r="S519" i="2"/>
  <c r="S517" i="2"/>
  <c r="S516" i="2" s="1"/>
  <c r="R522" i="2"/>
  <c r="R521" i="2" s="1"/>
  <c r="R520" i="2" s="1"/>
  <c r="P39" i="10" s="1"/>
  <c r="R519" i="2"/>
  <c r="R518" i="2" s="1"/>
  <c r="R517" i="2"/>
  <c r="R516" i="2" s="1"/>
  <c r="T501" i="2"/>
  <c r="T497" i="2"/>
  <c r="T493" i="2"/>
  <c r="T489" i="2"/>
  <c r="S501" i="2"/>
  <c r="S497" i="2"/>
  <c r="S493" i="2"/>
  <c r="S489" i="2"/>
  <c r="R501" i="2"/>
  <c r="R497" i="2"/>
  <c r="R493" i="2"/>
  <c r="R489" i="2"/>
  <c r="Q501" i="2"/>
  <c r="Q497" i="2"/>
  <c r="Q493" i="2"/>
  <c r="Q489" i="2"/>
  <c r="T479" i="2"/>
  <c r="T22" i="2" s="1"/>
  <c r="Q28" i="1" s="1"/>
  <c r="T478" i="2"/>
  <c r="T476" i="2"/>
  <c r="T475" i="2"/>
  <c r="T15" i="2" s="1"/>
  <c r="Q19" i="1" s="1"/>
  <c r="T474" i="2"/>
  <c r="S479" i="2"/>
  <c r="S22" i="2" s="1"/>
  <c r="P28" i="1" s="1"/>
  <c r="S478" i="2"/>
  <c r="S476" i="2"/>
  <c r="S475" i="2"/>
  <c r="S15" i="2" s="1"/>
  <c r="P19" i="1" s="1"/>
  <c r="S474" i="2"/>
  <c r="T486" i="2"/>
  <c r="T34" i="2" s="1"/>
  <c r="Q43" i="1" s="1"/>
  <c r="T485" i="2"/>
  <c r="T483" i="2"/>
  <c r="T482" i="2"/>
  <c r="T25" i="2" s="1"/>
  <c r="Q34" i="1" s="1"/>
  <c r="S486" i="2"/>
  <c r="S34" i="2" s="1"/>
  <c r="P43" i="1" s="1"/>
  <c r="S485" i="2"/>
  <c r="S483" i="2"/>
  <c r="S482" i="2"/>
  <c r="S25" i="2" s="1"/>
  <c r="P34" i="1" s="1"/>
  <c r="N382" i="2"/>
  <c r="T382" i="2"/>
  <c r="S379" i="2"/>
  <c r="Q382" i="2"/>
  <c r="M88" i="2"/>
  <c r="X88" i="2"/>
  <c r="X87" i="2" s="1"/>
  <c r="X82" i="2" s="1"/>
  <c r="T83" i="2"/>
  <c r="S83" i="2"/>
  <c r="R83" i="2"/>
  <c r="Q83" i="2"/>
  <c r="T82" i="2"/>
  <c r="S82" i="2"/>
  <c r="R82" i="2"/>
  <c r="Q82" i="2"/>
  <c r="S39" i="2"/>
  <c r="T39" i="2"/>
  <c r="S40" i="2"/>
  <c r="S18" i="2" s="1"/>
  <c r="P24" i="1" s="1"/>
  <c r="P129" i="1" s="1"/>
  <c r="P190" i="1" s="1"/>
  <c r="T40" i="2"/>
  <c r="T18" i="2" s="1"/>
  <c r="Q24" i="1" s="1"/>
  <c r="S46" i="2"/>
  <c r="S26" i="2" s="1"/>
  <c r="T46" i="2"/>
  <c r="T26" i="2" s="1"/>
  <c r="S47" i="2"/>
  <c r="S28" i="2" s="1"/>
  <c r="P39" i="1" s="1"/>
  <c r="P143" i="1" s="1"/>
  <c r="P205" i="1" s="1"/>
  <c r="T47" i="2"/>
  <c r="T28" i="2" s="1"/>
  <c r="Q39" i="1" s="1"/>
  <c r="Q143" i="1" s="1"/>
  <c r="Q205" i="1" s="1"/>
  <c r="S48" i="2"/>
  <c r="S29" i="2" s="1"/>
  <c r="P40" i="1" s="1"/>
  <c r="P144" i="1" s="1"/>
  <c r="P206" i="1" s="1"/>
  <c r="T48" i="2"/>
  <c r="T29" i="2" s="1"/>
  <c r="Q40" i="1" s="1"/>
  <c r="Q144" i="1" s="1"/>
  <c r="Q206" i="1" s="1"/>
  <c r="S51" i="2"/>
  <c r="S31" i="2" s="1"/>
  <c r="T51" i="2"/>
  <c r="T31" i="2" s="1"/>
  <c r="M504" i="2"/>
  <c r="D504" i="2" s="1"/>
  <c r="D486" i="2" s="1"/>
  <c r="M499" i="2"/>
  <c r="D499" i="2" s="1"/>
  <c r="M482" i="2"/>
  <c r="G26" i="12"/>
  <c r="M192" i="2"/>
  <c r="M79" i="2"/>
  <c r="D79" i="2" s="1"/>
  <c r="R185" i="3" l="1"/>
  <c r="T185" i="3"/>
  <c r="X66" i="3"/>
  <c r="T16" i="2"/>
  <c r="Q21" i="1" s="1"/>
  <c r="Q126" i="1" s="1"/>
  <c r="Q187" i="1" s="1"/>
  <c r="P78" i="1"/>
  <c r="P76" i="1" s="1"/>
  <c r="P75" i="1" s="1"/>
  <c r="S543" i="2"/>
  <c r="S542" i="2" s="1"/>
  <c r="P103" i="1" s="1"/>
  <c r="P101" i="1" s="1"/>
  <c r="R384" i="2"/>
  <c r="P29" i="10" s="1"/>
  <c r="T384" i="2"/>
  <c r="R29" i="10" s="1"/>
  <c r="S16" i="2"/>
  <c r="P21" i="1" s="1"/>
  <c r="P126" i="1" s="1"/>
  <c r="P187" i="1" s="1"/>
  <c r="Q78" i="1"/>
  <c r="Q76" i="1" s="1"/>
  <c r="Q75" i="1" s="1"/>
  <c r="Q86" i="1" s="1"/>
  <c r="T543" i="2"/>
  <c r="T542" i="2" s="1"/>
  <c r="Q103" i="1" s="1"/>
  <c r="Q101" i="1" s="1"/>
  <c r="S384" i="2"/>
  <c r="Q29" i="10" s="1"/>
  <c r="S518" i="2"/>
  <c r="S515" i="2" s="1"/>
  <c r="Q38" i="10" s="1"/>
  <c r="S20" i="2"/>
  <c r="Q129" i="1"/>
  <c r="Q190" i="1" s="1"/>
  <c r="Q37" i="1"/>
  <c r="T45" i="2"/>
  <c r="T37" i="2"/>
  <c r="S17" i="2"/>
  <c r="P22" i="1" s="1"/>
  <c r="P37" i="1"/>
  <c r="S45" i="2"/>
  <c r="S37" i="2"/>
  <c r="S27" i="2"/>
  <c r="T27" i="2"/>
  <c r="T17" i="2"/>
  <c r="Q22" i="1" s="1"/>
  <c r="Q138" i="1"/>
  <c r="Q200" i="1" s="1"/>
  <c r="S185" i="3"/>
  <c r="S9" i="3" s="1"/>
  <c r="S8" i="3" s="1"/>
  <c r="T23" i="4"/>
  <c r="T8" i="3"/>
  <c r="P146" i="1"/>
  <c r="P208" i="1" s="1"/>
  <c r="Q146" i="1"/>
  <c r="Q208" i="1" s="1"/>
  <c r="Q131" i="1"/>
  <c r="Q193" i="1" s="1"/>
  <c r="P131" i="1"/>
  <c r="P193" i="1" s="1"/>
  <c r="P86" i="1"/>
  <c r="G25" i="12"/>
  <c r="X51" i="3"/>
  <c r="X56" i="3"/>
  <c r="X65" i="3"/>
  <c r="M25" i="2"/>
  <c r="M475" i="2"/>
  <c r="M15" i="2" s="1"/>
  <c r="M479" i="2"/>
  <c r="M22" i="2" s="1"/>
  <c r="J28" i="1" s="1"/>
  <c r="J131" i="1" s="1"/>
  <c r="J193" i="1" s="1"/>
  <c r="T33" i="2"/>
  <c r="Q46" i="1" s="1"/>
  <c r="M190" i="2"/>
  <c r="M189" i="2" s="1"/>
  <c r="G24" i="12" s="1"/>
  <c r="T20" i="2"/>
  <c r="S21" i="2"/>
  <c r="S42" i="2"/>
  <c r="T21" i="2"/>
  <c r="T42" i="2"/>
  <c r="M125" i="9"/>
  <c r="S32" i="2"/>
  <c r="P45" i="1" s="1"/>
  <c r="T14" i="2"/>
  <c r="Q18" i="1" s="1"/>
  <c r="T32" i="2"/>
  <c r="Q45" i="1" s="1"/>
  <c r="Q496" i="2"/>
  <c r="R488" i="2"/>
  <c r="R496" i="2"/>
  <c r="S488" i="2"/>
  <c r="S496" i="2"/>
  <c r="T488" i="2"/>
  <c r="T496" i="2"/>
  <c r="S14" i="2"/>
  <c r="P18" i="1" s="1"/>
  <c r="P17" i="1" s="1"/>
  <c r="S524" i="2"/>
  <c r="S10" i="2" s="1"/>
  <c r="T524" i="2"/>
  <c r="T10" i="2" s="1"/>
  <c r="S33" i="2"/>
  <c r="P46" i="1" s="1"/>
  <c r="S477" i="2"/>
  <c r="T473" i="2"/>
  <c r="T515" i="2"/>
  <c r="R38" i="10" s="1"/>
  <c r="T477" i="2"/>
  <c r="Q488" i="2"/>
  <c r="M51" i="2"/>
  <c r="M31" i="2" s="1"/>
  <c r="M486" i="2"/>
  <c r="M34" i="2" s="1"/>
  <c r="J43" i="1" s="1"/>
  <c r="J146" i="1" s="1"/>
  <c r="J208" i="1" s="1"/>
  <c r="M566" i="2"/>
  <c r="M565" i="2" s="1"/>
  <c r="M519" i="2"/>
  <c r="M518" i="2" s="1"/>
  <c r="M550" i="2"/>
  <c r="M549" i="2" s="1"/>
  <c r="M594" i="2"/>
  <c r="M593" i="2" s="1"/>
  <c r="M646" i="2"/>
  <c r="M645" i="2" s="1"/>
  <c r="S481" i="2"/>
  <c r="S484" i="2"/>
  <c r="T481" i="2"/>
  <c r="T484" i="2"/>
  <c r="S473" i="2"/>
  <c r="R378" i="2"/>
  <c r="P28" i="10" s="1"/>
  <c r="T537" i="2"/>
  <c r="T536" i="2" s="1"/>
  <c r="S537" i="2"/>
  <c r="S536" i="2" s="1"/>
  <c r="R515" i="2"/>
  <c r="P38" i="10" s="1"/>
  <c r="T378" i="2"/>
  <c r="R28" i="10" s="1"/>
  <c r="S378" i="2"/>
  <c r="Q28" i="10" s="1"/>
  <c r="Q378" i="2"/>
  <c r="T50" i="2"/>
  <c r="S50" i="2"/>
  <c r="M527" i="2"/>
  <c r="Q100" i="1" l="1"/>
  <c r="P29" i="1"/>
  <c r="P128" i="1" s="1"/>
  <c r="P189" i="1" s="1"/>
  <c r="Q145" i="1"/>
  <c r="Q207" i="1" s="1"/>
  <c r="P145" i="1"/>
  <c r="P207" i="1" s="1"/>
  <c r="Q128" i="1"/>
  <c r="Q189" i="1" s="1"/>
  <c r="T24" i="2"/>
  <c r="Q38" i="1"/>
  <c r="Q139" i="1" s="1"/>
  <c r="Q201" i="1" s="1"/>
  <c r="Q127" i="1"/>
  <c r="Q188" i="1" s="1"/>
  <c r="P38" i="1"/>
  <c r="P139" i="1" s="1"/>
  <c r="P201" i="1" s="1"/>
  <c r="P127" i="1"/>
  <c r="P188" i="1" s="1"/>
  <c r="Q31" i="1"/>
  <c r="P31" i="1"/>
  <c r="P132" i="1" s="1"/>
  <c r="P194" i="1" s="1"/>
  <c r="S24" i="2"/>
  <c r="T13" i="2"/>
  <c r="Q147" i="1"/>
  <c r="Q209" i="1" s="1"/>
  <c r="Q51" i="1"/>
  <c r="P51" i="1"/>
  <c r="P147" i="1"/>
  <c r="P209" i="1" s="1"/>
  <c r="P100" i="1"/>
  <c r="P138" i="1"/>
  <c r="P200" i="1" s="1"/>
  <c r="X55" i="3"/>
  <c r="X17" i="3"/>
  <c r="X15" i="3" s="1"/>
  <c r="X50" i="3"/>
  <c r="X49" i="3" s="1"/>
  <c r="X13" i="3"/>
  <c r="T19" i="2"/>
  <c r="S480" i="2"/>
  <c r="Q12" i="10" s="1"/>
  <c r="S19" i="2"/>
  <c r="S13" i="2"/>
  <c r="S30" i="2"/>
  <c r="T472" i="2"/>
  <c r="T9" i="2"/>
  <c r="S9" i="2"/>
  <c r="T30" i="2"/>
  <c r="S472" i="2"/>
  <c r="T480" i="2"/>
  <c r="R12" i="10" s="1"/>
  <c r="T36" i="2"/>
  <c r="T533" i="2"/>
  <c r="S533" i="2"/>
  <c r="S36" i="2"/>
  <c r="S44" i="2"/>
  <c r="T44" i="2"/>
  <c r="T23" i="2" l="1"/>
  <c r="Q99" i="1" s="1"/>
  <c r="Q132" i="1"/>
  <c r="Q194" i="1" s="1"/>
  <c r="Q26" i="1"/>
  <c r="P26" i="1"/>
  <c r="T12" i="2"/>
  <c r="S23" i="2"/>
  <c r="P99" i="1" s="1"/>
  <c r="P52" i="1"/>
  <c r="Q41" i="1"/>
  <c r="Q52" i="1"/>
  <c r="P41" i="1"/>
  <c r="S12" i="2"/>
  <c r="M198" i="3"/>
  <c r="M144" i="3"/>
  <c r="K24" i="10" l="1"/>
  <c r="K23" i="10"/>
  <c r="M45" i="3"/>
  <c r="M39" i="3"/>
  <c r="M43" i="3" l="1"/>
  <c r="M42" i="3" s="1"/>
  <c r="M98" i="3"/>
  <c r="M69" i="6" l="1"/>
  <c r="M64" i="6"/>
  <c r="M62" i="6"/>
  <c r="M58" i="6"/>
  <c r="M53" i="6"/>
  <c r="M51" i="6"/>
  <c r="M67" i="6"/>
  <c r="M56" i="6"/>
  <c r="E23" i="6"/>
  <c r="E16" i="6"/>
  <c r="E14" i="6" s="1"/>
  <c r="E231" i="6"/>
  <c r="E230" i="6" s="1"/>
  <c r="E229" i="6" s="1"/>
  <c r="P231" i="6"/>
  <c r="P230" i="6" s="1"/>
  <c r="P229" i="6" s="1"/>
  <c r="Q231" i="6"/>
  <c r="Q230" i="6" s="1"/>
  <c r="Q229" i="6" s="1"/>
  <c r="R231" i="6"/>
  <c r="R230" i="6" s="1"/>
  <c r="R229" i="6" s="1"/>
  <c r="S231" i="6"/>
  <c r="S230" i="6" s="1"/>
  <c r="S229" i="6" s="1"/>
  <c r="T231" i="6"/>
  <c r="T230" i="6" s="1"/>
  <c r="T229" i="6" s="1"/>
  <c r="G231" i="6"/>
  <c r="G230" i="6" s="1"/>
  <c r="G229" i="6" s="1"/>
  <c r="H231" i="6"/>
  <c r="H230" i="6" s="1"/>
  <c r="H229" i="6" s="1"/>
  <c r="I231" i="6"/>
  <c r="I230" i="6" s="1"/>
  <c r="I229" i="6" s="1"/>
  <c r="K231" i="6"/>
  <c r="K230" i="6" s="1"/>
  <c r="K229" i="6" s="1"/>
  <c r="L231" i="6"/>
  <c r="L230" i="6" s="1"/>
  <c r="L229" i="6" s="1"/>
  <c r="N231" i="6"/>
  <c r="N230" i="6" s="1"/>
  <c r="O231" i="6"/>
  <c r="O230" i="6" s="1"/>
  <c r="F231" i="6"/>
  <c r="F230" i="6" s="1"/>
  <c r="F229" i="6" s="1"/>
  <c r="E228" i="6"/>
  <c r="E227" i="6"/>
  <c r="K228" i="6"/>
  <c r="L228" i="6"/>
  <c r="F228" i="6"/>
  <c r="G228" i="6"/>
  <c r="H228" i="6"/>
  <c r="I228" i="6"/>
  <c r="T246" i="6"/>
  <c r="T245" i="6" s="1"/>
  <c r="S246" i="6"/>
  <c r="S245" i="6" s="1"/>
  <c r="R246" i="6"/>
  <c r="R245" i="6" s="1"/>
  <c r="Q246" i="6"/>
  <c r="Q245" i="6" s="1"/>
  <c r="P246" i="6"/>
  <c r="P245" i="6" s="1"/>
  <c r="T242" i="6"/>
  <c r="T241" i="6" s="1"/>
  <c r="S242" i="6"/>
  <c r="S241" i="6" s="1"/>
  <c r="R242" i="6"/>
  <c r="R241" i="6" s="1"/>
  <c r="Q242" i="6"/>
  <c r="Q241" i="6" s="1"/>
  <c r="P242" i="6"/>
  <c r="P241" i="6" s="1"/>
  <c r="Q228" i="6"/>
  <c r="N72" i="1" s="1"/>
  <c r="N125" i="1" s="1"/>
  <c r="N191" i="1" s="1"/>
  <c r="R228" i="6"/>
  <c r="O72" i="1" s="1"/>
  <c r="O125" i="1" s="1"/>
  <c r="O191" i="1" s="1"/>
  <c r="S228" i="6"/>
  <c r="P72" i="1" s="1"/>
  <c r="P125" i="1" s="1"/>
  <c r="P191" i="1" s="1"/>
  <c r="T228" i="6"/>
  <c r="Q72" i="1" s="1"/>
  <c r="Q125" i="1" s="1"/>
  <c r="Q191" i="1" s="1"/>
  <c r="S227" i="6"/>
  <c r="T227" i="6"/>
  <c r="Q65" i="1" s="1"/>
  <c r="S226" i="6"/>
  <c r="S225" i="6" s="1"/>
  <c r="T226" i="6"/>
  <c r="T225" i="6" s="1"/>
  <c r="S224" i="6"/>
  <c r="P61" i="1" s="1"/>
  <c r="T224" i="6"/>
  <c r="Q61" i="1" s="1"/>
  <c r="P89" i="6"/>
  <c r="Q89" i="6"/>
  <c r="R89" i="6"/>
  <c r="R88" i="6" s="1"/>
  <c r="S89" i="6"/>
  <c r="S88" i="6" s="1"/>
  <c r="T89" i="6"/>
  <c r="T88" i="6" s="1"/>
  <c r="P86" i="6"/>
  <c r="Q86" i="6"/>
  <c r="R86" i="6"/>
  <c r="S86" i="6"/>
  <c r="T86" i="6"/>
  <c r="P84" i="6"/>
  <c r="Q84" i="6"/>
  <c r="R84" i="6"/>
  <c r="S84" i="6"/>
  <c r="T84" i="6"/>
  <c r="R80" i="6"/>
  <c r="R73" i="6"/>
  <c r="S73" i="6"/>
  <c r="T73" i="6"/>
  <c r="R75" i="6"/>
  <c r="S75" i="6"/>
  <c r="T75" i="6"/>
  <c r="R78" i="6"/>
  <c r="S78" i="6"/>
  <c r="T78" i="6"/>
  <c r="S80" i="6"/>
  <c r="T80" i="6"/>
  <c r="S69" i="6"/>
  <c r="T69" i="6"/>
  <c r="S67" i="6"/>
  <c r="T67" i="6"/>
  <c r="S66" i="6"/>
  <c r="T66" i="6"/>
  <c r="S64" i="6"/>
  <c r="T64" i="6"/>
  <c r="S62" i="6"/>
  <c r="S61" i="6" s="1"/>
  <c r="T62" i="6"/>
  <c r="T61" i="6" s="1"/>
  <c r="T58" i="6"/>
  <c r="S58" i="6"/>
  <c r="T56" i="6"/>
  <c r="S56" i="6"/>
  <c r="T55" i="6"/>
  <c r="S55" i="6"/>
  <c r="T53" i="6"/>
  <c r="S53" i="6"/>
  <c r="T51" i="6"/>
  <c r="S51" i="6"/>
  <c r="T50" i="6"/>
  <c r="S50" i="6"/>
  <c r="T40" i="6"/>
  <c r="T47" i="6"/>
  <c r="S47" i="6"/>
  <c r="R47" i="6"/>
  <c r="Q47" i="6"/>
  <c r="T45" i="6"/>
  <c r="S45" i="6"/>
  <c r="R45" i="6"/>
  <c r="Q45" i="6"/>
  <c r="T44" i="6"/>
  <c r="S44" i="6"/>
  <c r="R44" i="6"/>
  <c r="Q44" i="6"/>
  <c r="T42" i="6"/>
  <c r="T39" i="6" s="1"/>
  <c r="S42" i="6"/>
  <c r="R42" i="6"/>
  <c r="Q42" i="6"/>
  <c r="S40" i="6"/>
  <c r="R40" i="6"/>
  <c r="Q40" i="6"/>
  <c r="T36" i="6"/>
  <c r="S36" i="6"/>
  <c r="R36" i="6"/>
  <c r="Q36" i="6"/>
  <c r="T34" i="6"/>
  <c r="S34" i="6"/>
  <c r="R34" i="6"/>
  <c r="Q34" i="6"/>
  <c r="T33" i="6"/>
  <c r="S33" i="6"/>
  <c r="R33" i="6"/>
  <c r="Q33" i="6"/>
  <c r="T31" i="6"/>
  <c r="S31" i="6"/>
  <c r="R31" i="6"/>
  <c r="Q31" i="6"/>
  <c r="T29" i="6"/>
  <c r="S29" i="6"/>
  <c r="R29" i="6"/>
  <c r="Q29" i="6"/>
  <c r="T28" i="6"/>
  <c r="S28" i="6"/>
  <c r="R28" i="6"/>
  <c r="Q28" i="6"/>
  <c r="T238" i="6"/>
  <c r="T237" i="6" s="1"/>
  <c r="T223" i="6" s="1"/>
  <c r="S238" i="6"/>
  <c r="S237" i="6" s="1"/>
  <c r="S223" i="6" s="1"/>
  <c r="R239" i="6"/>
  <c r="R227" i="6" s="1"/>
  <c r="T14" i="6"/>
  <c r="Q137" i="1" l="1"/>
  <c r="T22" i="6"/>
  <c r="P33" i="1"/>
  <c r="P32" i="1" s="1"/>
  <c r="S22" i="6"/>
  <c r="S14" i="6"/>
  <c r="R19" i="10"/>
  <c r="P59" i="1"/>
  <c r="Q93" i="1"/>
  <c r="P65" i="1"/>
  <c r="P122" i="1" s="1"/>
  <c r="P184" i="1" s="1"/>
  <c r="P93" i="1"/>
  <c r="P124" i="1"/>
  <c r="P186" i="1" s="1"/>
  <c r="R226" i="6"/>
  <c r="R225" i="6" s="1"/>
  <c r="Q64" i="1"/>
  <c r="Q63" i="1" s="1"/>
  <c r="Q85" i="1" s="1"/>
  <c r="Q122" i="1"/>
  <c r="R39" i="6"/>
  <c r="Q39" i="6"/>
  <c r="S39" i="6"/>
  <c r="Q19" i="10" s="1"/>
  <c r="M61" i="6"/>
  <c r="R77" i="6"/>
  <c r="P31" i="10" s="1"/>
  <c r="T83" i="6"/>
  <c r="R83" i="6"/>
  <c r="P83" i="6"/>
  <c r="S19" i="6"/>
  <c r="S25" i="6"/>
  <c r="S21" i="6" s="1"/>
  <c r="R20" i="10"/>
  <c r="T19" i="6"/>
  <c r="T13" i="6" s="1"/>
  <c r="T25" i="6"/>
  <c r="T21" i="6" s="1"/>
  <c r="Q20" i="10"/>
  <c r="T77" i="6"/>
  <c r="R31" i="10" s="1"/>
  <c r="R26" i="10" s="1"/>
  <c r="M55" i="6"/>
  <c r="M66" i="6"/>
  <c r="M50" i="6"/>
  <c r="K19" i="10" s="1"/>
  <c r="S222" i="6"/>
  <c r="T72" i="6"/>
  <c r="R72" i="6"/>
  <c r="P30" i="10" s="1"/>
  <c r="T222" i="6"/>
  <c r="S83" i="6"/>
  <c r="Q83" i="6"/>
  <c r="S77" i="6"/>
  <c r="Q31" i="10" s="1"/>
  <c r="Q26" i="10" s="1"/>
  <c r="S72" i="6"/>
  <c r="Q30" i="10" s="1"/>
  <c r="Q25" i="10" s="1"/>
  <c r="E92" i="5"/>
  <c r="E75" i="5" s="1"/>
  <c r="E73" i="5" s="1"/>
  <c r="I92" i="5"/>
  <c r="I75" i="5" s="1"/>
  <c r="I73" i="5" s="1"/>
  <c r="J92" i="5"/>
  <c r="J75" i="5" s="1"/>
  <c r="J73" i="5" s="1"/>
  <c r="N113" i="5"/>
  <c r="N75" i="5" s="1"/>
  <c r="N73" i="5" s="1"/>
  <c r="L363" i="12" l="1"/>
  <c r="L362" i="12" s="1"/>
  <c r="L367" i="12"/>
  <c r="L366" i="12" s="1"/>
  <c r="L371" i="12" s="1"/>
  <c r="L370" i="12" s="1"/>
  <c r="P16" i="1"/>
  <c r="P48" i="1" s="1"/>
  <c r="Q59" i="1"/>
  <c r="Q106" i="1" s="1"/>
  <c r="P137" i="1"/>
  <c r="P199" i="1" s="1"/>
  <c r="P210" i="1" s="1"/>
  <c r="Q33" i="1"/>
  <c r="Q32" i="1" s="1"/>
  <c r="Q49" i="1" s="1"/>
  <c r="P14" i="1"/>
  <c r="P90" i="1" s="1"/>
  <c r="Q14" i="1"/>
  <c r="Q41" i="10"/>
  <c r="R42" i="10"/>
  <c r="Q42" i="10"/>
  <c r="Q13" i="1"/>
  <c r="R30" i="10"/>
  <c r="R25" i="10" s="1"/>
  <c r="R41" i="10" s="1"/>
  <c r="P49" i="1"/>
  <c r="Q199" i="1"/>
  <c r="Q210" i="1" s="1"/>
  <c r="Q148" i="1"/>
  <c r="Q184" i="1"/>
  <c r="Q124" i="1"/>
  <c r="Q186" i="1" s="1"/>
  <c r="Q17" i="1"/>
  <c r="S13" i="6"/>
  <c r="P13" i="1"/>
  <c r="P89" i="1" s="1"/>
  <c r="D98" i="9"/>
  <c r="D95" i="9" s="1"/>
  <c r="Q16" i="1" l="1"/>
  <c r="Q48" i="1" s="1"/>
  <c r="P88" i="1"/>
  <c r="Q90" i="1"/>
  <c r="P148" i="1"/>
  <c r="Q195" i="1"/>
  <c r="Q92" i="1"/>
  <c r="Q97" i="1"/>
  <c r="P91" i="1"/>
  <c r="P135" i="1"/>
  <c r="Q89" i="1"/>
  <c r="Q12" i="1"/>
  <c r="M333" i="12" s="1"/>
  <c r="P12" i="1"/>
  <c r="L333" i="12" s="1"/>
  <c r="Q91" i="1"/>
  <c r="Q149" i="1" s="1"/>
  <c r="Q135" i="1"/>
  <c r="P92" i="1"/>
  <c r="P97" i="1"/>
  <c r="Q133" i="1"/>
  <c r="T10" i="6"/>
  <c r="S10" i="6"/>
  <c r="Q44" i="10"/>
  <c r="Q47" i="10" s="1"/>
  <c r="Q239" i="6"/>
  <c r="X239" i="6"/>
  <c r="N239" i="6"/>
  <c r="Q121" i="1" l="1"/>
  <c r="R44" i="10"/>
  <c r="R47" i="10" s="1"/>
  <c r="P94" i="1"/>
  <c r="P149" i="1"/>
  <c r="Q88" i="1"/>
  <c r="Q134" i="1" s="1"/>
  <c r="P107" i="1"/>
  <c r="Q107" i="1"/>
  <c r="P104" i="1"/>
  <c r="P96" i="1"/>
  <c r="Q197" i="1"/>
  <c r="Q212" i="1"/>
  <c r="Q213" i="1" s="1"/>
  <c r="P212" i="1"/>
  <c r="P213" i="1" s="1"/>
  <c r="P197" i="1"/>
  <c r="Q104" i="1"/>
  <c r="Q96" i="1"/>
  <c r="Q94" i="1"/>
  <c r="X238" i="6"/>
  <c r="X237" i="6" s="1"/>
  <c r="N32" i="8"/>
  <c r="K44" i="1" s="1"/>
  <c r="N21" i="8"/>
  <c r="K30" i="1" s="1"/>
  <c r="K130" i="1" s="1"/>
  <c r="K192" i="1" s="1"/>
  <c r="N82" i="5"/>
  <c r="Q183" i="1" l="1"/>
  <c r="Q196" i="1"/>
  <c r="K142" i="1"/>
  <c r="K204" i="1" s="1"/>
  <c r="R45" i="10"/>
  <c r="R48" i="10" s="1"/>
  <c r="Q45" i="10"/>
  <c r="Q48" i="10" s="1"/>
  <c r="X639" i="2"/>
  <c r="R623" i="2"/>
  <c r="R538" i="2" s="1"/>
  <c r="R631" i="2"/>
  <c r="R630" i="2" s="1"/>
  <c r="Q630" i="2"/>
  <c r="P631" i="2"/>
  <c r="P538" i="2" s="1"/>
  <c r="D567" i="2" l="1"/>
  <c r="X567" i="2"/>
  <c r="X566" i="2" s="1"/>
  <c r="X565" i="2" s="1"/>
  <c r="X638" i="2"/>
  <c r="X637" i="2" s="1"/>
  <c r="X631" i="2"/>
  <c r="X630" i="2" s="1"/>
  <c r="X629" i="2" s="1"/>
  <c r="R622" i="2"/>
  <c r="X623" i="2"/>
  <c r="X622" i="2" s="1"/>
  <c r="X621" i="2" s="1"/>
  <c r="P630" i="2"/>
  <c r="O65" i="1"/>
  <c r="O37" i="9"/>
  <c r="O36" i="9" s="1"/>
  <c r="X534" i="2" l="1"/>
  <c r="X535" i="2"/>
  <c r="X538" i="2"/>
  <c r="X533" i="2" l="1"/>
  <c r="N37" i="6"/>
  <c r="N35" i="6"/>
  <c r="N32" i="6"/>
  <c r="N30" i="6"/>
  <c r="R25" i="6" l="1"/>
  <c r="R22" i="6"/>
  <c r="Q22" i="6"/>
  <c r="P22" i="6"/>
  <c r="O22" i="6"/>
  <c r="N23" i="6"/>
  <c r="N22" i="6" s="1"/>
  <c r="R14" i="6"/>
  <c r="Q14" i="6"/>
  <c r="P14" i="6"/>
  <c r="N16" i="6"/>
  <c r="Q69" i="6"/>
  <c r="R69" i="6"/>
  <c r="Q64" i="6"/>
  <c r="R64" i="6"/>
  <c r="Q67" i="6"/>
  <c r="Q66" i="6" s="1"/>
  <c r="R67" i="6"/>
  <c r="R66" i="6" s="1"/>
  <c r="Q62" i="6"/>
  <c r="Q61" i="6" s="1"/>
  <c r="R62" i="6"/>
  <c r="R61" i="6" s="1"/>
  <c r="P69" i="6"/>
  <c r="O69" i="6"/>
  <c r="N69" i="6"/>
  <c r="L69" i="6"/>
  <c r="K69" i="6"/>
  <c r="J69" i="6"/>
  <c r="I69" i="6"/>
  <c r="H69" i="6"/>
  <c r="G69" i="6"/>
  <c r="F69" i="6"/>
  <c r="E69" i="6"/>
  <c r="P67" i="6"/>
  <c r="O67" i="6"/>
  <c r="N67" i="6"/>
  <c r="L67" i="6"/>
  <c r="K67" i="6"/>
  <c r="J67" i="6"/>
  <c r="I67" i="6"/>
  <c r="H67" i="6"/>
  <c r="G67" i="6"/>
  <c r="F67" i="6"/>
  <c r="E67" i="6"/>
  <c r="P64" i="6"/>
  <c r="O64" i="6"/>
  <c r="N64" i="6"/>
  <c r="L64" i="6"/>
  <c r="K64" i="6"/>
  <c r="J64" i="6"/>
  <c r="I64" i="6"/>
  <c r="H64" i="6"/>
  <c r="G64" i="6"/>
  <c r="F64" i="6"/>
  <c r="E64" i="6"/>
  <c r="P62" i="6"/>
  <c r="O62" i="6"/>
  <c r="N62" i="6"/>
  <c r="L62" i="6"/>
  <c r="K62" i="6"/>
  <c r="J62" i="6"/>
  <c r="I62" i="6"/>
  <c r="H62" i="6"/>
  <c r="G62" i="6"/>
  <c r="F62" i="6"/>
  <c r="E62" i="6"/>
  <c r="R19" i="6"/>
  <c r="E53" i="6"/>
  <c r="F53" i="6"/>
  <c r="G53" i="6"/>
  <c r="D58" i="6"/>
  <c r="D56" i="6"/>
  <c r="Q58" i="6"/>
  <c r="R58" i="6"/>
  <c r="Q56" i="6"/>
  <c r="Q55" i="6" s="1"/>
  <c r="R56" i="6"/>
  <c r="R55" i="6" s="1"/>
  <c r="D51" i="6"/>
  <c r="D53" i="6"/>
  <c r="Q53" i="6"/>
  <c r="R53" i="6"/>
  <c r="Q51" i="6"/>
  <c r="Q50" i="6" s="1"/>
  <c r="R51" i="6"/>
  <c r="P20" i="10" l="1"/>
  <c r="O19" i="10"/>
  <c r="O20" i="10"/>
  <c r="R21" i="6"/>
  <c r="X16" i="6"/>
  <c r="X14" i="6" s="1"/>
  <c r="O61" i="6"/>
  <c r="N61" i="6"/>
  <c r="P61" i="6"/>
  <c r="G66" i="6"/>
  <c r="P66" i="6"/>
  <c r="X19" i="6"/>
  <c r="E61" i="6"/>
  <c r="G61" i="6"/>
  <c r="I61" i="6"/>
  <c r="F61" i="6"/>
  <c r="F66" i="6"/>
  <c r="J66" i="6"/>
  <c r="L66" i="6"/>
  <c r="O66" i="6"/>
  <c r="H66" i="6"/>
  <c r="H61" i="6"/>
  <c r="K66" i="6"/>
  <c r="I66" i="6"/>
  <c r="D55" i="6"/>
  <c r="D50" i="6"/>
  <c r="D11" i="6" s="1"/>
  <c r="R13" i="6"/>
  <c r="K61" i="6"/>
  <c r="J61" i="6"/>
  <c r="L61" i="6"/>
  <c r="N66" i="6"/>
  <c r="D67" i="6"/>
  <c r="E66" i="6"/>
  <c r="D64" i="6"/>
  <c r="D61" i="6" s="1"/>
  <c r="D69" i="6"/>
  <c r="R50" i="6"/>
  <c r="P58" i="6"/>
  <c r="O58" i="6"/>
  <c r="N58" i="6"/>
  <c r="L58" i="6"/>
  <c r="K58" i="6"/>
  <c r="J58" i="6"/>
  <c r="I58" i="6"/>
  <c r="H58" i="6"/>
  <c r="G58" i="6"/>
  <c r="F58" i="6"/>
  <c r="E58" i="6"/>
  <c r="P56" i="6"/>
  <c r="O56" i="6"/>
  <c r="N56" i="6"/>
  <c r="L56" i="6"/>
  <c r="K56" i="6"/>
  <c r="J56" i="6"/>
  <c r="I56" i="6"/>
  <c r="H56" i="6"/>
  <c r="G56" i="6"/>
  <c r="F56" i="6"/>
  <c r="H53" i="6"/>
  <c r="P53" i="6"/>
  <c r="O53" i="6"/>
  <c r="N53" i="6"/>
  <c r="L53" i="6"/>
  <c r="K53" i="6"/>
  <c r="J53" i="6"/>
  <c r="I53" i="6"/>
  <c r="P51" i="6"/>
  <c r="O51" i="6"/>
  <c r="N51" i="6"/>
  <c r="L51" i="6"/>
  <c r="K51" i="6"/>
  <c r="J51" i="6"/>
  <c r="I51" i="6"/>
  <c r="H51" i="6"/>
  <c r="G51" i="6"/>
  <c r="G50" i="6" s="1"/>
  <c r="F51" i="6"/>
  <c r="F50" i="6" s="1"/>
  <c r="E51" i="6"/>
  <c r="E50" i="6" s="1"/>
  <c r="X13" i="6" l="1"/>
  <c r="Z10" i="6" s="1"/>
  <c r="R10" i="6"/>
  <c r="Z16" i="6" s="1"/>
  <c r="P19" i="10"/>
  <c r="F55" i="6"/>
  <c r="J55" i="6"/>
  <c r="L55" i="6"/>
  <c r="O55" i="6"/>
  <c r="I55" i="6"/>
  <c r="P55" i="6"/>
  <c r="G55" i="6"/>
  <c r="K55" i="6"/>
  <c r="N55" i="6"/>
  <c r="P50" i="6"/>
  <c r="H55" i="6"/>
  <c r="I50" i="6"/>
  <c r="H50" i="6"/>
  <c r="D66" i="6"/>
  <c r="K50" i="6"/>
  <c r="L50" i="6"/>
  <c r="N50" i="6"/>
  <c r="O50" i="6"/>
  <c r="O11" i="6" s="1"/>
  <c r="J50" i="6"/>
  <c r="E56" i="6"/>
  <c r="E55" i="6" l="1"/>
  <c r="O12" i="9" l="1"/>
  <c r="N85" i="4"/>
  <c r="O46" i="4" l="1"/>
  <c r="O42" i="4"/>
  <c r="O49" i="4"/>
  <c r="O51" i="4"/>
  <c r="O48" i="4" l="1"/>
  <c r="O41" i="4"/>
  <c r="Q77" i="8" l="1"/>
  <c r="Q75" i="8"/>
  <c r="Q74" i="8" s="1"/>
  <c r="O78" i="8"/>
  <c r="L23" i="10" l="1"/>
  <c r="O20" i="3"/>
  <c r="O19" i="3" s="1"/>
  <c r="O14" i="3"/>
  <c r="N14" i="3" l="1"/>
  <c r="N20" i="3"/>
  <c r="N19" i="3" s="1"/>
  <c r="O12" i="3"/>
  <c r="R9" i="3"/>
  <c r="R8" i="3" s="1"/>
  <c r="W23" i="10"/>
  <c r="L24" i="10"/>
  <c r="N46" i="5"/>
  <c r="O75" i="5"/>
  <c r="O73" i="5" s="1"/>
  <c r="N12" i="3" l="1"/>
  <c r="V24" i="10"/>
  <c r="V23" i="10"/>
  <c r="O350" i="2"/>
  <c r="F18" i="12"/>
  <c r="F17" i="12"/>
  <c r="O70" i="2"/>
  <c r="F14" i="12"/>
  <c r="L161" i="2"/>
  <c r="F13" i="12"/>
  <c r="L159" i="2"/>
  <c r="M115" i="2"/>
  <c r="D115" i="2" s="1"/>
  <c r="F22" i="12"/>
  <c r="F21" i="12"/>
  <c r="N84" i="2"/>
  <c r="F26" i="12"/>
  <c r="F25" i="12"/>
  <c r="D46" i="5" l="1"/>
  <c r="D17" i="5" s="1"/>
  <c r="M45" i="5"/>
  <c r="M44" i="5" s="1"/>
  <c r="M11" i="5" s="1"/>
  <c r="H25" i="12"/>
  <c r="E25" i="12" s="1"/>
  <c r="H26" i="12"/>
  <c r="E26" i="12" s="1"/>
  <c r="N26" i="8"/>
  <c r="K36" i="1" s="1"/>
  <c r="N16" i="8"/>
  <c r="K20" i="1" s="1"/>
  <c r="N89" i="8"/>
  <c r="M89" i="8" s="1"/>
  <c r="N87" i="8"/>
  <c r="N84" i="8"/>
  <c r="N82" i="8"/>
  <c r="N76" i="8"/>
  <c r="X73" i="8"/>
  <c r="N73" i="8"/>
  <c r="X71" i="8"/>
  <c r="N71" i="8"/>
  <c r="X17" i="8" l="1"/>
  <c r="X13" i="8" s="1"/>
  <c r="X70" i="8"/>
  <c r="D218" i="8"/>
  <c r="M216" i="8"/>
  <c r="M215" i="8" s="1"/>
  <c r="D222" i="8"/>
  <c r="M220" i="8"/>
  <c r="M219" i="8" s="1"/>
  <c r="N94" i="8"/>
  <c r="N20" i="8"/>
  <c r="X72" i="8"/>
  <c r="X22" i="8"/>
  <c r="X18" i="8" s="1"/>
  <c r="D89" i="8"/>
  <c r="M88" i="8"/>
  <c r="N100" i="8"/>
  <c r="N31" i="8"/>
  <c r="N54" i="7"/>
  <c r="N52" i="7"/>
  <c r="N49" i="7"/>
  <c r="N46" i="7"/>
  <c r="N47" i="7"/>
  <c r="M47" i="7" s="1"/>
  <c r="D47" i="7" l="1"/>
  <c r="X69" i="8"/>
  <c r="X12" i="8"/>
  <c r="R57" i="7"/>
  <c r="Q57" i="7"/>
  <c r="P57" i="7"/>
  <c r="J57" i="7"/>
  <c r="I57" i="7"/>
  <c r="H57" i="7"/>
  <c r="G57" i="7"/>
  <c r="F57" i="7"/>
  <c r="E57" i="7"/>
  <c r="O57" i="7"/>
  <c r="N57" i="7"/>
  <c r="D66" i="7" l="1"/>
  <c r="M65" i="7"/>
  <c r="D61" i="7"/>
  <c r="M60" i="7"/>
  <c r="O15" i="6" l="1"/>
  <c r="O14" i="6" s="1"/>
  <c r="N15" i="6"/>
  <c r="N14" i="6" s="1"/>
  <c r="O47" i="13" l="1"/>
  <c r="O45" i="13"/>
  <c r="M13" i="13"/>
  <c r="O44" i="13" l="1"/>
  <c r="D16" i="13"/>
  <c r="M38" i="13"/>
  <c r="M47" i="13"/>
  <c r="M44" i="13" s="1"/>
  <c r="M11" i="13" s="1"/>
  <c r="D37" i="13"/>
  <c r="D13" i="13" s="1"/>
  <c r="M36" i="13"/>
  <c r="M35" i="13" s="1"/>
  <c r="M41" i="13"/>
  <c r="M40" i="13" s="1"/>
  <c r="D16" i="4"/>
  <c r="O90" i="4"/>
  <c r="P90" i="4"/>
  <c r="Q90" i="4"/>
  <c r="R90" i="4"/>
  <c r="N90" i="4"/>
  <c r="D90" i="4" l="1"/>
  <c r="N42" i="7"/>
  <c r="N40" i="7"/>
  <c r="N37" i="7"/>
  <c r="N35" i="7"/>
  <c r="L67" i="1"/>
  <c r="K67" i="1"/>
  <c r="O64" i="4" l="1"/>
  <c r="N64" i="4"/>
  <c r="H107" i="13" l="1"/>
  <c r="L52" i="13"/>
  <c r="L49" i="13" s="1"/>
  <c r="K52" i="13"/>
  <c r="K49" i="13" s="1"/>
  <c r="J52" i="13"/>
  <c r="J49" i="13" s="1"/>
  <c r="I52" i="13"/>
  <c r="H52" i="13"/>
  <c r="G52" i="13"/>
  <c r="F52" i="13"/>
  <c r="E52" i="13"/>
  <c r="D52" i="13"/>
  <c r="D49" i="13" s="1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 s="1"/>
  <c r="K11" i="13" s="1"/>
  <c r="J45" i="13"/>
  <c r="I45" i="13"/>
  <c r="I44" i="13" s="1"/>
  <c r="I11" i="13" s="1"/>
  <c r="H45" i="13"/>
  <c r="G45" i="13"/>
  <c r="G44" i="13" s="1"/>
  <c r="G11" i="13" s="1"/>
  <c r="F45" i="13"/>
  <c r="E45" i="13"/>
  <c r="E44" i="13" s="1"/>
  <c r="E11" i="13" s="1"/>
  <c r="D45" i="13"/>
  <c r="N44" i="13"/>
  <c r="N11" i="13" s="1"/>
  <c r="D41" i="13"/>
  <c r="D40" i="13" s="1"/>
  <c r="O41" i="13"/>
  <c r="N41" i="13"/>
  <c r="N40" i="13" s="1"/>
  <c r="L41" i="13"/>
  <c r="L40" i="13" s="1"/>
  <c r="K41" i="13"/>
  <c r="K40" i="13" s="1"/>
  <c r="J41" i="13"/>
  <c r="J40" i="13" s="1"/>
  <c r="I41" i="13"/>
  <c r="I40" i="13" s="1"/>
  <c r="H41" i="13"/>
  <c r="H40" i="13" s="1"/>
  <c r="G41" i="13"/>
  <c r="G40" i="13" s="1"/>
  <c r="F41" i="13"/>
  <c r="F40" i="13" s="1"/>
  <c r="E41" i="13"/>
  <c r="E40" i="13" s="1"/>
  <c r="O40" i="13"/>
  <c r="O38" i="13"/>
  <c r="N38" i="13"/>
  <c r="L38" i="13"/>
  <c r="K38" i="13"/>
  <c r="J38" i="13"/>
  <c r="I38" i="13"/>
  <c r="H38" i="13"/>
  <c r="G38" i="13"/>
  <c r="F38" i="13"/>
  <c r="E38" i="13"/>
  <c r="D38" i="13"/>
  <c r="O36" i="13"/>
  <c r="N36" i="13"/>
  <c r="L36" i="13"/>
  <c r="K36" i="13"/>
  <c r="J36" i="13"/>
  <c r="J35" i="13" s="1"/>
  <c r="I36" i="13"/>
  <c r="H36" i="13"/>
  <c r="G36" i="13"/>
  <c r="F36" i="13"/>
  <c r="E36" i="13"/>
  <c r="D36" i="13"/>
  <c r="O32" i="13"/>
  <c r="O31" i="13" s="1"/>
  <c r="N32" i="13"/>
  <c r="N31" i="13" s="1"/>
  <c r="L33" i="10" s="1"/>
  <c r="L32" i="13"/>
  <c r="L31" i="13" s="1"/>
  <c r="J33" i="10" s="1"/>
  <c r="K32" i="13"/>
  <c r="K31" i="13" s="1"/>
  <c r="I33" i="10" s="1"/>
  <c r="J32" i="13"/>
  <c r="J31" i="13" s="1"/>
  <c r="H33" i="10" s="1"/>
  <c r="I32" i="13"/>
  <c r="I31" i="13" s="1"/>
  <c r="G33" i="10" s="1"/>
  <c r="H32" i="13"/>
  <c r="H31" i="13" s="1"/>
  <c r="G32" i="13"/>
  <c r="G31" i="13" s="1"/>
  <c r="F32" i="13"/>
  <c r="F31" i="13" s="1"/>
  <c r="E32" i="13"/>
  <c r="E31" i="13" s="1"/>
  <c r="C33" i="10" s="1"/>
  <c r="K29" i="13"/>
  <c r="L29" i="13"/>
  <c r="J29" i="13"/>
  <c r="I29" i="13"/>
  <c r="H29" i="13"/>
  <c r="G29" i="13"/>
  <c r="F29" i="13"/>
  <c r="E29" i="13"/>
  <c r="L27" i="13"/>
  <c r="K27" i="13"/>
  <c r="J27" i="13"/>
  <c r="I27" i="13"/>
  <c r="H27" i="13"/>
  <c r="G27" i="13"/>
  <c r="F27" i="13"/>
  <c r="E27" i="13"/>
  <c r="D22" i="13"/>
  <c r="D19" i="13" s="1"/>
  <c r="L22" i="13"/>
  <c r="L19" i="13" s="1"/>
  <c r="K22" i="13"/>
  <c r="K19" i="13" s="1"/>
  <c r="J22" i="13"/>
  <c r="J19" i="13" s="1"/>
  <c r="I22" i="13"/>
  <c r="I19" i="13" s="1"/>
  <c r="H22" i="13"/>
  <c r="H19" i="13" s="1"/>
  <c r="G22" i="13"/>
  <c r="G19" i="13" s="1"/>
  <c r="F22" i="13"/>
  <c r="F19" i="13" s="1"/>
  <c r="E22" i="13"/>
  <c r="E19" i="13" s="1"/>
  <c r="J16" i="13"/>
  <c r="I16" i="13"/>
  <c r="H16" i="13"/>
  <c r="G16" i="13"/>
  <c r="F16" i="13"/>
  <c r="E16" i="13"/>
  <c r="L16" i="13"/>
  <c r="K16" i="13"/>
  <c r="N13" i="13"/>
  <c r="L13" i="13"/>
  <c r="K13" i="13"/>
  <c r="J13" i="13"/>
  <c r="I13" i="13"/>
  <c r="H13" i="13"/>
  <c r="G13" i="13"/>
  <c r="F13" i="13"/>
  <c r="E13" i="13"/>
  <c r="Q11" i="13"/>
  <c r="Q9" i="13" s="1"/>
  <c r="P11" i="13"/>
  <c r="O11" i="13"/>
  <c r="P9" i="13"/>
  <c r="F44" i="13" l="1"/>
  <c r="F11" i="13" s="1"/>
  <c r="H44" i="13"/>
  <c r="H11" i="13" s="1"/>
  <c r="O16" i="13"/>
  <c r="F35" i="13"/>
  <c r="O22" i="13"/>
  <c r="O19" i="13" s="1"/>
  <c r="J44" i="13"/>
  <c r="J11" i="13" s="1"/>
  <c r="H26" i="13"/>
  <c r="K12" i="13"/>
  <c r="E12" i="13"/>
  <c r="G12" i="13"/>
  <c r="I12" i="13"/>
  <c r="H35" i="13"/>
  <c r="L35" i="13"/>
  <c r="O35" i="13"/>
  <c r="O10" i="13" s="1"/>
  <c r="E35" i="13"/>
  <c r="G35" i="13"/>
  <c r="I35" i="13"/>
  <c r="K35" i="13"/>
  <c r="N35" i="13"/>
  <c r="F26" i="13"/>
  <c r="L44" i="13"/>
  <c r="L11" i="13" s="1"/>
  <c r="D32" i="10"/>
  <c r="H12" i="13"/>
  <c r="E26" i="13"/>
  <c r="G26" i="13"/>
  <c r="F12" i="13"/>
  <c r="I26" i="13"/>
  <c r="J26" i="13"/>
  <c r="J12" i="13"/>
  <c r="L12" i="13"/>
  <c r="L26" i="13"/>
  <c r="K26" i="13"/>
  <c r="K10" i="13" s="1"/>
  <c r="X10" i="13"/>
  <c r="X11" i="13"/>
  <c r="L32" i="10"/>
  <c r="O12" i="13"/>
  <c r="D27" i="13"/>
  <c r="D29" i="13"/>
  <c r="D32" i="13"/>
  <c r="D31" i="13" s="1"/>
  <c r="M32" i="13"/>
  <c r="M31" i="13" s="1"/>
  <c r="M22" i="13"/>
  <c r="M19" i="13" s="1"/>
  <c r="D44" i="13"/>
  <c r="D11" i="13" s="1"/>
  <c r="N22" i="13"/>
  <c r="N19" i="13" s="1"/>
  <c r="N16" i="13"/>
  <c r="N12" i="13" s="1"/>
  <c r="D35" i="13"/>
  <c r="P25" i="10"/>
  <c r="F33" i="10"/>
  <c r="E33" i="10"/>
  <c r="D33" i="10"/>
  <c r="O29" i="10"/>
  <c r="O28" i="10"/>
  <c r="P26" i="10"/>
  <c r="O16" i="10"/>
  <c r="N16" i="10"/>
  <c r="O15" i="10"/>
  <c r="N15" i="10"/>
  <c r="E15" i="10"/>
  <c r="D15" i="10"/>
  <c r="L124" i="9"/>
  <c r="J124" i="9"/>
  <c r="Q128" i="9"/>
  <c r="Q126" i="9" s="1"/>
  <c r="P128" i="9"/>
  <c r="P126" i="9" s="1"/>
  <c r="O128" i="9"/>
  <c r="N125" i="9"/>
  <c r="L128" i="9"/>
  <c r="L126" i="9" s="1"/>
  <c r="L125" i="9" s="1"/>
  <c r="K128" i="9"/>
  <c r="K126" i="9" s="1"/>
  <c r="K125" i="9" s="1"/>
  <c r="J128" i="9"/>
  <c r="I128" i="9"/>
  <c r="I126" i="9" s="1"/>
  <c r="I125" i="9" s="1"/>
  <c r="H128" i="9"/>
  <c r="H126" i="9" s="1"/>
  <c r="H125" i="9" s="1"/>
  <c r="G128" i="9"/>
  <c r="G126" i="9" s="1"/>
  <c r="G125" i="9" s="1"/>
  <c r="F128" i="9"/>
  <c r="E128" i="9"/>
  <c r="E126" i="9" s="1"/>
  <c r="E125" i="9" s="1"/>
  <c r="Q125" i="9"/>
  <c r="J126" i="9"/>
  <c r="J125" i="9" s="1"/>
  <c r="F126" i="9"/>
  <c r="F125" i="9" s="1"/>
  <c r="P125" i="9"/>
  <c r="X122" i="9"/>
  <c r="K124" i="9"/>
  <c r="I124" i="9"/>
  <c r="E124" i="9"/>
  <c r="N122" i="9"/>
  <c r="L123" i="9"/>
  <c r="K123" i="9"/>
  <c r="J123" i="9"/>
  <c r="I123" i="9"/>
  <c r="G122" i="9"/>
  <c r="E123" i="9"/>
  <c r="P122" i="9"/>
  <c r="Q110" i="9"/>
  <c r="Q109" i="9" s="1"/>
  <c r="P110" i="9"/>
  <c r="O110" i="9"/>
  <c r="O109" i="9" s="1"/>
  <c r="N110" i="9"/>
  <c r="N109" i="9" s="1"/>
  <c r="L110" i="9"/>
  <c r="L109" i="9" s="1"/>
  <c r="K110" i="9"/>
  <c r="J110" i="9"/>
  <c r="J109" i="9" s="1"/>
  <c r="I110" i="9"/>
  <c r="I109" i="9" s="1"/>
  <c r="H110" i="9"/>
  <c r="H109" i="9" s="1"/>
  <c r="G110" i="9"/>
  <c r="F110" i="9"/>
  <c r="F109" i="9" s="1"/>
  <c r="E110" i="9"/>
  <c r="E109" i="9" s="1"/>
  <c r="D110" i="9"/>
  <c r="D109" i="9" s="1"/>
  <c r="P109" i="9"/>
  <c r="K109" i="9"/>
  <c r="G109" i="9"/>
  <c r="Q107" i="9"/>
  <c r="L107" i="9"/>
  <c r="K107" i="9"/>
  <c r="J107" i="9"/>
  <c r="I107" i="9"/>
  <c r="H107" i="9"/>
  <c r="G107" i="9"/>
  <c r="F107" i="9"/>
  <c r="E107" i="9"/>
  <c r="O101" i="9"/>
  <c r="O100" i="9" s="1"/>
  <c r="N101" i="9"/>
  <c r="N100" i="9" s="1"/>
  <c r="L101" i="9"/>
  <c r="L100" i="9" s="1"/>
  <c r="K101" i="9"/>
  <c r="K100" i="9" s="1"/>
  <c r="J101" i="9"/>
  <c r="J100" i="9" s="1"/>
  <c r="I101" i="9"/>
  <c r="H101" i="9"/>
  <c r="H100" i="9" s="1"/>
  <c r="G101" i="9"/>
  <c r="F101" i="9"/>
  <c r="F100" i="9" s="1"/>
  <c r="E101" i="9"/>
  <c r="E100" i="9" s="1"/>
  <c r="G100" i="9"/>
  <c r="O98" i="9"/>
  <c r="O95" i="9" s="1"/>
  <c r="L98" i="9"/>
  <c r="L95" i="9" s="1"/>
  <c r="K98" i="9"/>
  <c r="K95" i="9" s="1"/>
  <c r="J98" i="9"/>
  <c r="I98" i="9"/>
  <c r="I95" i="9" s="1"/>
  <c r="H98" i="9"/>
  <c r="H95" i="9" s="1"/>
  <c r="G98" i="9"/>
  <c r="G95" i="9" s="1"/>
  <c r="F98" i="9"/>
  <c r="F95" i="9" s="1"/>
  <c r="E98" i="9"/>
  <c r="E95" i="9" s="1"/>
  <c r="J95" i="9"/>
  <c r="Q85" i="9"/>
  <c r="Q84" i="9" s="1"/>
  <c r="P85" i="9"/>
  <c r="P84" i="9" s="1"/>
  <c r="O85" i="9"/>
  <c r="O84" i="9" s="1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L82" i="9"/>
  <c r="L79" i="9" s="1"/>
  <c r="K82" i="9"/>
  <c r="J82" i="9"/>
  <c r="J79" i="9" s="1"/>
  <c r="I82" i="9"/>
  <c r="H82" i="9"/>
  <c r="H79" i="9" s="1"/>
  <c r="G82" i="9"/>
  <c r="G79" i="9" s="1"/>
  <c r="F82" i="9"/>
  <c r="F79" i="9" s="1"/>
  <c r="E82" i="9"/>
  <c r="E79" i="9" s="1"/>
  <c r="Q79" i="9"/>
  <c r="O76" i="9"/>
  <c r="O75" i="9" s="1"/>
  <c r="D76" i="9"/>
  <c r="D75" i="9" s="1"/>
  <c r="Z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N73" i="9"/>
  <c r="N72" i="9" s="1"/>
  <c r="D74" i="9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Q69" i="9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Q68" i="9"/>
  <c r="N67" i="9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P65" i="9"/>
  <c r="O65" i="9"/>
  <c r="O62" i="9"/>
  <c r="O61" i="9" s="1"/>
  <c r="D63" i="9"/>
  <c r="Q62" i="9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Q61" i="9"/>
  <c r="K59" i="9"/>
  <c r="K56" i="9" s="1"/>
  <c r="Q59" i="9"/>
  <c r="Q56" i="9" s="1"/>
  <c r="P59" i="9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N50" i="9"/>
  <c r="N49" i="9" s="1"/>
  <c r="L50" i="9"/>
  <c r="L49" i="9" s="1"/>
  <c r="K50" i="9"/>
  <c r="K49" i="9" s="1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O46" i="9"/>
  <c r="K47" i="9"/>
  <c r="Q46" i="9"/>
  <c r="P46" i="9"/>
  <c r="P45" i="9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45" i="9"/>
  <c r="J45" i="9"/>
  <c r="D44" i="9"/>
  <c r="Q43" i="9"/>
  <c r="P43" i="9"/>
  <c r="O43" i="9"/>
  <c r="K43" i="9"/>
  <c r="J43" i="9"/>
  <c r="I43" i="9"/>
  <c r="H43" i="9"/>
  <c r="G43" i="9"/>
  <c r="F43" i="9"/>
  <c r="E43" i="9"/>
  <c r="K12" i="9"/>
  <c r="Q41" i="9"/>
  <c r="P41" i="9"/>
  <c r="O41" i="9"/>
  <c r="O40" i="9" s="1"/>
  <c r="M34" i="10" s="1"/>
  <c r="J41" i="9"/>
  <c r="I41" i="9"/>
  <c r="H41" i="9"/>
  <c r="G41" i="9"/>
  <c r="F41" i="9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K34" i="9"/>
  <c r="J34" i="9"/>
  <c r="I34" i="9"/>
  <c r="H34" i="9"/>
  <c r="G34" i="9"/>
  <c r="F34" i="9"/>
  <c r="E34" i="9"/>
  <c r="K32" i="9"/>
  <c r="J32" i="9"/>
  <c r="I32" i="9"/>
  <c r="H32" i="9"/>
  <c r="G32" i="9"/>
  <c r="F32" i="9"/>
  <c r="E32" i="9"/>
  <c r="O28" i="9"/>
  <c r="O27" i="9" s="1"/>
  <c r="M35" i="10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L25" i="9"/>
  <c r="K25" i="9"/>
  <c r="I25" i="9"/>
  <c r="H25" i="9"/>
  <c r="G25" i="9"/>
  <c r="F25" i="9"/>
  <c r="E25" i="9"/>
  <c r="K23" i="9"/>
  <c r="I23" i="9"/>
  <c r="I22" i="9" s="1"/>
  <c r="H23" i="9"/>
  <c r="G23" i="9"/>
  <c r="G22" i="9" s="1"/>
  <c r="F23" i="9"/>
  <c r="E23" i="9"/>
  <c r="E22" i="9" s="1"/>
  <c r="I18" i="9"/>
  <c r="I17" i="9" s="1"/>
  <c r="G18" i="9"/>
  <c r="G17" i="9" s="1"/>
  <c r="E18" i="9"/>
  <c r="E17" i="9" s="1"/>
  <c r="O14" i="9"/>
  <c r="O11" i="9" s="1"/>
  <c r="R12" i="9"/>
  <c r="Q12" i="9"/>
  <c r="I12" i="9"/>
  <c r="E12" i="9"/>
  <c r="H12" i="9"/>
  <c r="O220" i="8"/>
  <c r="O219" i="8" s="1"/>
  <c r="N220" i="8"/>
  <c r="L220" i="8"/>
  <c r="L219" i="8" s="1"/>
  <c r="K220" i="8"/>
  <c r="K219" i="8" s="1"/>
  <c r="J220" i="8"/>
  <c r="J219" i="8" s="1"/>
  <c r="I220" i="8"/>
  <c r="I219" i="8" s="1"/>
  <c r="H220" i="8"/>
  <c r="H219" i="8" s="1"/>
  <c r="G220" i="8"/>
  <c r="F220" i="8"/>
  <c r="F219" i="8" s="1"/>
  <c r="E220" i="8"/>
  <c r="E219" i="8" s="1"/>
  <c r="D220" i="8"/>
  <c r="D219" i="8" s="1"/>
  <c r="N219" i="8"/>
  <c r="G219" i="8"/>
  <c r="O216" i="8"/>
  <c r="O215" i="8" s="1"/>
  <c r="O181" i="8" s="1"/>
  <c r="N216" i="8"/>
  <c r="N215" i="8" s="1"/>
  <c r="L216" i="8"/>
  <c r="K216" i="8"/>
  <c r="K215" i="8" s="1"/>
  <c r="J216" i="8"/>
  <c r="J215" i="8" s="1"/>
  <c r="I216" i="8"/>
  <c r="I215" i="8" s="1"/>
  <c r="H216" i="8"/>
  <c r="H215" i="8" s="1"/>
  <c r="G216" i="8"/>
  <c r="G215" i="8" s="1"/>
  <c r="F216" i="8"/>
  <c r="F215" i="8" s="1"/>
  <c r="E216" i="8"/>
  <c r="E215" i="8" s="1"/>
  <c r="L215" i="8"/>
  <c r="N212" i="8"/>
  <c r="K212" i="8"/>
  <c r="J212" i="8"/>
  <c r="I212" i="8"/>
  <c r="H212" i="8"/>
  <c r="G212" i="8"/>
  <c r="F212" i="8"/>
  <c r="E212" i="8"/>
  <c r="N211" i="8"/>
  <c r="K211" i="8"/>
  <c r="J211" i="8"/>
  <c r="I211" i="8"/>
  <c r="H211" i="8"/>
  <c r="G211" i="8"/>
  <c r="F211" i="8"/>
  <c r="E211" i="8"/>
  <c r="M210" i="8"/>
  <c r="K209" i="8"/>
  <c r="K208" i="8" s="1"/>
  <c r="J209" i="8"/>
  <c r="J208" i="8" s="1"/>
  <c r="I209" i="8"/>
  <c r="I208" i="8" s="1"/>
  <c r="H209" i="8"/>
  <c r="H208" i="8" s="1"/>
  <c r="G209" i="8"/>
  <c r="G208" i="8" s="1"/>
  <c r="F209" i="8"/>
  <c r="F208" i="8" s="1"/>
  <c r="E209" i="8"/>
  <c r="E208" i="8"/>
  <c r="D206" i="8"/>
  <c r="D205" i="8"/>
  <c r="D193" i="8" s="1"/>
  <c r="L204" i="8"/>
  <c r="K204" i="8"/>
  <c r="K203" i="8" s="1"/>
  <c r="J204" i="8"/>
  <c r="I204" i="8"/>
  <c r="I203" i="8" s="1"/>
  <c r="H204" i="8"/>
  <c r="G204" i="8"/>
  <c r="G203" i="8" s="1"/>
  <c r="F204" i="8"/>
  <c r="F203" i="8" s="1"/>
  <c r="E204" i="8"/>
  <c r="E203" i="8" s="1"/>
  <c r="L203" i="8"/>
  <c r="J203" i="8"/>
  <c r="H203" i="8"/>
  <c r="D202" i="8"/>
  <c r="P201" i="8"/>
  <c r="O201" i="8"/>
  <c r="N201" i="8"/>
  <c r="L201" i="8"/>
  <c r="K201" i="8"/>
  <c r="J201" i="8"/>
  <c r="I201" i="8"/>
  <c r="H201" i="8"/>
  <c r="E201" i="8"/>
  <c r="D201" i="8"/>
  <c r="D200" i="8"/>
  <c r="D199" i="8"/>
  <c r="D187" i="8" s="1"/>
  <c r="D198" i="8"/>
  <c r="L197" i="8"/>
  <c r="K197" i="8"/>
  <c r="J197" i="8"/>
  <c r="J196" i="8" s="1"/>
  <c r="I197" i="8"/>
  <c r="H197" i="8"/>
  <c r="H196" i="8" s="1"/>
  <c r="G197" i="8"/>
  <c r="F197" i="8"/>
  <c r="F196" i="8" s="1"/>
  <c r="E197" i="8"/>
  <c r="L196" i="8"/>
  <c r="G196" i="8"/>
  <c r="O194" i="8"/>
  <c r="L79" i="1" s="1"/>
  <c r="K79" i="1"/>
  <c r="H79" i="1"/>
  <c r="J194" i="8"/>
  <c r="G79" i="1" s="1"/>
  <c r="I194" i="8"/>
  <c r="F79" i="1" s="1"/>
  <c r="H194" i="8"/>
  <c r="E79" i="1" s="1"/>
  <c r="G194" i="8"/>
  <c r="D79" i="1" s="1"/>
  <c r="F194" i="8"/>
  <c r="C79" i="1" s="1"/>
  <c r="E194" i="8"/>
  <c r="B79" i="1" s="1"/>
  <c r="O193" i="8"/>
  <c r="L81" i="1" s="1"/>
  <c r="N193" i="8"/>
  <c r="K81" i="1" s="1"/>
  <c r="K141" i="1" s="1"/>
  <c r="K203" i="1" s="1"/>
  <c r="I81" i="1"/>
  <c r="H81" i="1"/>
  <c r="J193" i="8"/>
  <c r="I193" i="8"/>
  <c r="F81" i="1" s="1"/>
  <c r="H193" i="8"/>
  <c r="G193" i="8"/>
  <c r="D81" i="1" s="1"/>
  <c r="F193" i="8"/>
  <c r="E193" i="8"/>
  <c r="O188" i="8"/>
  <c r="L66" i="1" s="1"/>
  <c r="K66" i="1"/>
  <c r="I66" i="1"/>
  <c r="H66" i="1"/>
  <c r="J188" i="8"/>
  <c r="G66" i="1" s="1"/>
  <c r="I188" i="8"/>
  <c r="F66" i="1" s="1"/>
  <c r="H188" i="8"/>
  <c r="E66" i="1" s="1"/>
  <c r="G188" i="8"/>
  <c r="D66" i="1" s="1"/>
  <c r="F188" i="8"/>
  <c r="C66" i="1" s="1"/>
  <c r="E188" i="8"/>
  <c r="B66" i="1" s="1"/>
  <c r="O187" i="8"/>
  <c r="N187" i="8"/>
  <c r="K72" i="1" s="1"/>
  <c r="K125" i="1" s="1"/>
  <c r="K191" i="1" s="1"/>
  <c r="H72" i="1"/>
  <c r="J187" i="8"/>
  <c r="I187" i="8"/>
  <c r="F72" i="1" s="1"/>
  <c r="H187" i="8"/>
  <c r="G187" i="8"/>
  <c r="D72" i="1" s="1"/>
  <c r="F187" i="8"/>
  <c r="E187" i="8"/>
  <c r="B72" i="1" s="1"/>
  <c r="K183" i="8"/>
  <c r="K182" i="8" s="1"/>
  <c r="R181" i="8"/>
  <c r="R179" i="8" s="1"/>
  <c r="Q181" i="8"/>
  <c r="P181" i="8"/>
  <c r="Q179" i="8"/>
  <c r="D177" i="8"/>
  <c r="D176" i="8"/>
  <c r="L175" i="8"/>
  <c r="K175" i="8"/>
  <c r="J175" i="8"/>
  <c r="I175" i="8"/>
  <c r="E175" i="8"/>
  <c r="D174" i="8"/>
  <c r="D173" i="8"/>
  <c r="L172" i="8"/>
  <c r="L171" i="8" s="1"/>
  <c r="K172" i="8"/>
  <c r="J172" i="8"/>
  <c r="I172" i="8"/>
  <c r="E172" i="8"/>
  <c r="D170" i="8"/>
  <c r="D169" i="8" s="1"/>
  <c r="L169" i="8"/>
  <c r="K169" i="8"/>
  <c r="J169" i="8"/>
  <c r="I169" i="8"/>
  <c r="H169" i="8"/>
  <c r="E169" i="8"/>
  <c r="D168" i="8"/>
  <c r="D167" i="8"/>
  <c r="L166" i="8"/>
  <c r="L165" i="8" s="1"/>
  <c r="K166" i="8"/>
  <c r="J166" i="8"/>
  <c r="J165" i="8" s="1"/>
  <c r="I166" i="8"/>
  <c r="H166" i="8"/>
  <c r="H165" i="8" s="1"/>
  <c r="G166" i="8"/>
  <c r="F166" i="8"/>
  <c r="F165" i="8" s="1"/>
  <c r="E166" i="8"/>
  <c r="G165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K158" i="8" s="1"/>
  <c r="J159" i="8"/>
  <c r="I159" i="8"/>
  <c r="H159" i="8"/>
  <c r="G159" i="8"/>
  <c r="F159" i="8"/>
  <c r="E159" i="8"/>
  <c r="D159" i="8"/>
  <c r="P158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Q148" i="8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N144" i="8" s="1"/>
  <c r="L145" i="8"/>
  <c r="K145" i="8"/>
  <c r="K144" i="8" s="1"/>
  <c r="J145" i="8"/>
  <c r="I145" i="8"/>
  <c r="I144" i="8" s="1"/>
  <c r="H145" i="8"/>
  <c r="G145" i="8"/>
  <c r="F145" i="8"/>
  <c r="E145" i="8"/>
  <c r="E144" i="8" s="1"/>
  <c r="D145" i="8"/>
  <c r="R144" i="8"/>
  <c r="P14" i="10" s="1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Q139" i="8"/>
  <c r="P139" i="8"/>
  <c r="O139" i="8"/>
  <c r="N139" i="8"/>
  <c r="L139" i="8"/>
  <c r="L138" i="8" s="1"/>
  <c r="K139" i="8"/>
  <c r="J139" i="8"/>
  <c r="I139" i="8"/>
  <c r="H139" i="8"/>
  <c r="H138" i="8" s="1"/>
  <c r="G139" i="8"/>
  <c r="F139" i="8"/>
  <c r="F138" i="8" s="1"/>
  <c r="E139" i="8"/>
  <c r="J138" i="8"/>
  <c r="K136" i="8"/>
  <c r="M136" i="8" s="1"/>
  <c r="O135" i="8"/>
  <c r="O134" i="8" s="1"/>
  <c r="N135" i="8"/>
  <c r="L135" i="8"/>
  <c r="L134" i="8" s="1"/>
  <c r="J135" i="8"/>
  <c r="J134" i="8" s="1"/>
  <c r="I135" i="8"/>
  <c r="H135" i="8"/>
  <c r="H134" i="8" s="1"/>
  <c r="G135" i="8"/>
  <c r="G134" i="8" s="1"/>
  <c r="F135" i="8"/>
  <c r="F134" i="8" s="1"/>
  <c r="E135" i="8"/>
  <c r="E134" i="8" s="1"/>
  <c r="N134" i="8"/>
  <c r="I134" i="8"/>
  <c r="O132" i="8"/>
  <c r="N132" i="8"/>
  <c r="N131" i="8" s="1"/>
  <c r="L132" i="8"/>
  <c r="L131" i="8" s="1"/>
  <c r="K132" i="8"/>
  <c r="K131" i="8" s="1"/>
  <c r="J132" i="8"/>
  <c r="J131" i="8" s="1"/>
  <c r="I132" i="8"/>
  <c r="I131" i="8" s="1"/>
  <c r="H132" i="8"/>
  <c r="H131" i="8" s="1"/>
  <c r="G132" i="8"/>
  <c r="G131" i="8" s="1"/>
  <c r="F132" i="8"/>
  <c r="F131" i="8" s="1"/>
  <c r="E132" i="8"/>
  <c r="E131" i="8" s="1"/>
  <c r="O131" i="8"/>
  <c r="L129" i="8"/>
  <c r="L128" i="8" s="1"/>
  <c r="O128" i="8"/>
  <c r="N128" i="8"/>
  <c r="K128" i="8"/>
  <c r="J128" i="8"/>
  <c r="H128" i="8"/>
  <c r="G128" i="8"/>
  <c r="F128" i="8"/>
  <c r="E128" i="8"/>
  <c r="L127" i="8"/>
  <c r="M127" i="8" s="1"/>
  <c r="D127" i="8" s="1"/>
  <c r="O126" i="8"/>
  <c r="N126" i="8"/>
  <c r="N125" i="8" s="1"/>
  <c r="K126" i="8"/>
  <c r="J126" i="8"/>
  <c r="I126" i="8"/>
  <c r="H126" i="8"/>
  <c r="G126" i="8"/>
  <c r="G125" i="8" s="1"/>
  <c r="F126" i="8"/>
  <c r="E126" i="8"/>
  <c r="E125" i="8" s="1"/>
  <c r="H125" i="8"/>
  <c r="L124" i="8"/>
  <c r="M124" i="8" s="1"/>
  <c r="D124" i="8" s="1"/>
  <c r="O123" i="8"/>
  <c r="N123" i="8"/>
  <c r="K123" i="8"/>
  <c r="J123" i="8"/>
  <c r="I123" i="8"/>
  <c r="H123" i="8"/>
  <c r="G123" i="8"/>
  <c r="F123" i="8"/>
  <c r="E123" i="8"/>
  <c r="L122" i="8"/>
  <c r="M122" i="8" s="1"/>
  <c r="D122" i="8" s="1"/>
  <c r="O120" i="8"/>
  <c r="N120" i="8"/>
  <c r="K120" i="8"/>
  <c r="K119" i="8" s="1"/>
  <c r="J120" i="8"/>
  <c r="I120" i="8"/>
  <c r="I119" i="8" s="1"/>
  <c r="H120" i="8"/>
  <c r="H119" i="8" s="1"/>
  <c r="G120" i="8"/>
  <c r="G119" i="8" s="1"/>
  <c r="F120" i="8"/>
  <c r="F119" i="8" s="1"/>
  <c r="E120" i="8"/>
  <c r="E119" i="8" s="1"/>
  <c r="J119" i="8"/>
  <c r="E117" i="8"/>
  <c r="M117" i="8" s="1"/>
  <c r="D117" i="8" s="1"/>
  <c r="L32" i="8"/>
  <c r="I44" i="1" s="1"/>
  <c r="I142" i="1" s="1"/>
  <c r="I204" i="1" s="1"/>
  <c r="E116" i="8"/>
  <c r="O115" i="8"/>
  <c r="N115" i="8"/>
  <c r="L115" i="8"/>
  <c r="H115" i="8"/>
  <c r="G115" i="8"/>
  <c r="F115" i="8"/>
  <c r="E114" i="8"/>
  <c r="M114" i="8" s="1"/>
  <c r="D114" i="8" s="1"/>
  <c r="K112" i="8"/>
  <c r="M113" i="8"/>
  <c r="D113" i="8" s="1"/>
  <c r="N112" i="8"/>
  <c r="I112" i="8"/>
  <c r="H112" i="8"/>
  <c r="G112" i="8"/>
  <c r="G111" i="8" s="1"/>
  <c r="F112" i="8"/>
  <c r="E112" i="8"/>
  <c r="L108" i="8"/>
  <c r="K21" i="8"/>
  <c r="H30" i="1" s="1"/>
  <c r="H130" i="1" s="1"/>
  <c r="H192" i="1" s="1"/>
  <c r="J108" i="8"/>
  <c r="I108" i="8"/>
  <c r="E109" i="8"/>
  <c r="M109" i="8" s="1"/>
  <c r="D109" i="8" s="1"/>
  <c r="O108" i="8"/>
  <c r="N108" i="8"/>
  <c r="K108" i="8"/>
  <c r="H108" i="8"/>
  <c r="G108" i="8"/>
  <c r="F108" i="8"/>
  <c r="M107" i="8"/>
  <c r="D107" i="8" s="1"/>
  <c r="N105" i="8"/>
  <c r="K105" i="8"/>
  <c r="K104" i="8" s="1"/>
  <c r="I105" i="8"/>
  <c r="H14" i="8"/>
  <c r="F14" i="8"/>
  <c r="O105" i="8"/>
  <c r="L105" i="8"/>
  <c r="J105" i="8"/>
  <c r="H105" i="8"/>
  <c r="H104" i="8" s="1"/>
  <c r="G105" i="8"/>
  <c r="M102" i="8"/>
  <c r="D102" i="8" s="1"/>
  <c r="L100" i="8"/>
  <c r="K100" i="8"/>
  <c r="E100" i="8"/>
  <c r="L98" i="8"/>
  <c r="K98" i="8"/>
  <c r="J98" i="8"/>
  <c r="M99" i="8"/>
  <c r="D99" i="8" s="1"/>
  <c r="N98" i="8"/>
  <c r="N97" i="8" s="1"/>
  <c r="I98" i="8"/>
  <c r="H98" i="8"/>
  <c r="H97" i="8" s="1"/>
  <c r="E98" i="8"/>
  <c r="E97" i="8" s="1"/>
  <c r="M96" i="8"/>
  <c r="D96" i="8" s="1"/>
  <c r="L94" i="8"/>
  <c r="K94" i="8"/>
  <c r="L92" i="8"/>
  <c r="J92" i="8"/>
  <c r="N92" i="8"/>
  <c r="K92" i="8"/>
  <c r="H92" i="8"/>
  <c r="H91" i="8" s="1"/>
  <c r="E92" i="8"/>
  <c r="E91" i="8" s="1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 s="1"/>
  <c r="L87" i="8"/>
  <c r="M87" i="8" s="1"/>
  <c r="D87" i="8" s="1"/>
  <c r="Q86" i="8"/>
  <c r="Q85" i="8" s="1"/>
  <c r="O18" i="10" s="1"/>
  <c r="O86" i="8"/>
  <c r="O85" i="8" s="1"/>
  <c r="N86" i="8"/>
  <c r="N85" i="8" s="1"/>
  <c r="L86" i="8"/>
  <c r="L85" i="8" s="1"/>
  <c r="K86" i="8"/>
  <c r="K85" i="8" s="1"/>
  <c r="J86" i="8"/>
  <c r="J85" i="8" s="1"/>
  <c r="I86" i="8"/>
  <c r="I85" i="8" s="1"/>
  <c r="H86" i="8"/>
  <c r="H85" i="8" s="1"/>
  <c r="G86" i="8"/>
  <c r="G85" i="8" s="1"/>
  <c r="F86" i="8"/>
  <c r="F85" i="8" s="1"/>
  <c r="E86" i="8"/>
  <c r="E85" i="8" s="1"/>
  <c r="L84" i="8"/>
  <c r="L83" i="8" s="1"/>
  <c r="K84" i="8"/>
  <c r="Q83" i="8"/>
  <c r="P83" i="8"/>
  <c r="O83" i="8"/>
  <c r="J83" i="8"/>
  <c r="I83" i="8"/>
  <c r="H83" i="8"/>
  <c r="G83" i="8"/>
  <c r="F83" i="8"/>
  <c r="E83" i="8"/>
  <c r="L82" i="8"/>
  <c r="M82" i="8" s="1"/>
  <c r="D82" i="8" s="1"/>
  <c r="Q81" i="8"/>
  <c r="O81" i="8"/>
  <c r="N81" i="8"/>
  <c r="K81" i="8"/>
  <c r="J81" i="8"/>
  <c r="I81" i="8"/>
  <c r="H81" i="8"/>
  <c r="H80" i="8" s="1"/>
  <c r="G81" i="8"/>
  <c r="F81" i="8"/>
  <c r="F80" i="8" s="1"/>
  <c r="E81" i="8"/>
  <c r="O77" i="8"/>
  <c r="N78" i="8"/>
  <c r="J78" i="8"/>
  <c r="P77" i="8"/>
  <c r="L77" i="8"/>
  <c r="K77" i="8"/>
  <c r="J77" i="8"/>
  <c r="I77" i="8"/>
  <c r="H77" i="8"/>
  <c r="G77" i="8"/>
  <c r="F77" i="8"/>
  <c r="E77" i="8"/>
  <c r="O27" i="8"/>
  <c r="L76" i="8"/>
  <c r="K76" i="8"/>
  <c r="P75" i="8"/>
  <c r="N75" i="8"/>
  <c r="L75" i="8"/>
  <c r="L74" i="8" s="1"/>
  <c r="K75" i="8"/>
  <c r="J75" i="8"/>
  <c r="I75" i="8"/>
  <c r="I74" i="8" s="1"/>
  <c r="H75" i="8"/>
  <c r="H74" i="8" s="1"/>
  <c r="G75" i="8"/>
  <c r="G74" i="8" s="1"/>
  <c r="F75" i="8"/>
  <c r="F74" i="8" s="1"/>
  <c r="E75" i="8"/>
  <c r="E74" i="8" s="1"/>
  <c r="P74" i="8"/>
  <c r="K74" i="8"/>
  <c r="L73" i="8"/>
  <c r="L72" i="8" s="1"/>
  <c r="K73" i="8"/>
  <c r="K72" i="8" s="1"/>
  <c r="J73" i="8"/>
  <c r="N72" i="8"/>
  <c r="I72" i="8"/>
  <c r="H72" i="8"/>
  <c r="G72" i="8"/>
  <c r="F72" i="8"/>
  <c r="E72" i="8"/>
  <c r="L71" i="8"/>
  <c r="L70" i="8" s="1"/>
  <c r="L69" i="8" s="1"/>
  <c r="K71" i="8"/>
  <c r="P70" i="8"/>
  <c r="O70" i="8"/>
  <c r="N70" i="8"/>
  <c r="K70" i="8"/>
  <c r="J70" i="8"/>
  <c r="I70" i="8"/>
  <c r="H70" i="8"/>
  <c r="G70" i="8"/>
  <c r="F70" i="8"/>
  <c r="E70" i="8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 s="1"/>
  <c r="I62" i="8"/>
  <c r="H62" i="8"/>
  <c r="H61" i="8" s="1"/>
  <c r="G62" i="8"/>
  <c r="F62" i="8"/>
  <c r="F61" i="8" s="1"/>
  <c r="D16" i="10" s="1"/>
  <c r="E62" i="8"/>
  <c r="N61" i="8"/>
  <c r="G61" i="8"/>
  <c r="E16" i="10" s="1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 s="1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 s="1"/>
  <c r="L16" i="10" s="1"/>
  <c r="H45" i="8"/>
  <c r="H44" i="8" s="1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 s="1"/>
  <c r="N36" i="8"/>
  <c r="L36" i="8"/>
  <c r="H36" i="8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4" i="1" s="1"/>
  <c r="H32" i="8"/>
  <c r="G32" i="8"/>
  <c r="D44" i="1" s="1"/>
  <c r="F32" i="8"/>
  <c r="E32" i="8"/>
  <c r="B44" i="1" s="1"/>
  <c r="B142" i="1" s="1"/>
  <c r="B204" i="1" s="1"/>
  <c r="L31" i="8"/>
  <c r="K31" i="8"/>
  <c r="J31" i="8"/>
  <c r="I31" i="8"/>
  <c r="R28" i="8"/>
  <c r="O136" i="1" s="1"/>
  <c r="O198" i="1" s="1"/>
  <c r="Q28" i="8"/>
  <c r="N136" i="1" s="1"/>
  <c r="N198" i="1" s="1"/>
  <c r="P28" i="8"/>
  <c r="O28" i="8"/>
  <c r="L35" i="1" s="1"/>
  <c r="N28" i="8"/>
  <c r="K35" i="1" s="1"/>
  <c r="K136" i="1" s="1"/>
  <c r="K198" i="1" s="1"/>
  <c r="L28" i="8"/>
  <c r="I35" i="1" s="1"/>
  <c r="I136" i="1" s="1"/>
  <c r="I198" i="1" s="1"/>
  <c r="K28" i="8"/>
  <c r="H35" i="1" s="1"/>
  <c r="H136" i="1" s="1"/>
  <c r="H198" i="1" s="1"/>
  <c r="J28" i="8"/>
  <c r="G35" i="1" s="1"/>
  <c r="G136" i="1" s="1"/>
  <c r="G198" i="1" s="1"/>
  <c r="I28" i="8"/>
  <c r="F35" i="1" s="1"/>
  <c r="F136" i="1" s="1"/>
  <c r="F198" i="1" s="1"/>
  <c r="H28" i="8"/>
  <c r="E35" i="1" s="1"/>
  <c r="E136" i="1" s="1"/>
  <c r="E198" i="1" s="1"/>
  <c r="G28" i="8"/>
  <c r="D35" i="1" s="1"/>
  <c r="D136" i="1" s="1"/>
  <c r="D198" i="1" s="1"/>
  <c r="F28" i="8"/>
  <c r="C35" i="1" s="1"/>
  <c r="C136" i="1" s="1"/>
  <c r="C198" i="1" s="1"/>
  <c r="E28" i="8"/>
  <c r="B35" i="1" s="1"/>
  <c r="B136" i="1" s="1"/>
  <c r="B198" i="1" s="1"/>
  <c r="R27" i="8"/>
  <c r="Q27" i="8"/>
  <c r="P27" i="8"/>
  <c r="N27" i="8"/>
  <c r="K27" i="8"/>
  <c r="J27" i="8"/>
  <c r="I27" i="8"/>
  <c r="H27" i="8"/>
  <c r="G27" i="8"/>
  <c r="F27" i="8"/>
  <c r="E27" i="8"/>
  <c r="K26" i="8"/>
  <c r="H36" i="1" s="1"/>
  <c r="I26" i="8"/>
  <c r="F36" i="1" s="1"/>
  <c r="H26" i="8"/>
  <c r="E36" i="1" s="1"/>
  <c r="G26" i="8"/>
  <c r="D36" i="1" s="1"/>
  <c r="F26" i="8"/>
  <c r="E26" i="8"/>
  <c r="B36" i="1" s="1"/>
  <c r="I25" i="8"/>
  <c r="H25" i="8"/>
  <c r="G25" i="8"/>
  <c r="F25" i="8"/>
  <c r="E25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V30" i="1"/>
  <c r="L21" i="8"/>
  <c r="I30" i="1" s="1"/>
  <c r="I130" i="1" s="1"/>
  <c r="I192" i="1" s="1"/>
  <c r="J21" i="8"/>
  <c r="G30" i="1" s="1"/>
  <c r="G130" i="1" s="1"/>
  <c r="G192" i="1" s="1"/>
  <c r="H21" i="8"/>
  <c r="E30" i="1" s="1"/>
  <c r="E130" i="1" s="1"/>
  <c r="E192" i="1" s="1"/>
  <c r="G21" i="8"/>
  <c r="D30" i="1" s="1"/>
  <c r="D130" i="1" s="1"/>
  <c r="D192" i="1" s="1"/>
  <c r="F21" i="8"/>
  <c r="C30" i="1" s="1"/>
  <c r="C130" i="1" s="1"/>
  <c r="C192" i="1" s="1"/>
  <c r="E21" i="8"/>
  <c r="B30" i="1" s="1"/>
  <c r="B130" i="1" s="1"/>
  <c r="B192" i="1" s="1"/>
  <c r="L20" i="8"/>
  <c r="J20" i="8"/>
  <c r="I20" i="8"/>
  <c r="E20" i="8"/>
  <c r="R19" i="8"/>
  <c r="O27" i="1" s="1"/>
  <c r="Q19" i="8"/>
  <c r="N27" i="1" s="1"/>
  <c r="P19" i="8"/>
  <c r="M27" i="1" s="1"/>
  <c r="O19" i="8"/>
  <c r="L27" i="1" s="1"/>
  <c r="N19" i="8"/>
  <c r="K27" i="1" s="1"/>
  <c r="L19" i="8"/>
  <c r="I27" i="1" s="1"/>
  <c r="K19" i="8"/>
  <c r="H27" i="1" s="1"/>
  <c r="J19" i="8"/>
  <c r="G27" i="1" s="1"/>
  <c r="I19" i="8"/>
  <c r="F27" i="1" s="1"/>
  <c r="H19" i="8"/>
  <c r="E27" i="1" s="1"/>
  <c r="G19" i="8"/>
  <c r="D27" i="1" s="1"/>
  <c r="F19" i="8"/>
  <c r="C27" i="1" s="1"/>
  <c r="E19" i="8"/>
  <c r="B27" i="1" s="1"/>
  <c r="Q17" i="8"/>
  <c r="O17" i="8"/>
  <c r="N17" i="8"/>
  <c r="L17" i="8"/>
  <c r="K17" i="8"/>
  <c r="J17" i="8"/>
  <c r="I17" i="8"/>
  <c r="H17" i="8"/>
  <c r="G17" i="8"/>
  <c r="F17" i="8"/>
  <c r="E17" i="8"/>
  <c r="L16" i="8"/>
  <c r="I20" i="1" s="1"/>
  <c r="J16" i="8"/>
  <c r="G20" i="1" s="1"/>
  <c r="H16" i="8"/>
  <c r="E20" i="1" s="1"/>
  <c r="G16" i="8"/>
  <c r="D20" i="1" s="1"/>
  <c r="F16" i="8"/>
  <c r="C20" i="1" s="1"/>
  <c r="L15" i="8"/>
  <c r="K15" i="8"/>
  <c r="J15" i="8"/>
  <c r="I15" i="8"/>
  <c r="H15" i="8"/>
  <c r="G15" i="8"/>
  <c r="G13" i="8" s="1"/>
  <c r="F15" i="8"/>
  <c r="E15" i="8"/>
  <c r="R14" i="8"/>
  <c r="Q14" i="8"/>
  <c r="P14" i="8"/>
  <c r="O14" i="8"/>
  <c r="L14" i="8"/>
  <c r="I14" i="8"/>
  <c r="N90" i="7"/>
  <c r="L90" i="7"/>
  <c r="K90" i="7"/>
  <c r="M90" i="7" s="1"/>
  <c r="D90" i="7" s="1"/>
  <c r="H90" i="7"/>
  <c r="R89" i="7"/>
  <c r="Q89" i="7"/>
  <c r="P89" i="7"/>
  <c r="O89" i="7"/>
  <c r="L89" i="7"/>
  <c r="J89" i="7"/>
  <c r="J86" i="7" s="1"/>
  <c r="I89" i="7"/>
  <c r="E89" i="7"/>
  <c r="E86" i="7" s="1"/>
  <c r="N88" i="7"/>
  <c r="L88" i="7"/>
  <c r="K88" i="7"/>
  <c r="M88" i="7" s="1"/>
  <c r="D88" i="7" s="1"/>
  <c r="R87" i="7"/>
  <c r="Q87" i="7"/>
  <c r="P87" i="7"/>
  <c r="P86" i="7" s="1"/>
  <c r="O87" i="7"/>
  <c r="N87" i="7"/>
  <c r="L87" i="7"/>
  <c r="L86" i="7" s="1"/>
  <c r="J87" i="7"/>
  <c r="I87" i="7"/>
  <c r="H87" i="7"/>
  <c r="G87" i="7"/>
  <c r="F87" i="7"/>
  <c r="E87" i="7"/>
  <c r="R86" i="7"/>
  <c r="I86" i="7"/>
  <c r="N85" i="7"/>
  <c r="N84" i="7" s="1"/>
  <c r="L85" i="7"/>
  <c r="K85" i="7"/>
  <c r="R84" i="7"/>
  <c r="Q84" i="7"/>
  <c r="P84" i="7"/>
  <c r="O84" i="7"/>
  <c r="L84" i="7"/>
  <c r="J84" i="7"/>
  <c r="J80" i="7" s="1"/>
  <c r="I84" i="7"/>
  <c r="E84" i="7"/>
  <c r="N83" i="7"/>
  <c r="N81" i="7" s="1"/>
  <c r="L83" i="7"/>
  <c r="L81" i="7" s="1"/>
  <c r="K83" i="7"/>
  <c r="M83" i="7" s="1"/>
  <c r="D83" i="7" s="1"/>
  <c r="R81" i="7"/>
  <c r="R80" i="7" s="1"/>
  <c r="Q81" i="7"/>
  <c r="P81" i="7"/>
  <c r="P80" i="7" s="1"/>
  <c r="K81" i="7"/>
  <c r="I81" i="7"/>
  <c r="I80" i="7" s="1"/>
  <c r="E81" i="7"/>
  <c r="O77" i="7"/>
  <c r="N78" i="7"/>
  <c r="M78" i="7" s="1"/>
  <c r="R77" i="7"/>
  <c r="Q77" i="7"/>
  <c r="P77" i="7"/>
  <c r="L77" i="7"/>
  <c r="K77" i="7"/>
  <c r="J77" i="7"/>
  <c r="I77" i="7"/>
  <c r="E77" i="7"/>
  <c r="O75" i="7"/>
  <c r="N76" i="7"/>
  <c r="M76" i="7" s="1"/>
  <c r="R75" i="7"/>
  <c r="Q75" i="7"/>
  <c r="Q74" i="7" s="1"/>
  <c r="P75" i="7"/>
  <c r="L75" i="7"/>
  <c r="K75" i="7"/>
  <c r="J75" i="7"/>
  <c r="I75" i="7"/>
  <c r="E75" i="7"/>
  <c r="H74" i="7"/>
  <c r="G74" i="7"/>
  <c r="F74" i="7"/>
  <c r="O72" i="7"/>
  <c r="N73" i="7"/>
  <c r="M73" i="7" s="1"/>
  <c r="R72" i="7"/>
  <c r="Q72" i="7"/>
  <c r="P72" i="7"/>
  <c r="N72" i="7"/>
  <c r="L72" i="7"/>
  <c r="K72" i="7"/>
  <c r="J72" i="7"/>
  <c r="I72" i="7"/>
  <c r="E72" i="7"/>
  <c r="N71" i="7"/>
  <c r="M71" i="7" s="1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 s="1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D64" i="7"/>
  <c r="R63" i="7"/>
  <c r="Q63" i="7"/>
  <c r="P63" i="7"/>
  <c r="P62" i="7" s="1"/>
  <c r="O63" i="7"/>
  <c r="O62" i="7" s="1"/>
  <c r="N63" i="7"/>
  <c r="N62" i="7" s="1"/>
  <c r="L63" i="7"/>
  <c r="L62" i="7" s="1"/>
  <c r="K63" i="7"/>
  <c r="J63" i="7"/>
  <c r="J62" i="7" s="1"/>
  <c r="R62" i="7"/>
  <c r="K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L57" i="7"/>
  <c r="L56" i="7" s="1"/>
  <c r="R56" i="7"/>
  <c r="N56" i="7"/>
  <c r="Q56" i="7"/>
  <c r="G56" i="7"/>
  <c r="O53" i="7"/>
  <c r="L54" i="7"/>
  <c r="K54" i="7"/>
  <c r="E54" i="7"/>
  <c r="M54" i="7" s="1"/>
  <c r="D54" i="7" s="1"/>
  <c r="R53" i="7"/>
  <c r="Q53" i="7"/>
  <c r="P53" i="7"/>
  <c r="L53" i="7"/>
  <c r="J53" i="7"/>
  <c r="I53" i="7"/>
  <c r="L52" i="7"/>
  <c r="K52" i="7"/>
  <c r="M52" i="7" s="1"/>
  <c r="D52" i="7" s="1"/>
  <c r="R51" i="7"/>
  <c r="Q51" i="7"/>
  <c r="P51" i="7"/>
  <c r="O51" i="7"/>
  <c r="N51" i="7"/>
  <c r="L51" i="7"/>
  <c r="J51" i="7"/>
  <c r="I51" i="7"/>
  <c r="H51" i="7"/>
  <c r="H50" i="7" s="1"/>
  <c r="G51" i="7"/>
  <c r="G50" i="7" s="1"/>
  <c r="F51" i="7"/>
  <c r="F50" i="7" s="1"/>
  <c r="E51" i="7"/>
  <c r="I50" i="7"/>
  <c r="N48" i="7"/>
  <c r="L49" i="7"/>
  <c r="L48" i="7" s="1"/>
  <c r="K49" i="7"/>
  <c r="K48" i="7" s="1"/>
  <c r="E49" i="7"/>
  <c r="M49" i="7" s="1"/>
  <c r="D49" i="7" s="1"/>
  <c r="R48" i="7"/>
  <c r="Q48" i="7"/>
  <c r="P48" i="7"/>
  <c r="O48" i="7"/>
  <c r="J48" i="7"/>
  <c r="I48" i="7"/>
  <c r="L46" i="7"/>
  <c r="L45" i="7" s="1"/>
  <c r="K46" i="7"/>
  <c r="K45" i="7" s="1"/>
  <c r="I46" i="7"/>
  <c r="I45" i="7" s="1"/>
  <c r="E46" i="7"/>
  <c r="R45" i="7"/>
  <c r="R44" i="7" s="1"/>
  <c r="Q45" i="7"/>
  <c r="P45" i="7"/>
  <c r="P44" i="7" s="1"/>
  <c r="O45" i="7"/>
  <c r="N45" i="7"/>
  <c r="J45" i="7"/>
  <c r="J44" i="7" s="1"/>
  <c r="N41" i="7"/>
  <c r="L42" i="7"/>
  <c r="K42" i="7"/>
  <c r="K41" i="7" s="1"/>
  <c r="J42" i="7"/>
  <c r="J41" i="7" s="1"/>
  <c r="E42" i="7"/>
  <c r="R41" i="7"/>
  <c r="Q41" i="7"/>
  <c r="P41" i="7"/>
  <c r="O41" i="7"/>
  <c r="L41" i="7"/>
  <c r="I41" i="7"/>
  <c r="L40" i="7"/>
  <c r="L39" i="7" s="1"/>
  <c r="K40" i="7"/>
  <c r="M40" i="7" s="1"/>
  <c r="D40" i="7" s="1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O36" i="7"/>
  <c r="L37" i="7"/>
  <c r="L36" i="7" s="1"/>
  <c r="K37" i="7"/>
  <c r="K36" i="7" s="1"/>
  <c r="J37" i="7"/>
  <c r="J36" i="7" s="1"/>
  <c r="I37" i="7"/>
  <c r="I36" i="7" s="1"/>
  <c r="E37" i="7"/>
  <c r="R36" i="7"/>
  <c r="Q36" i="7"/>
  <c r="P36" i="7"/>
  <c r="E36" i="7"/>
  <c r="L35" i="7"/>
  <c r="K35" i="7"/>
  <c r="J35" i="7"/>
  <c r="M35" i="7" s="1"/>
  <c r="D35" i="7" s="1"/>
  <c r="N33" i="7"/>
  <c r="L34" i="7"/>
  <c r="K34" i="7"/>
  <c r="J34" i="7"/>
  <c r="I34" i="7"/>
  <c r="E34" i="7"/>
  <c r="M34" i="7" s="1"/>
  <c r="R33" i="7"/>
  <c r="Q33" i="7"/>
  <c r="P33" i="7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 s="1"/>
  <c r="D26" i="7" s="1"/>
  <c r="L26" i="7"/>
  <c r="I26" i="7"/>
  <c r="E26" i="7"/>
  <c r="N25" i="7"/>
  <c r="N24" i="7" s="1"/>
  <c r="N23" i="7" s="1"/>
  <c r="L25" i="7"/>
  <c r="L24" i="7" s="1"/>
  <c r="K25" i="7"/>
  <c r="J25" i="7"/>
  <c r="J24" i="7" s="1"/>
  <c r="E25" i="7"/>
  <c r="M25" i="7" s="1"/>
  <c r="D25" i="7" s="1"/>
  <c r="R24" i="7"/>
  <c r="R23" i="7" s="1"/>
  <c r="Q24" i="7"/>
  <c r="P24" i="7"/>
  <c r="P23" i="7" s="1"/>
  <c r="O24" i="7"/>
  <c r="O23" i="7" s="1"/>
  <c r="K24" i="7"/>
  <c r="I24" i="7"/>
  <c r="Q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J19" i="7"/>
  <c r="I19" i="7"/>
  <c r="H19" i="7"/>
  <c r="G19" i="7"/>
  <c r="F19" i="7"/>
  <c r="E19" i="7"/>
  <c r="E18" i="7" s="1"/>
  <c r="G18" i="7"/>
  <c r="K16" i="7"/>
  <c r="J16" i="7"/>
  <c r="G74" i="1" s="1"/>
  <c r="G73" i="1" s="1"/>
  <c r="I16" i="7"/>
  <c r="H16" i="7"/>
  <c r="E74" i="1" s="1"/>
  <c r="E73" i="1" s="1"/>
  <c r="G16" i="7"/>
  <c r="D74" i="1" s="1"/>
  <c r="D73" i="1" s="1"/>
  <c r="F16" i="7"/>
  <c r="C74" i="1" s="1"/>
  <c r="C73" i="1" s="1"/>
  <c r="E16" i="7"/>
  <c r="E15" i="7" s="1"/>
  <c r="J15" i="7"/>
  <c r="H15" i="7"/>
  <c r="G15" i="7"/>
  <c r="F15" i="7"/>
  <c r="I14" i="7"/>
  <c r="E14" i="7"/>
  <c r="H12" i="7"/>
  <c r="F12" i="7"/>
  <c r="F11" i="7" s="1"/>
  <c r="L10" i="7"/>
  <c r="L8" i="7" s="1"/>
  <c r="J10" i="7"/>
  <c r="J8" i="7" s="1"/>
  <c r="I10" i="7"/>
  <c r="I8" i="7" s="1"/>
  <c r="H8" i="7"/>
  <c r="F8" i="7"/>
  <c r="G8" i="7"/>
  <c r="J247" i="6"/>
  <c r="O246" i="6"/>
  <c r="O245" i="6" s="1"/>
  <c r="N246" i="6"/>
  <c r="L246" i="6"/>
  <c r="L245" i="6" s="1"/>
  <c r="K246" i="6"/>
  <c r="K245" i="6" s="1"/>
  <c r="I246" i="6"/>
  <c r="H246" i="6"/>
  <c r="H245" i="6" s="1"/>
  <c r="G246" i="6"/>
  <c r="G245" i="6" s="1"/>
  <c r="F246" i="6"/>
  <c r="F245" i="6" s="1"/>
  <c r="E246" i="6"/>
  <c r="E245" i="6" s="1"/>
  <c r="N245" i="6"/>
  <c r="I245" i="6"/>
  <c r="J244" i="6"/>
  <c r="N243" i="6"/>
  <c r="D243" i="6" s="1"/>
  <c r="O242" i="6"/>
  <c r="O241" i="6" s="1"/>
  <c r="L242" i="6"/>
  <c r="L241" i="6" s="1"/>
  <c r="K242" i="6"/>
  <c r="I242" i="6"/>
  <c r="H242" i="6"/>
  <c r="H241" i="6" s="1"/>
  <c r="G242" i="6"/>
  <c r="G241" i="6" s="1"/>
  <c r="F242" i="6"/>
  <c r="F241" i="6" s="1"/>
  <c r="E242" i="6"/>
  <c r="E241" i="6" s="1"/>
  <c r="K241" i="6"/>
  <c r="I241" i="6"/>
  <c r="N238" i="6"/>
  <c r="N237" i="6" s="1"/>
  <c r="L239" i="6"/>
  <c r="L238" i="6" s="1"/>
  <c r="L237" i="6" s="1"/>
  <c r="L223" i="6" s="1"/>
  <c r="K239" i="6"/>
  <c r="K238" i="6" s="1"/>
  <c r="K237" i="6" s="1"/>
  <c r="J239" i="6"/>
  <c r="R238" i="6"/>
  <c r="R237" i="6" s="1"/>
  <c r="R223" i="6" s="1"/>
  <c r="Q238" i="6"/>
  <c r="Q237" i="6" s="1"/>
  <c r="Q223" i="6" s="1"/>
  <c r="P238" i="6"/>
  <c r="P237" i="6" s="1"/>
  <c r="P223" i="6" s="1"/>
  <c r="I238" i="6"/>
  <c r="I237" i="6" s="1"/>
  <c r="H238" i="6"/>
  <c r="H237" i="6" s="1"/>
  <c r="G238" i="6"/>
  <c r="G237" i="6" s="1"/>
  <c r="F238" i="6"/>
  <c r="F237" i="6" s="1"/>
  <c r="E238" i="6"/>
  <c r="E237" i="6" s="1"/>
  <c r="X235" i="6"/>
  <c r="X234" i="6" s="1"/>
  <c r="X233" i="6" s="1"/>
  <c r="O227" i="6"/>
  <c r="N235" i="6"/>
  <c r="L235" i="6"/>
  <c r="L234" i="6" s="1"/>
  <c r="L233" i="6" s="1"/>
  <c r="L224" i="6" s="1"/>
  <c r="K235" i="6"/>
  <c r="K234" i="6" s="1"/>
  <c r="K233" i="6" s="1"/>
  <c r="K224" i="6" s="1"/>
  <c r="J235" i="6"/>
  <c r="J234" i="6" s="1"/>
  <c r="J233" i="6" s="1"/>
  <c r="J224" i="6" s="1"/>
  <c r="I235" i="6"/>
  <c r="H234" i="6"/>
  <c r="G234" i="6"/>
  <c r="G233" i="6" s="1"/>
  <c r="G224" i="6" s="1"/>
  <c r="F234" i="6"/>
  <c r="F233" i="6" s="1"/>
  <c r="F224" i="6" s="1"/>
  <c r="E234" i="6"/>
  <c r="E233" i="6" s="1"/>
  <c r="E224" i="6" s="1"/>
  <c r="H233" i="6"/>
  <c r="H224" i="6" s="1"/>
  <c r="N229" i="6"/>
  <c r="O229" i="6"/>
  <c r="P228" i="6"/>
  <c r="O228" i="6"/>
  <c r="N228" i="6"/>
  <c r="Q227" i="6"/>
  <c r="Q226" i="6" s="1"/>
  <c r="Q225" i="6" s="1"/>
  <c r="K227" i="6"/>
  <c r="K226" i="6" s="1"/>
  <c r="K225" i="6" s="1"/>
  <c r="H227" i="6"/>
  <c r="H226" i="6" s="1"/>
  <c r="H225" i="6" s="1"/>
  <c r="G227" i="6"/>
  <c r="G226" i="6" s="1"/>
  <c r="G225" i="6" s="1"/>
  <c r="F227" i="6"/>
  <c r="F226" i="6" s="1"/>
  <c r="F225" i="6" s="1"/>
  <c r="R224" i="6"/>
  <c r="Q224" i="6"/>
  <c r="N89" i="6"/>
  <c r="N88" i="6" s="1"/>
  <c r="K90" i="6"/>
  <c r="K89" i="6" s="1"/>
  <c r="K88" i="6" s="1"/>
  <c r="J90" i="6"/>
  <c r="O89" i="6"/>
  <c r="O88" i="6" s="1"/>
  <c r="L89" i="6"/>
  <c r="L88" i="6" s="1"/>
  <c r="I89" i="6"/>
  <c r="I88" i="6" s="1"/>
  <c r="H89" i="6"/>
  <c r="H88" i="6" s="1"/>
  <c r="G89" i="6"/>
  <c r="G88" i="6" s="1"/>
  <c r="F89" i="6"/>
  <c r="F88" i="6" s="1"/>
  <c r="E89" i="6"/>
  <c r="E88" i="6" s="1"/>
  <c r="Q88" i="6"/>
  <c r="P88" i="6"/>
  <c r="L86" i="6"/>
  <c r="K86" i="6"/>
  <c r="J87" i="6"/>
  <c r="O86" i="6"/>
  <c r="N86" i="6"/>
  <c r="I86" i="6"/>
  <c r="H86" i="6"/>
  <c r="G86" i="6"/>
  <c r="F86" i="6"/>
  <c r="E86" i="6"/>
  <c r="J85" i="6"/>
  <c r="O84" i="6"/>
  <c r="J84" i="6"/>
  <c r="I84" i="6"/>
  <c r="H84" i="6"/>
  <c r="G84" i="6"/>
  <c r="F84" i="6"/>
  <c r="E84" i="6"/>
  <c r="O80" i="6"/>
  <c r="L81" i="6"/>
  <c r="L80" i="6" s="1"/>
  <c r="K81" i="6"/>
  <c r="Q80" i="6"/>
  <c r="P80" i="6"/>
  <c r="N80" i="6"/>
  <c r="J80" i="6"/>
  <c r="I80" i="6"/>
  <c r="H80" i="6"/>
  <c r="G80" i="6"/>
  <c r="F80" i="6"/>
  <c r="E80" i="6"/>
  <c r="L79" i="6"/>
  <c r="K79" i="6"/>
  <c r="Q78" i="6"/>
  <c r="P78" i="6"/>
  <c r="N78" i="6"/>
  <c r="J78" i="6"/>
  <c r="I78" i="6"/>
  <c r="H78" i="6"/>
  <c r="G78" i="6"/>
  <c r="F78" i="6"/>
  <c r="E78" i="6"/>
  <c r="L76" i="6"/>
  <c r="L75" i="6" s="1"/>
  <c r="K76" i="6"/>
  <c r="E75" i="6"/>
  <c r="Q75" i="6"/>
  <c r="P75" i="6"/>
  <c r="O75" i="6"/>
  <c r="N75" i="6"/>
  <c r="J75" i="6"/>
  <c r="I75" i="6"/>
  <c r="H75" i="6"/>
  <c r="G75" i="6"/>
  <c r="F75" i="6"/>
  <c r="K74" i="6"/>
  <c r="Q73" i="6"/>
  <c r="P73" i="6"/>
  <c r="O73" i="6"/>
  <c r="N73" i="6"/>
  <c r="L73" i="6"/>
  <c r="J73" i="6"/>
  <c r="I73" i="6"/>
  <c r="H73" i="6"/>
  <c r="G73" i="6"/>
  <c r="F73" i="6"/>
  <c r="P47" i="6"/>
  <c r="O47" i="6"/>
  <c r="N47" i="6"/>
  <c r="P45" i="6"/>
  <c r="O45" i="6"/>
  <c r="N45" i="6"/>
  <c r="P42" i="6"/>
  <c r="O42" i="6"/>
  <c r="N42" i="6"/>
  <c r="P40" i="6"/>
  <c r="O40" i="6"/>
  <c r="N40" i="6"/>
  <c r="P36" i="6"/>
  <c r="O36" i="6"/>
  <c r="N36" i="6"/>
  <c r="J23" i="6"/>
  <c r="J22" i="6" s="1"/>
  <c r="H23" i="6"/>
  <c r="P34" i="6"/>
  <c r="O34" i="6"/>
  <c r="N34" i="6"/>
  <c r="P31" i="6"/>
  <c r="O31" i="6"/>
  <c r="N31" i="6"/>
  <c r="L16" i="6"/>
  <c r="J16" i="6"/>
  <c r="H16" i="6"/>
  <c r="P29" i="6"/>
  <c r="P28" i="6" s="1"/>
  <c r="O29" i="6"/>
  <c r="N29" i="6"/>
  <c r="N28" i="6" s="1"/>
  <c r="N25" i="6"/>
  <c r="N21" i="6" s="1"/>
  <c r="Q25" i="6"/>
  <c r="Q21" i="6" s="1"/>
  <c r="R112" i="5"/>
  <c r="R111" i="5" s="1"/>
  <c r="Q112" i="5"/>
  <c r="P112" i="5"/>
  <c r="P111" i="5" s="1"/>
  <c r="O112" i="5"/>
  <c r="N112" i="5"/>
  <c r="N111" i="5" s="1"/>
  <c r="K112" i="5"/>
  <c r="J112" i="5"/>
  <c r="J111" i="5" s="1"/>
  <c r="I112" i="5"/>
  <c r="H112" i="5"/>
  <c r="H111" i="5" s="1"/>
  <c r="G112" i="5"/>
  <c r="F112" i="5"/>
  <c r="F111" i="5" s="1"/>
  <c r="E112" i="5"/>
  <c r="Q111" i="5"/>
  <c r="O111" i="5"/>
  <c r="K111" i="5"/>
  <c r="I111" i="5"/>
  <c r="G111" i="5"/>
  <c r="E111" i="5"/>
  <c r="N88" i="5"/>
  <c r="N87" i="5" s="1"/>
  <c r="D109" i="5"/>
  <c r="K109" i="5"/>
  <c r="K108" i="5" s="1"/>
  <c r="L108" i="5"/>
  <c r="J108" i="5"/>
  <c r="J104" i="5" s="1"/>
  <c r="I108" i="5"/>
  <c r="I104" i="5" s="1"/>
  <c r="E108" i="5"/>
  <c r="N107" i="5"/>
  <c r="N86" i="5" s="1"/>
  <c r="N61" i="5" s="1"/>
  <c r="L107" i="5"/>
  <c r="M107" i="5" s="1"/>
  <c r="D107" i="5" s="1"/>
  <c r="N85" i="5"/>
  <c r="M106" i="5"/>
  <c r="D106" i="5" s="1"/>
  <c r="K106" i="5"/>
  <c r="K105" i="5" s="1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 s="1"/>
  <c r="K100" i="5"/>
  <c r="K99" i="5" s="1"/>
  <c r="K98" i="5" s="1"/>
  <c r="R99" i="5"/>
  <c r="Q99" i="5"/>
  <c r="P99" i="5"/>
  <c r="O99" i="5"/>
  <c r="J99" i="5"/>
  <c r="I99" i="5"/>
  <c r="I98" i="5" s="1"/>
  <c r="H99" i="5"/>
  <c r="G99" i="5"/>
  <c r="F99" i="5"/>
  <c r="E99" i="5"/>
  <c r="J98" i="5"/>
  <c r="E98" i="5"/>
  <c r="D96" i="5"/>
  <c r="K95" i="5"/>
  <c r="J95" i="5"/>
  <c r="K94" i="5"/>
  <c r="R91" i="5"/>
  <c r="Q91" i="5"/>
  <c r="Q90" i="5" s="1"/>
  <c r="P91" i="5"/>
  <c r="O91" i="5"/>
  <c r="O90" i="5" s="1"/>
  <c r="N91" i="5"/>
  <c r="L91" i="5"/>
  <c r="L90" i="5" s="1"/>
  <c r="K91" i="5"/>
  <c r="J91" i="5"/>
  <c r="J90" i="5" s="1"/>
  <c r="H91" i="5"/>
  <c r="G91" i="5"/>
  <c r="G90" i="5" s="1"/>
  <c r="F91" i="5"/>
  <c r="E91" i="5"/>
  <c r="E90" i="5" s="1"/>
  <c r="R90" i="5"/>
  <c r="P90" i="5"/>
  <c r="N90" i="5"/>
  <c r="K90" i="5"/>
  <c r="H90" i="5"/>
  <c r="F90" i="5"/>
  <c r="Q88" i="5"/>
  <c r="N83" i="1" s="1"/>
  <c r="N82" i="1" s="1"/>
  <c r="P88" i="5"/>
  <c r="P87" i="5" s="1"/>
  <c r="O88" i="5"/>
  <c r="L88" i="5"/>
  <c r="L87" i="5" s="1"/>
  <c r="J88" i="5"/>
  <c r="I88" i="5"/>
  <c r="I87" i="5" s="1"/>
  <c r="H88" i="5"/>
  <c r="G88" i="5"/>
  <c r="G87" i="5" s="1"/>
  <c r="F88" i="5"/>
  <c r="E88" i="5"/>
  <c r="E87" i="5" s="1"/>
  <c r="R87" i="5"/>
  <c r="Q87" i="5"/>
  <c r="O87" i="5"/>
  <c r="J87" i="5"/>
  <c r="H87" i="5"/>
  <c r="F87" i="5"/>
  <c r="Q86" i="5"/>
  <c r="Q61" i="5" s="1"/>
  <c r="P86" i="5"/>
  <c r="P61" i="5" s="1"/>
  <c r="O86" i="5"/>
  <c r="O61" i="5" s="1"/>
  <c r="K86" i="5"/>
  <c r="K61" i="5" s="1"/>
  <c r="J86" i="5"/>
  <c r="J61" i="5" s="1"/>
  <c r="I86" i="5"/>
  <c r="I61" i="5" s="1"/>
  <c r="H86" i="5"/>
  <c r="H61" i="5" s="1"/>
  <c r="G86" i="5"/>
  <c r="G61" i="5" s="1"/>
  <c r="F86" i="5"/>
  <c r="F61" i="5" s="1"/>
  <c r="E86" i="5"/>
  <c r="E61" i="5" s="1"/>
  <c r="Q85" i="5"/>
  <c r="P85" i="5"/>
  <c r="O85" i="5"/>
  <c r="J85" i="5"/>
  <c r="I85" i="5"/>
  <c r="H85" i="5"/>
  <c r="H84" i="5" s="1"/>
  <c r="G85" i="5"/>
  <c r="F85" i="5"/>
  <c r="E85" i="5"/>
  <c r="R84" i="5"/>
  <c r="R83" i="5" s="1"/>
  <c r="P82" i="5"/>
  <c r="M74" i="1" s="1"/>
  <c r="O82" i="5"/>
  <c r="N81" i="5"/>
  <c r="L82" i="5"/>
  <c r="L81" i="5" s="1"/>
  <c r="K82" i="5"/>
  <c r="K81" i="5" s="1"/>
  <c r="R81" i="5"/>
  <c r="Q81" i="5"/>
  <c r="O81" i="5"/>
  <c r="Q80" i="5"/>
  <c r="N65" i="1" s="1"/>
  <c r="P80" i="5"/>
  <c r="O80" i="5"/>
  <c r="N80" i="5"/>
  <c r="L80" i="5"/>
  <c r="K80" i="5"/>
  <c r="J80" i="5"/>
  <c r="H80" i="5"/>
  <c r="G80" i="5"/>
  <c r="F80" i="5"/>
  <c r="E80" i="5"/>
  <c r="R79" i="5"/>
  <c r="R77" i="5" s="1"/>
  <c r="R76" i="5" s="1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 s="1"/>
  <c r="K78" i="5"/>
  <c r="J78" i="5"/>
  <c r="I78" i="5"/>
  <c r="H78" i="5"/>
  <c r="G78" i="5"/>
  <c r="F78" i="5"/>
  <c r="E78" i="5"/>
  <c r="R51" i="5"/>
  <c r="X75" i="5"/>
  <c r="X73" i="5" s="1"/>
  <c r="E49" i="5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I47" i="5" s="1"/>
  <c r="H48" i="5"/>
  <c r="H47" i="5" s="1"/>
  <c r="G48" i="5"/>
  <c r="G47" i="5" s="1"/>
  <c r="F48" i="5"/>
  <c r="F47" i="5" s="1"/>
  <c r="R47" i="5"/>
  <c r="E46" i="5"/>
  <c r="R45" i="5"/>
  <c r="Q45" i="5"/>
  <c r="Q44" i="5" s="1"/>
  <c r="Q11" i="5" s="1"/>
  <c r="P45" i="5"/>
  <c r="P44" i="5" s="1"/>
  <c r="P11" i="5" s="1"/>
  <c r="O45" i="5"/>
  <c r="O44" i="5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E42" i="5"/>
  <c r="E41" i="5" s="1"/>
  <c r="R41" i="5"/>
  <c r="R38" i="5" s="1"/>
  <c r="Q41" i="5"/>
  <c r="Q38" i="5" s="1"/>
  <c r="P41" i="5"/>
  <c r="P38" i="5" s="1"/>
  <c r="O41" i="5"/>
  <c r="O38" i="5" s="1"/>
  <c r="L41" i="5"/>
  <c r="K41" i="5"/>
  <c r="J41" i="5"/>
  <c r="I41" i="5"/>
  <c r="H41" i="5"/>
  <c r="G41" i="5"/>
  <c r="F41" i="5"/>
  <c r="E40" i="5"/>
  <c r="D40" i="5" s="1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M35" i="5" s="1"/>
  <c r="D35" i="5" s="1"/>
  <c r="E35" i="5"/>
  <c r="E34" i="5" s="1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P15" i="5"/>
  <c r="O15" i="5"/>
  <c r="L15" i="5"/>
  <c r="K15" i="5"/>
  <c r="J15" i="5"/>
  <c r="I15" i="5"/>
  <c r="H15" i="5"/>
  <c r="G15" i="5"/>
  <c r="F15" i="5"/>
  <c r="G146" i="4"/>
  <c r="P114" i="4"/>
  <c r="P111" i="4" s="1"/>
  <c r="O114" i="4"/>
  <c r="O111" i="4" s="1"/>
  <c r="N114" i="4"/>
  <c r="L114" i="4"/>
  <c r="L111" i="4" s="1"/>
  <c r="K114" i="4"/>
  <c r="J114" i="4"/>
  <c r="J111" i="4" s="1"/>
  <c r="I114" i="4"/>
  <c r="H114" i="4"/>
  <c r="G114" i="4"/>
  <c r="F114" i="4"/>
  <c r="E114" i="4"/>
  <c r="D114" i="4"/>
  <c r="D111" i="4" s="1"/>
  <c r="N111" i="4"/>
  <c r="K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G104" i="4" s="1"/>
  <c r="F109" i="4"/>
  <c r="E109" i="4"/>
  <c r="N105" i="4"/>
  <c r="L105" i="4"/>
  <c r="K105" i="4"/>
  <c r="J105" i="4"/>
  <c r="J104" i="4" s="1"/>
  <c r="I105" i="4"/>
  <c r="H105" i="4"/>
  <c r="H104" i="4" s="1"/>
  <c r="G105" i="4"/>
  <c r="F105" i="4"/>
  <c r="F104" i="4" s="1"/>
  <c r="E105" i="4"/>
  <c r="K104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M99" i="4" s="1"/>
  <c r="P98" i="4"/>
  <c r="O98" i="4"/>
  <c r="O94" i="4" s="1"/>
  <c r="N98" i="4"/>
  <c r="L98" i="4"/>
  <c r="K98" i="4"/>
  <c r="J98" i="4"/>
  <c r="J94" i="4" s="1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I90" i="4"/>
  <c r="I89" i="4" s="1"/>
  <c r="H90" i="4"/>
  <c r="H89" i="4" s="1"/>
  <c r="G90" i="4"/>
  <c r="G89" i="4" s="1"/>
  <c r="F90" i="4"/>
  <c r="E90" i="4"/>
  <c r="E89" i="4" s="1"/>
  <c r="R89" i="4"/>
  <c r="Q89" i="4"/>
  <c r="P89" i="4"/>
  <c r="O89" i="4"/>
  <c r="N89" i="4"/>
  <c r="J89" i="4"/>
  <c r="F89" i="4"/>
  <c r="D89" i="4"/>
  <c r="Q85" i="4"/>
  <c r="Q84" i="4" s="1"/>
  <c r="P85" i="4"/>
  <c r="P84" i="4" s="1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77" i="4" s="1"/>
  <c r="M28" i="4" s="1"/>
  <c r="O76" i="4"/>
  <c r="O25" i="4"/>
  <c r="L77" i="1" s="1"/>
  <c r="N75" i="4"/>
  <c r="M75" i="4" s="1"/>
  <c r="M74" i="4" s="1"/>
  <c r="O22" i="4"/>
  <c r="N72" i="4"/>
  <c r="M72" i="4" s="1"/>
  <c r="N70" i="4"/>
  <c r="M70" i="4" s="1"/>
  <c r="D70" i="4" s="1"/>
  <c r="N69" i="4"/>
  <c r="M69" i="4" s="1"/>
  <c r="N65" i="4"/>
  <c r="M65" i="4" s="1"/>
  <c r="J64" i="4"/>
  <c r="M64" i="4" s="1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G60" i="4"/>
  <c r="F60" i="4"/>
  <c r="D60" i="4"/>
  <c r="N59" i="4"/>
  <c r="M59" i="4" s="1"/>
  <c r="J58" i="4"/>
  <c r="M58" i="4" s="1"/>
  <c r="E57" i="4"/>
  <c r="P55" i="4"/>
  <c r="P54" i="4" s="1"/>
  <c r="O55" i="4"/>
  <c r="L55" i="4"/>
  <c r="K55" i="4"/>
  <c r="J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M47" i="4" s="1"/>
  <c r="N46" i="4"/>
  <c r="K46" i="4"/>
  <c r="J46" i="4"/>
  <c r="I46" i="4"/>
  <c r="H46" i="4"/>
  <c r="G46" i="4"/>
  <c r="F46" i="4"/>
  <c r="K44" i="4"/>
  <c r="M44" i="4" s="1"/>
  <c r="L42" i="4"/>
  <c r="L41" i="4" s="1"/>
  <c r="J42" i="4"/>
  <c r="I42" i="4"/>
  <c r="H42" i="4"/>
  <c r="G42" i="4"/>
  <c r="F42" i="4"/>
  <c r="E42" i="4"/>
  <c r="P28" i="4"/>
  <c r="O28" i="4"/>
  <c r="L28" i="4"/>
  <c r="K28" i="4"/>
  <c r="J28" i="4"/>
  <c r="G83" i="1" s="1"/>
  <c r="G82" i="1" s="1"/>
  <c r="I28" i="4"/>
  <c r="F83" i="1" s="1"/>
  <c r="F82" i="1" s="1"/>
  <c r="H28" i="4"/>
  <c r="G28" i="4"/>
  <c r="F28" i="4"/>
  <c r="E28" i="4"/>
  <c r="L27" i="4"/>
  <c r="K27" i="4"/>
  <c r="J27" i="4"/>
  <c r="I27" i="4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I25" i="4"/>
  <c r="F77" i="1" s="1"/>
  <c r="H25" i="4"/>
  <c r="G25" i="4"/>
  <c r="D77" i="1" s="1"/>
  <c r="F25" i="4"/>
  <c r="E25" i="4"/>
  <c r="B77" i="1" s="1"/>
  <c r="L24" i="4"/>
  <c r="K21" i="4"/>
  <c r="J21" i="4"/>
  <c r="I21" i="4"/>
  <c r="G21" i="4"/>
  <c r="F21" i="4"/>
  <c r="L21" i="4"/>
  <c r="H21" i="4"/>
  <c r="P20" i="4"/>
  <c r="O20" i="4"/>
  <c r="L20" i="4"/>
  <c r="K20" i="4"/>
  <c r="J20" i="4"/>
  <c r="I20" i="4"/>
  <c r="H20" i="4"/>
  <c r="G20" i="4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N123" i="1" s="1"/>
  <c r="N185" i="1" s="1"/>
  <c r="M68" i="1"/>
  <c r="M123" i="1" s="1"/>
  <c r="M185" i="1" s="1"/>
  <c r="N17" i="4"/>
  <c r="L17" i="4"/>
  <c r="J17" i="4"/>
  <c r="I17" i="4"/>
  <c r="F68" i="1" s="1"/>
  <c r="F123" i="1" s="1"/>
  <c r="F185" i="1" s="1"/>
  <c r="H17" i="4"/>
  <c r="E68" i="1" s="1"/>
  <c r="E123" i="1" s="1"/>
  <c r="E185" i="1" s="1"/>
  <c r="G17" i="4"/>
  <c r="D68" i="1" s="1"/>
  <c r="D123" i="1" s="1"/>
  <c r="D185" i="1" s="1"/>
  <c r="F17" i="4"/>
  <c r="C68" i="1" s="1"/>
  <c r="C123" i="1" s="1"/>
  <c r="C185" i="1" s="1"/>
  <c r="L16" i="4"/>
  <c r="I67" i="1" s="1"/>
  <c r="K16" i="4"/>
  <c r="H67" i="1" s="1"/>
  <c r="J16" i="4"/>
  <c r="G67" i="1" s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N218" i="3"/>
  <c r="K219" i="3"/>
  <c r="E219" i="3"/>
  <c r="Q218" i="3"/>
  <c r="P218" i="3"/>
  <c r="O218" i="3"/>
  <c r="L218" i="3"/>
  <c r="K218" i="3"/>
  <c r="J218" i="3"/>
  <c r="I218" i="3"/>
  <c r="H218" i="3"/>
  <c r="G218" i="3"/>
  <c r="F218" i="3"/>
  <c r="E217" i="3"/>
  <c r="Q216" i="3"/>
  <c r="P216" i="3"/>
  <c r="P215" i="3" s="1"/>
  <c r="P266" i="6" s="1"/>
  <c r="O216" i="3"/>
  <c r="N216" i="3"/>
  <c r="L216" i="3"/>
  <c r="K216" i="3"/>
  <c r="K215" i="3" s="1"/>
  <c r="J216" i="3"/>
  <c r="I216" i="3"/>
  <c r="I215" i="3" s="1"/>
  <c r="H216" i="3"/>
  <c r="G216" i="3"/>
  <c r="G215" i="3" s="1"/>
  <c r="F216" i="3"/>
  <c r="E216" i="3"/>
  <c r="Q215" i="3"/>
  <c r="Q266" i="6" s="1"/>
  <c r="O215" i="3"/>
  <c r="O266" i="6" s="1"/>
  <c r="E214" i="3"/>
  <c r="M214" i="3" s="1"/>
  <c r="D214" i="3" s="1"/>
  <c r="Q213" i="3"/>
  <c r="P213" i="3"/>
  <c r="O213" i="3"/>
  <c r="N213" i="3"/>
  <c r="L213" i="3"/>
  <c r="K213" i="3"/>
  <c r="J213" i="3"/>
  <c r="I213" i="3"/>
  <c r="H213" i="3"/>
  <c r="G213" i="3"/>
  <c r="F213" i="3"/>
  <c r="E212" i="3"/>
  <c r="M212" i="3" s="1"/>
  <c r="D212" i="3" s="1"/>
  <c r="E211" i="3"/>
  <c r="M211" i="3" s="1"/>
  <c r="D211" i="3" s="1"/>
  <c r="Z211" i="3" s="1"/>
  <c r="Q210" i="3"/>
  <c r="Q209" i="3" s="1"/>
  <c r="Q267" i="6" s="1"/>
  <c r="P210" i="3"/>
  <c r="P209" i="3" s="1"/>
  <c r="P267" i="6" s="1"/>
  <c r="O210" i="3"/>
  <c r="O209" i="3" s="1"/>
  <c r="O267" i="6" s="1"/>
  <c r="N210" i="3"/>
  <c r="N209" i="3" s="1"/>
  <c r="L210" i="3"/>
  <c r="L209" i="3" s="1"/>
  <c r="K210" i="3"/>
  <c r="K209" i="3" s="1"/>
  <c r="J210" i="3"/>
  <c r="J209" i="3" s="1"/>
  <c r="I210" i="3"/>
  <c r="I209" i="3" s="1"/>
  <c r="H210" i="3"/>
  <c r="H209" i="3" s="1"/>
  <c r="G210" i="3"/>
  <c r="G209" i="3" s="1"/>
  <c r="F210" i="3"/>
  <c r="F209" i="3" s="1"/>
  <c r="N206" i="3"/>
  <c r="L207" i="3"/>
  <c r="K207" i="3"/>
  <c r="E207" i="3"/>
  <c r="Q206" i="3"/>
  <c r="P206" i="3"/>
  <c r="O206" i="3"/>
  <c r="J206" i="3"/>
  <c r="I206" i="3"/>
  <c r="H206" i="3"/>
  <c r="G206" i="3"/>
  <c r="F206" i="3"/>
  <c r="E205" i="3"/>
  <c r="Q204" i="3"/>
  <c r="P204" i="3"/>
  <c r="O204" i="3"/>
  <c r="N204" i="3"/>
  <c r="L204" i="3"/>
  <c r="K204" i="3"/>
  <c r="J204" i="3"/>
  <c r="I204" i="3"/>
  <c r="H204" i="3"/>
  <c r="G204" i="3"/>
  <c r="F204" i="3"/>
  <c r="E202" i="3"/>
  <c r="Q201" i="3"/>
  <c r="P201" i="3"/>
  <c r="O201" i="3"/>
  <c r="J201" i="3"/>
  <c r="I201" i="3"/>
  <c r="H201" i="3"/>
  <c r="G201" i="3"/>
  <c r="F201" i="3"/>
  <c r="E200" i="3"/>
  <c r="D200" i="3" s="1"/>
  <c r="E199" i="3"/>
  <c r="D199" i="3" s="1"/>
  <c r="Q198" i="3"/>
  <c r="P198" i="3"/>
  <c r="P197" i="3" s="1"/>
  <c r="O198" i="3"/>
  <c r="N198" i="3"/>
  <c r="L198" i="3"/>
  <c r="K198" i="3"/>
  <c r="J198" i="3"/>
  <c r="I198" i="3"/>
  <c r="H198" i="3"/>
  <c r="G198" i="3"/>
  <c r="F198" i="3"/>
  <c r="P194" i="3"/>
  <c r="P192" i="3"/>
  <c r="Q191" i="3"/>
  <c r="Q189" i="3"/>
  <c r="P189" i="3"/>
  <c r="Q186" i="3"/>
  <c r="P186" i="3"/>
  <c r="Q182" i="3"/>
  <c r="P182" i="3"/>
  <c r="Q180" i="3"/>
  <c r="P180" i="3"/>
  <c r="P177" i="3"/>
  <c r="P174" i="3"/>
  <c r="H21" i="10"/>
  <c r="E21" i="10"/>
  <c r="E147" i="3"/>
  <c r="E146" i="3" s="1"/>
  <c r="P146" i="3"/>
  <c r="O146" i="3"/>
  <c r="N146" i="3"/>
  <c r="L146" i="3"/>
  <c r="K146" i="3"/>
  <c r="J146" i="3"/>
  <c r="I146" i="3"/>
  <c r="H146" i="3"/>
  <c r="G146" i="3"/>
  <c r="F146" i="3"/>
  <c r="E145" i="3"/>
  <c r="D145" i="3" s="1"/>
  <c r="D144" i="3" s="1"/>
  <c r="P144" i="3"/>
  <c r="O144" i="3"/>
  <c r="N144" i="3"/>
  <c r="L144" i="3"/>
  <c r="L143" i="3" s="1"/>
  <c r="K144" i="3"/>
  <c r="J144" i="3"/>
  <c r="I144" i="3"/>
  <c r="H144" i="3"/>
  <c r="H143" i="3" s="1"/>
  <c r="G144" i="3"/>
  <c r="F144" i="3"/>
  <c r="E142" i="3"/>
  <c r="P141" i="3"/>
  <c r="O141" i="3"/>
  <c r="N141" i="3"/>
  <c r="L141" i="3"/>
  <c r="K141" i="3"/>
  <c r="J141" i="3"/>
  <c r="I141" i="3"/>
  <c r="H141" i="3"/>
  <c r="G141" i="3"/>
  <c r="F141" i="3"/>
  <c r="E140" i="3"/>
  <c r="E139" i="3"/>
  <c r="P138" i="3"/>
  <c r="P137" i="3" s="1"/>
  <c r="P10" i="3" s="1"/>
  <c r="O138" i="3"/>
  <c r="N138" i="3"/>
  <c r="K138" i="3"/>
  <c r="J138" i="3"/>
  <c r="I138" i="3"/>
  <c r="H138" i="3"/>
  <c r="G138" i="3"/>
  <c r="F138" i="3"/>
  <c r="L23" i="3"/>
  <c r="L21" i="3" s="1"/>
  <c r="I134" i="3"/>
  <c r="H23" i="3"/>
  <c r="H21" i="3" s="1"/>
  <c r="H18" i="3" s="1"/>
  <c r="G23" i="3"/>
  <c r="G21" i="3" s="1"/>
  <c r="G18" i="3" s="1"/>
  <c r="F23" i="3"/>
  <c r="F21" i="3" s="1"/>
  <c r="F18" i="3" s="1"/>
  <c r="P134" i="3"/>
  <c r="N134" i="3"/>
  <c r="K134" i="3"/>
  <c r="H134" i="3"/>
  <c r="J20" i="3"/>
  <c r="J19" i="3" s="1"/>
  <c r="E132" i="3"/>
  <c r="P132" i="3"/>
  <c r="O132" i="3"/>
  <c r="N132" i="3"/>
  <c r="L132" i="3"/>
  <c r="K132" i="3"/>
  <c r="H132" i="3"/>
  <c r="H131" i="3" s="1"/>
  <c r="G132" i="3"/>
  <c r="F132" i="3"/>
  <c r="O17" i="3"/>
  <c r="J17" i="3"/>
  <c r="J15" i="3" s="1"/>
  <c r="I129" i="3"/>
  <c r="H17" i="3"/>
  <c r="H15" i="3" s="1"/>
  <c r="G17" i="3"/>
  <c r="G15" i="3" s="1"/>
  <c r="F17" i="3"/>
  <c r="F15" i="3" s="1"/>
  <c r="P129" i="3"/>
  <c r="N129" i="3"/>
  <c r="K129" i="3"/>
  <c r="J129" i="3"/>
  <c r="F129" i="3"/>
  <c r="J14" i="3"/>
  <c r="I14" i="3"/>
  <c r="I12" i="3" s="1"/>
  <c r="I11" i="3" s="1"/>
  <c r="O126" i="3"/>
  <c r="H12" i="3"/>
  <c r="G12" i="3"/>
  <c r="F12" i="3"/>
  <c r="P126" i="3"/>
  <c r="N126" i="3"/>
  <c r="K126" i="3"/>
  <c r="G126" i="3"/>
  <c r="E123" i="3"/>
  <c r="P122" i="3"/>
  <c r="O122" i="3"/>
  <c r="N122" i="3"/>
  <c r="L122" i="3"/>
  <c r="K122" i="3"/>
  <c r="J122" i="3"/>
  <c r="H122" i="3"/>
  <c r="G122" i="3"/>
  <c r="F122" i="3"/>
  <c r="E122" i="3"/>
  <c r="J120" i="3"/>
  <c r="E121" i="3"/>
  <c r="P120" i="3"/>
  <c r="O120" i="3"/>
  <c r="N120" i="3"/>
  <c r="N119" i="3" s="1"/>
  <c r="L120" i="3"/>
  <c r="K120" i="3"/>
  <c r="K119" i="3" s="1"/>
  <c r="I120" i="3"/>
  <c r="H120" i="3"/>
  <c r="G120" i="3"/>
  <c r="G119" i="3" s="1"/>
  <c r="F120" i="3"/>
  <c r="E120" i="3"/>
  <c r="E119" i="3" s="1"/>
  <c r="P119" i="3"/>
  <c r="J117" i="3"/>
  <c r="E118" i="3"/>
  <c r="P117" i="3"/>
  <c r="O117" i="3"/>
  <c r="N117" i="3"/>
  <c r="L117" i="3"/>
  <c r="K117" i="3"/>
  <c r="I117" i="3"/>
  <c r="H117" i="3"/>
  <c r="G117" i="3"/>
  <c r="F117" i="3"/>
  <c r="I114" i="3"/>
  <c r="E116" i="3"/>
  <c r="E115" i="3"/>
  <c r="D115" i="3" s="1"/>
  <c r="P114" i="3"/>
  <c r="O114" i="3"/>
  <c r="N114" i="3"/>
  <c r="K114" i="3"/>
  <c r="J114" i="3"/>
  <c r="H114" i="3"/>
  <c r="G114" i="3"/>
  <c r="F114" i="3"/>
  <c r="Q110" i="3"/>
  <c r="Q108" i="3"/>
  <c r="Q105" i="3"/>
  <c r="Q102" i="3"/>
  <c r="Q98" i="3"/>
  <c r="P98" i="3"/>
  <c r="O98" i="3"/>
  <c r="N98" i="3"/>
  <c r="L98" i="3"/>
  <c r="D98" i="3"/>
  <c r="N96" i="3"/>
  <c r="Q96" i="3"/>
  <c r="P96" i="3"/>
  <c r="O96" i="3"/>
  <c r="D94" i="3"/>
  <c r="Q93" i="3"/>
  <c r="P93" i="3"/>
  <c r="O93" i="3"/>
  <c r="D91" i="3"/>
  <c r="Q90" i="3"/>
  <c r="P90" i="3"/>
  <c r="O90" i="3"/>
  <c r="N90" i="3"/>
  <c r="O89" i="3"/>
  <c r="O86" i="3"/>
  <c r="P86" i="3"/>
  <c r="L86" i="3"/>
  <c r="K86" i="3"/>
  <c r="J86" i="3"/>
  <c r="I86" i="3"/>
  <c r="H86" i="3"/>
  <c r="G86" i="3"/>
  <c r="F86" i="3"/>
  <c r="E86" i="3"/>
  <c r="O84" i="3"/>
  <c r="N84" i="3"/>
  <c r="D85" i="3"/>
  <c r="P84" i="3"/>
  <c r="P83" i="3" s="1"/>
  <c r="L84" i="3"/>
  <c r="L83" i="3" s="1"/>
  <c r="K84" i="3"/>
  <c r="K83" i="3" s="1"/>
  <c r="J84" i="3"/>
  <c r="J83" i="3" s="1"/>
  <c r="I84" i="3"/>
  <c r="I83" i="3" s="1"/>
  <c r="H84" i="3"/>
  <c r="H83" i="3" s="1"/>
  <c r="G84" i="3"/>
  <c r="F84" i="3"/>
  <c r="F83" i="3" s="1"/>
  <c r="E84" i="3"/>
  <c r="E83" i="3" s="1"/>
  <c r="G83" i="3"/>
  <c r="N81" i="3"/>
  <c r="D82" i="3"/>
  <c r="P81" i="3"/>
  <c r="L81" i="3"/>
  <c r="K81" i="3"/>
  <c r="J81" i="3"/>
  <c r="I81" i="3"/>
  <c r="H81" i="3"/>
  <c r="G81" i="3"/>
  <c r="F81" i="3"/>
  <c r="E81" i="3"/>
  <c r="P78" i="3"/>
  <c r="O78" i="3"/>
  <c r="K78" i="3"/>
  <c r="J78" i="3"/>
  <c r="I78" i="3"/>
  <c r="H78" i="3"/>
  <c r="G78" i="3"/>
  <c r="F78" i="3"/>
  <c r="E78" i="3"/>
  <c r="N75" i="3"/>
  <c r="N23" i="3" s="1"/>
  <c r="N21" i="3" s="1"/>
  <c r="N18" i="3" s="1"/>
  <c r="I74" i="3"/>
  <c r="E75" i="3"/>
  <c r="E74" i="3" s="1"/>
  <c r="P74" i="3"/>
  <c r="O74" i="3"/>
  <c r="L74" i="3"/>
  <c r="H74" i="3"/>
  <c r="G74" i="3"/>
  <c r="F74" i="3"/>
  <c r="N72" i="3"/>
  <c r="J72" i="3"/>
  <c r="E73" i="3"/>
  <c r="P72" i="3"/>
  <c r="O72" i="3"/>
  <c r="L72" i="3"/>
  <c r="K72" i="3"/>
  <c r="H72" i="3"/>
  <c r="H71" i="3" s="1"/>
  <c r="G72" i="3"/>
  <c r="F72" i="3"/>
  <c r="F71" i="3" s="1"/>
  <c r="N69" i="3"/>
  <c r="I69" i="3"/>
  <c r="E70" i="3"/>
  <c r="E69" i="3" s="1"/>
  <c r="P69" i="3"/>
  <c r="O69" i="3"/>
  <c r="L69" i="3"/>
  <c r="K69" i="3"/>
  <c r="J69" i="3"/>
  <c r="H69" i="3"/>
  <c r="G69" i="3"/>
  <c r="F69" i="3"/>
  <c r="E68" i="3"/>
  <c r="E67" i="3"/>
  <c r="P66" i="3"/>
  <c r="O66" i="3"/>
  <c r="L66" i="3"/>
  <c r="K66" i="3"/>
  <c r="J66" i="3"/>
  <c r="H66" i="3"/>
  <c r="G66" i="3"/>
  <c r="F66" i="3"/>
  <c r="M61" i="3"/>
  <c r="M60" i="3" s="1"/>
  <c r="E51" i="3"/>
  <c r="H49" i="3"/>
  <c r="F49" i="3"/>
  <c r="Z49" i="3"/>
  <c r="L45" i="3"/>
  <c r="K45" i="3"/>
  <c r="J45" i="3"/>
  <c r="I45" i="3"/>
  <c r="H45" i="3"/>
  <c r="G45" i="3"/>
  <c r="F45" i="3"/>
  <c r="E45" i="3"/>
  <c r="O43" i="3"/>
  <c r="N43" i="3"/>
  <c r="L43" i="3"/>
  <c r="L42" i="3" s="1"/>
  <c r="K43" i="3"/>
  <c r="K42" i="3" s="1"/>
  <c r="J43" i="3"/>
  <c r="J42" i="3" s="1"/>
  <c r="I43" i="3"/>
  <c r="I42" i="3" s="1"/>
  <c r="H43" i="3"/>
  <c r="H42" i="3" s="1"/>
  <c r="G43" i="3"/>
  <c r="G42" i="3" s="1"/>
  <c r="F43" i="3"/>
  <c r="F42" i="3" s="1"/>
  <c r="E43" i="3"/>
  <c r="E42" i="3" s="1"/>
  <c r="L39" i="3"/>
  <c r="K39" i="3"/>
  <c r="J39" i="3"/>
  <c r="I39" i="3"/>
  <c r="H39" i="3"/>
  <c r="G39" i="3"/>
  <c r="F39" i="3"/>
  <c r="E39" i="3"/>
  <c r="E34" i="3"/>
  <c r="M34" i="3" s="1"/>
  <c r="L33" i="3"/>
  <c r="K33" i="3"/>
  <c r="J33" i="3"/>
  <c r="I33" i="3"/>
  <c r="H33" i="3"/>
  <c r="G33" i="3"/>
  <c r="F33" i="3"/>
  <c r="O32" i="3"/>
  <c r="E30" i="3"/>
  <c r="P29" i="3"/>
  <c r="P28" i="3" s="1"/>
  <c r="O29" i="3"/>
  <c r="O28" i="3" s="1"/>
  <c r="N29" i="3"/>
  <c r="N28" i="3" s="1"/>
  <c r="L29" i="3"/>
  <c r="L28" i="3" s="1"/>
  <c r="K29" i="3"/>
  <c r="K28" i="3" s="1"/>
  <c r="J29" i="3"/>
  <c r="J28" i="3" s="1"/>
  <c r="I29" i="3"/>
  <c r="I28" i="3" s="1"/>
  <c r="H29" i="3"/>
  <c r="H28" i="3" s="1"/>
  <c r="G29" i="3"/>
  <c r="G28" i="3" s="1"/>
  <c r="F29" i="3"/>
  <c r="F28" i="3" s="1"/>
  <c r="E27" i="3"/>
  <c r="E26" i="3" s="1"/>
  <c r="E25" i="3" s="1"/>
  <c r="P26" i="3"/>
  <c r="P25" i="3" s="1"/>
  <c r="O26" i="3"/>
  <c r="O25" i="3" s="1"/>
  <c r="N26" i="3"/>
  <c r="N25" i="3" s="1"/>
  <c r="K26" i="3"/>
  <c r="K25" i="3" s="1"/>
  <c r="J26" i="3"/>
  <c r="J25" i="3" s="1"/>
  <c r="I26" i="3"/>
  <c r="I25" i="3" s="1"/>
  <c r="H26" i="3"/>
  <c r="H25" i="3" s="1"/>
  <c r="G26" i="3"/>
  <c r="G25" i="3" s="1"/>
  <c r="F26" i="3"/>
  <c r="F25" i="3" s="1"/>
  <c r="R646" i="2"/>
  <c r="R645" i="2" s="1"/>
  <c r="Q646" i="2"/>
  <c r="P646" i="2"/>
  <c r="P645" i="2" s="1"/>
  <c r="O646" i="2"/>
  <c r="O645" i="2" s="1"/>
  <c r="N646" i="2"/>
  <c r="N645" i="2" s="1"/>
  <c r="L646" i="2"/>
  <c r="L645" i="2" s="1"/>
  <c r="D646" i="2"/>
  <c r="D645" i="2" s="1"/>
  <c r="Q645" i="2"/>
  <c r="N638" i="2"/>
  <c r="N637" i="2" s="1"/>
  <c r="L639" i="2"/>
  <c r="R638" i="2"/>
  <c r="R637" i="2" s="1"/>
  <c r="Q638" i="2"/>
  <c r="Q637" i="2" s="1"/>
  <c r="P638" i="2"/>
  <c r="P637" i="2" s="1"/>
  <c r="O638" i="2"/>
  <c r="O637" i="2" s="1"/>
  <c r="Q629" i="2"/>
  <c r="L631" i="2"/>
  <c r="L630" i="2" s="1"/>
  <c r="K631" i="2"/>
  <c r="R629" i="2"/>
  <c r="P629" i="2"/>
  <c r="N629" i="2"/>
  <c r="J629" i="2"/>
  <c r="R621" i="2"/>
  <c r="P621" i="2"/>
  <c r="L623" i="2"/>
  <c r="L622" i="2" s="1"/>
  <c r="K623" i="2"/>
  <c r="J623" i="2"/>
  <c r="Q621" i="2"/>
  <c r="L621" i="2"/>
  <c r="M619" i="2"/>
  <c r="Z617" i="2"/>
  <c r="L615" i="2"/>
  <c r="M615" i="2" s="1"/>
  <c r="D615" i="2" s="1"/>
  <c r="P612" i="2"/>
  <c r="M102" i="1" s="1"/>
  <c r="O612" i="2"/>
  <c r="L102" i="1" s="1"/>
  <c r="N612" i="2"/>
  <c r="H612" i="2"/>
  <c r="E102" i="1" s="1"/>
  <c r="G612" i="2"/>
  <c r="D102" i="1" s="1"/>
  <c r="F612" i="2"/>
  <c r="C102" i="1" s="1"/>
  <c r="Q612" i="2"/>
  <c r="N102" i="1" s="1"/>
  <c r="L611" i="2"/>
  <c r="M611" i="2" s="1"/>
  <c r="D611" i="2" s="1"/>
  <c r="L610" i="2"/>
  <c r="M610" i="2" s="1"/>
  <c r="D610" i="2" s="1"/>
  <c r="R609" i="2"/>
  <c r="R608" i="2" s="1"/>
  <c r="Q609" i="2"/>
  <c r="Q608" i="2" s="1"/>
  <c r="N609" i="2"/>
  <c r="N608" i="2" s="1"/>
  <c r="L606" i="2"/>
  <c r="L605" i="2" s="1"/>
  <c r="L604" i="2" s="1"/>
  <c r="K606" i="2"/>
  <c r="K605" i="2" s="1"/>
  <c r="K604" i="2" s="1"/>
  <c r="J606" i="2"/>
  <c r="J538" i="2" s="1"/>
  <c r="R605" i="2"/>
  <c r="R604" i="2" s="1"/>
  <c r="Q605" i="2"/>
  <c r="Q604" i="2" s="1"/>
  <c r="P605" i="2"/>
  <c r="P604" i="2" s="1"/>
  <c r="O605" i="2"/>
  <c r="O604" i="2" s="1"/>
  <c r="D594" i="2"/>
  <c r="D593" i="2" s="1"/>
  <c r="N594" i="2"/>
  <c r="N593" i="2" s="1"/>
  <c r="L594" i="2"/>
  <c r="L593" i="2" s="1"/>
  <c r="K594" i="2"/>
  <c r="K593" i="2" s="1"/>
  <c r="J594" i="2"/>
  <c r="J593" i="2" s="1"/>
  <c r="I594" i="2"/>
  <c r="I593" i="2" s="1"/>
  <c r="H594" i="2"/>
  <c r="H593" i="2" s="1"/>
  <c r="G594" i="2"/>
  <c r="G593" i="2" s="1"/>
  <c r="F594" i="2"/>
  <c r="F593" i="2" s="1"/>
  <c r="E594" i="2"/>
  <c r="E593" i="2" s="1"/>
  <c r="L590" i="2"/>
  <c r="L589" i="2" s="1"/>
  <c r="E591" i="2"/>
  <c r="M591" i="2" s="1"/>
  <c r="D591" i="2" s="1"/>
  <c r="D590" i="2" s="1"/>
  <c r="N590" i="2"/>
  <c r="N589" i="2" s="1"/>
  <c r="K590" i="2"/>
  <c r="K589" i="2" s="1"/>
  <c r="I590" i="2"/>
  <c r="I589" i="2" s="1"/>
  <c r="H590" i="2"/>
  <c r="H589" i="2" s="1"/>
  <c r="G590" i="2"/>
  <c r="G589" i="2" s="1"/>
  <c r="F590" i="2"/>
  <c r="F589" i="2" s="1"/>
  <c r="N586" i="2"/>
  <c r="N585" i="2" s="1"/>
  <c r="L587" i="2"/>
  <c r="I587" i="2"/>
  <c r="I586" i="2" s="1"/>
  <c r="I585" i="2" s="1"/>
  <c r="E587" i="2"/>
  <c r="P586" i="2"/>
  <c r="P585" i="2" s="1"/>
  <c r="O586" i="2"/>
  <c r="O585" i="2" s="1"/>
  <c r="K586" i="2"/>
  <c r="K585" i="2" s="1"/>
  <c r="J586" i="2"/>
  <c r="J585" i="2" s="1"/>
  <c r="H586" i="2"/>
  <c r="H585" i="2" s="1"/>
  <c r="G586" i="2"/>
  <c r="G585" i="2" s="1"/>
  <c r="F586" i="2"/>
  <c r="F585" i="2" s="1"/>
  <c r="D582" i="2"/>
  <c r="D581" i="2" s="1"/>
  <c r="I582" i="2"/>
  <c r="I581" i="2" s="1"/>
  <c r="H582" i="2"/>
  <c r="H581" i="2" s="1"/>
  <c r="G582" i="2"/>
  <c r="G581" i="2" s="1"/>
  <c r="F582" i="2"/>
  <c r="F581" i="2" s="1"/>
  <c r="E582" i="2"/>
  <c r="E581" i="2" s="1"/>
  <c r="I579" i="2"/>
  <c r="I538" i="2" s="1"/>
  <c r="E579" i="2"/>
  <c r="H578" i="2"/>
  <c r="H577" i="2" s="1"/>
  <c r="G578" i="2"/>
  <c r="G577" i="2" s="1"/>
  <c r="F578" i="2"/>
  <c r="F577" i="2" s="1"/>
  <c r="L571" i="2"/>
  <c r="K571" i="2"/>
  <c r="K538" i="2" s="1"/>
  <c r="E571" i="2"/>
  <c r="R570" i="2"/>
  <c r="R569" i="2" s="1"/>
  <c r="Q570" i="2"/>
  <c r="Q569" i="2" s="1"/>
  <c r="P570" i="2"/>
  <c r="P569" i="2" s="1"/>
  <c r="O570" i="2"/>
  <c r="O569" i="2" s="1"/>
  <c r="J570" i="2"/>
  <c r="J569" i="2" s="1"/>
  <c r="I570" i="2"/>
  <c r="I569" i="2" s="1"/>
  <c r="H570" i="2"/>
  <c r="H569" i="2" s="1"/>
  <c r="G570" i="2"/>
  <c r="G569" i="2" s="1"/>
  <c r="F570" i="2"/>
  <c r="F569" i="2" s="1"/>
  <c r="R566" i="2"/>
  <c r="R565" i="2" s="1"/>
  <c r="Q566" i="2"/>
  <c r="O566" i="2"/>
  <c r="O565" i="2" s="1"/>
  <c r="N566" i="2"/>
  <c r="N565" i="2" s="1"/>
  <c r="L566" i="2"/>
  <c r="L565" i="2" s="1"/>
  <c r="K566" i="2"/>
  <c r="K565" i="2" s="1"/>
  <c r="J566" i="2"/>
  <c r="J565" i="2" s="1"/>
  <c r="Q565" i="2"/>
  <c r="Q535" i="2" s="1"/>
  <c r="E563" i="2"/>
  <c r="M563" i="2" s="1"/>
  <c r="D563" i="2" s="1"/>
  <c r="P562" i="2"/>
  <c r="P561" i="2" s="1"/>
  <c r="O562" i="2"/>
  <c r="O561" i="2" s="1"/>
  <c r="N562" i="2"/>
  <c r="N561" i="2" s="1"/>
  <c r="L562" i="2"/>
  <c r="L561" i="2" s="1"/>
  <c r="K562" i="2"/>
  <c r="K561" i="2" s="1"/>
  <c r="J562" i="2"/>
  <c r="J561" i="2" s="1"/>
  <c r="I562" i="2"/>
  <c r="I561" i="2" s="1"/>
  <c r="H562" i="2"/>
  <c r="H561" i="2" s="1"/>
  <c r="G562" i="2"/>
  <c r="G561" i="2" s="1"/>
  <c r="F562" i="2"/>
  <c r="F561" i="2" s="1"/>
  <c r="E560" i="2"/>
  <c r="M560" i="2" s="1"/>
  <c r="D560" i="2" s="1"/>
  <c r="N559" i="2"/>
  <c r="N538" i="2" s="1"/>
  <c r="E559" i="2"/>
  <c r="E538" i="2" s="1"/>
  <c r="P558" i="2"/>
  <c r="L558" i="2"/>
  <c r="L557" i="2" s="1"/>
  <c r="K558" i="2"/>
  <c r="K557" i="2" s="1"/>
  <c r="J558" i="2"/>
  <c r="J557" i="2" s="1"/>
  <c r="I558" i="2"/>
  <c r="I557" i="2" s="1"/>
  <c r="H558" i="2"/>
  <c r="H557" i="2" s="1"/>
  <c r="H535" i="2" s="1"/>
  <c r="G558" i="2"/>
  <c r="G557" i="2" s="1"/>
  <c r="F558" i="2"/>
  <c r="F557" i="2" s="1"/>
  <c r="F535" i="2" s="1"/>
  <c r="P557" i="2"/>
  <c r="R550" i="2"/>
  <c r="R549" i="2" s="1"/>
  <c r="Q550" i="2"/>
  <c r="Q549" i="2" s="1"/>
  <c r="P550" i="2"/>
  <c r="P549" i="2" s="1"/>
  <c r="L550" i="2"/>
  <c r="L549" i="2" s="1"/>
  <c r="K550" i="2"/>
  <c r="J550" i="2"/>
  <c r="J549" i="2" s="1"/>
  <c r="I550" i="2"/>
  <c r="I549" i="2" s="1"/>
  <c r="I534" i="2" s="1"/>
  <c r="H550" i="2"/>
  <c r="H549" i="2" s="1"/>
  <c r="H534" i="2" s="1"/>
  <c r="G550" i="2"/>
  <c r="G549" i="2" s="1"/>
  <c r="G534" i="2" s="1"/>
  <c r="F550" i="2"/>
  <c r="F549" i="2" s="1"/>
  <c r="F534" i="2" s="1"/>
  <c r="E550" i="2"/>
  <c r="E549" i="2" s="1"/>
  <c r="E534" i="2" s="1"/>
  <c r="N549" i="2"/>
  <c r="K549" i="2"/>
  <c r="R546" i="2"/>
  <c r="O78" i="1" s="1"/>
  <c r="O76" i="1" s="1"/>
  <c r="O75" i="1" s="1"/>
  <c r="O86" i="1" s="1"/>
  <c r="Q546" i="2"/>
  <c r="N78" i="1" s="1"/>
  <c r="P546" i="2"/>
  <c r="M78" i="1" s="1"/>
  <c r="O546" i="2"/>
  <c r="L78" i="1" s="1"/>
  <c r="N546" i="2"/>
  <c r="L546" i="2"/>
  <c r="I78" i="1" s="1"/>
  <c r="K546" i="2"/>
  <c r="H78" i="1" s="1"/>
  <c r="J546" i="2"/>
  <c r="G78" i="1" s="1"/>
  <c r="I546" i="2"/>
  <c r="F78" i="1" s="1"/>
  <c r="H546" i="2"/>
  <c r="E78" i="1" s="1"/>
  <c r="G546" i="2"/>
  <c r="D78" i="1" s="1"/>
  <c r="F546" i="2"/>
  <c r="C78" i="1" s="1"/>
  <c r="R540" i="2"/>
  <c r="O69" i="1" s="1"/>
  <c r="Q540" i="2"/>
  <c r="N69" i="1" s="1"/>
  <c r="P540" i="2"/>
  <c r="M69" i="1" s="1"/>
  <c r="O540" i="2"/>
  <c r="N540" i="2"/>
  <c r="K540" i="2"/>
  <c r="H69" i="1" s="1"/>
  <c r="J540" i="2"/>
  <c r="G69" i="1" s="1"/>
  <c r="I540" i="2"/>
  <c r="F69" i="1" s="1"/>
  <c r="H540" i="2"/>
  <c r="E69" i="1" s="1"/>
  <c r="G540" i="2"/>
  <c r="D69" i="1" s="1"/>
  <c r="F540" i="2"/>
  <c r="C69" i="1" s="1"/>
  <c r="R530" i="2"/>
  <c r="Q530" i="2"/>
  <c r="Q529" i="2" s="1"/>
  <c r="P530" i="2"/>
  <c r="P529" i="2" s="1"/>
  <c r="O530" i="2"/>
  <c r="O529" i="2" s="1"/>
  <c r="R529" i="2"/>
  <c r="R527" i="2"/>
  <c r="Q527" i="2"/>
  <c r="P527" i="2"/>
  <c r="O527" i="2"/>
  <c r="N527" i="2"/>
  <c r="N526" i="2"/>
  <c r="M526" i="2" s="1"/>
  <c r="R525" i="2"/>
  <c r="Q525" i="2"/>
  <c r="P525" i="2"/>
  <c r="Q522" i="2"/>
  <c r="Q521" i="2" s="1"/>
  <c r="Q520" i="2" s="1"/>
  <c r="O39" i="10" s="1"/>
  <c r="P522" i="2"/>
  <c r="P521" i="2" s="1"/>
  <c r="P520" i="2" s="1"/>
  <c r="N39" i="10" s="1"/>
  <c r="O522" i="2"/>
  <c r="O521" i="2" s="1"/>
  <c r="O520" i="2" s="1"/>
  <c r="M39" i="10" s="1"/>
  <c r="Q519" i="2"/>
  <c r="Q518" i="2" s="1"/>
  <c r="P519" i="2"/>
  <c r="O519" i="2"/>
  <c r="N519" i="2"/>
  <c r="N20" i="2" s="1"/>
  <c r="Q517" i="2"/>
  <c r="Q516" i="2" s="1"/>
  <c r="P517" i="2"/>
  <c r="O512" i="2"/>
  <c r="O511" i="2" s="1"/>
  <c r="N513" i="2"/>
  <c r="N512" i="2" s="1"/>
  <c r="N511" i="2" s="1"/>
  <c r="E513" i="2"/>
  <c r="P512" i="2"/>
  <c r="P511" i="2" s="1"/>
  <c r="L512" i="2"/>
  <c r="L511" i="2" s="1"/>
  <c r="K512" i="2"/>
  <c r="K511" i="2" s="1"/>
  <c r="J512" i="2"/>
  <c r="J511" i="2" s="1"/>
  <c r="I512" i="2"/>
  <c r="I511" i="2" s="1"/>
  <c r="H512" i="2"/>
  <c r="H511" i="2" s="1"/>
  <c r="G512" i="2"/>
  <c r="G511" i="2" s="1"/>
  <c r="F512" i="2"/>
  <c r="F511" i="2" s="1"/>
  <c r="N509" i="2"/>
  <c r="I510" i="2"/>
  <c r="I478" i="2" s="1"/>
  <c r="E510" i="2"/>
  <c r="P509" i="2"/>
  <c r="L509" i="2"/>
  <c r="K509" i="2"/>
  <c r="J509" i="2"/>
  <c r="I509" i="2"/>
  <c r="H509" i="2"/>
  <c r="G509" i="2"/>
  <c r="F509" i="2"/>
  <c r="I508" i="2"/>
  <c r="E508" i="2"/>
  <c r="P507" i="2"/>
  <c r="P506" i="2" s="1"/>
  <c r="N507" i="2"/>
  <c r="L507" i="2"/>
  <c r="K507" i="2"/>
  <c r="J507" i="2"/>
  <c r="H507" i="2"/>
  <c r="H506" i="2" s="1"/>
  <c r="H10" i="2" s="1"/>
  <c r="G507" i="2"/>
  <c r="F507" i="2"/>
  <c r="F506" i="2" s="1"/>
  <c r="F10" i="2" s="1"/>
  <c r="N503" i="2"/>
  <c r="N501" i="2" s="1"/>
  <c r="L503" i="2"/>
  <c r="D502" i="2"/>
  <c r="K501" i="2"/>
  <c r="J501" i="2"/>
  <c r="I501" i="2"/>
  <c r="H501" i="2"/>
  <c r="G501" i="2"/>
  <c r="F501" i="2"/>
  <c r="E501" i="2"/>
  <c r="N497" i="2"/>
  <c r="P497" i="2"/>
  <c r="O497" i="2"/>
  <c r="O496" i="2" s="1"/>
  <c r="K497" i="2"/>
  <c r="J497" i="2"/>
  <c r="I497" i="2"/>
  <c r="H497" i="2"/>
  <c r="G497" i="2"/>
  <c r="F497" i="2"/>
  <c r="E497" i="2"/>
  <c r="L478" i="2"/>
  <c r="P493" i="2"/>
  <c r="O493" i="2"/>
  <c r="N493" i="2"/>
  <c r="L493" i="2"/>
  <c r="K493" i="2"/>
  <c r="J493" i="2"/>
  <c r="I493" i="2"/>
  <c r="H493" i="2"/>
  <c r="G493" i="2"/>
  <c r="F493" i="2"/>
  <c r="E493" i="2"/>
  <c r="L476" i="2"/>
  <c r="O489" i="2"/>
  <c r="N474" i="2"/>
  <c r="P489" i="2"/>
  <c r="L489" i="2"/>
  <c r="K489" i="2"/>
  <c r="J489" i="2"/>
  <c r="I489" i="2"/>
  <c r="H489" i="2"/>
  <c r="G489" i="2"/>
  <c r="F489" i="2"/>
  <c r="E489" i="2"/>
  <c r="R486" i="2"/>
  <c r="R34" i="2" s="1"/>
  <c r="O43" i="1" s="1"/>
  <c r="O146" i="1" s="1"/>
  <c r="O208" i="1" s="1"/>
  <c r="Q486" i="2"/>
  <c r="Q34" i="2" s="1"/>
  <c r="N43" i="1" s="1"/>
  <c r="N146" i="1" s="1"/>
  <c r="N208" i="1" s="1"/>
  <c r="P486" i="2"/>
  <c r="P34" i="2" s="1"/>
  <c r="M43" i="1" s="1"/>
  <c r="M146" i="1" s="1"/>
  <c r="M208" i="1" s="1"/>
  <c r="O486" i="2"/>
  <c r="O34" i="2" s="1"/>
  <c r="L43" i="1" s="1"/>
  <c r="N486" i="2"/>
  <c r="N34" i="2" s="1"/>
  <c r="K43" i="1" s="1"/>
  <c r="K146" i="1" s="1"/>
  <c r="K208" i="1" s="1"/>
  <c r="L486" i="2"/>
  <c r="L34" i="2" s="1"/>
  <c r="I43" i="1" s="1"/>
  <c r="I146" i="1" s="1"/>
  <c r="I208" i="1" s="1"/>
  <c r="K486" i="2"/>
  <c r="K34" i="2" s="1"/>
  <c r="H43" i="1" s="1"/>
  <c r="H146" i="1" s="1"/>
  <c r="H208" i="1" s="1"/>
  <c r="J486" i="2"/>
  <c r="J34" i="2" s="1"/>
  <c r="G43" i="1" s="1"/>
  <c r="G146" i="1" s="1"/>
  <c r="G208" i="1" s="1"/>
  <c r="I486" i="2"/>
  <c r="I34" i="2" s="1"/>
  <c r="F43" i="1" s="1"/>
  <c r="F146" i="1" s="1"/>
  <c r="F208" i="1" s="1"/>
  <c r="H486" i="2"/>
  <c r="H34" i="2" s="1"/>
  <c r="E43" i="1" s="1"/>
  <c r="E146" i="1" s="1"/>
  <c r="E208" i="1" s="1"/>
  <c r="G486" i="2"/>
  <c r="G34" i="2" s="1"/>
  <c r="D43" i="1" s="1"/>
  <c r="D146" i="1" s="1"/>
  <c r="D208" i="1" s="1"/>
  <c r="F486" i="2"/>
  <c r="F34" i="2" s="1"/>
  <c r="C43" i="1" s="1"/>
  <c r="C146" i="1" s="1"/>
  <c r="C208" i="1" s="1"/>
  <c r="E486" i="2"/>
  <c r="E34" i="2" s="1"/>
  <c r="B43" i="1" s="1"/>
  <c r="B146" i="1" s="1"/>
  <c r="B208" i="1" s="1"/>
  <c r="R485" i="2"/>
  <c r="Q485" i="2"/>
  <c r="P485" i="2"/>
  <c r="K485" i="2"/>
  <c r="K484" i="2" s="1"/>
  <c r="J485" i="2"/>
  <c r="I485" i="2"/>
  <c r="I484" i="2" s="1"/>
  <c r="H485" i="2"/>
  <c r="G485" i="2"/>
  <c r="G484" i="2" s="1"/>
  <c r="F485" i="2"/>
  <c r="R483" i="2"/>
  <c r="R27" i="2" s="1"/>
  <c r="O38" i="1" s="1"/>
  <c r="Q483" i="2"/>
  <c r="Q27" i="2" s="1"/>
  <c r="N38" i="1" s="1"/>
  <c r="P483" i="2"/>
  <c r="O483" i="2"/>
  <c r="K483" i="2"/>
  <c r="K27" i="2" s="1"/>
  <c r="H38" i="1" s="1"/>
  <c r="J483" i="2"/>
  <c r="I483" i="2"/>
  <c r="H483" i="2"/>
  <c r="G483" i="2"/>
  <c r="F483" i="2"/>
  <c r="E483" i="2"/>
  <c r="R482" i="2"/>
  <c r="R25" i="2" s="1"/>
  <c r="Q482" i="2"/>
  <c r="Q25" i="2" s="1"/>
  <c r="N34" i="1" s="1"/>
  <c r="P482" i="2"/>
  <c r="P25" i="2" s="1"/>
  <c r="M34" i="1" s="1"/>
  <c r="O482" i="2"/>
  <c r="O25" i="2" s="1"/>
  <c r="N482" i="2"/>
  <c r="L482" i="2"/>
  <c r="L25" i="2" s="1"/>
  <c r="K482" i="2"/>
  <c r="K25" i="2" s="1"/>
  <c r="J482" i="2"/>
  <c r="J25" i="2" s="1"/>
  <c r="I482" i="2"/>
  <c r="I25" i="2" s="1"/>
  <c r="H482" i="2"/>
  <c r="H25" i="2" s="1"/>
  <c r="G482" i="2"/>
  <c r="G25" i="2" s="1"/>
  <c r="D34" i="1" s="1"/>
  <c r="F482" i="2"/>
  <c r="F25" i="2" s="1"/>
  <c r="E482" i="2"/>
  <c r="E25" i="2" s="1"/>
  <c r="R479" i="2"/>
  <c r="R22" i="2" s="1"/>
  <c r="O28" i="1" s="1"/>
  <c r="Q479" i="2"/>
  <c r="Q22" i="2" s="1"/>
  <c r="N28" i="1" s="1"/>
  <c r="N131" i="1" s="1"/>
  <c r="N193" i="1" s="1"/>
  <c r="P479" i="2"/>
  <c r="O479" i="2"/>
  <c r="N479" i="2"/>
  <c r="N22" i="2" s="1"/>
  <c r="K28" i="1" s="1"/>
  <c r="K131" i="1" s="1"/>
  <c r="K193" i="1" s="1"/>
  <c r="L479" i="2"/>
  <c r="L22" i="2" s="1"/>
  <c r="I28" i="1" s="1"/>
  <c r="I131" i="1" s="1"/>
  <c r="I193" i="1" s="1"/>
  <c r="K479" i="2"/>
  <c r="K22" i="2" s="1"/>
  <c r="H28" i="1" s="1"/>
  <c r="H131" i="1" s="1"/>
  <c r="H193" i="1" s="1"/>
  <c r="J479" i="2"/>
  <c r="J22" i="2" s="1"/>
  <c r="G28" i="1" s="1"/>
  <c r="G131" i="1" s="1"/>
  <c r="G193" i="1" s="1"/>
  <c r="I479" i="2"/>
  <c r="I22" i="2" s="1"/>
  <c r="F28" i="1" s="1"/>
  <c r="F131" i="1" s="1"/>
  <c r="F193" i="1" s="1"/>
  <c r="H479" i="2"/>
  <c r="H22" i="2" s="1"/>
  <c r="E28" i="1" s="1"/>
  <c r="E131" i="1" s="1"/>
  <c r="E193" i="1" s="1"/>
  <c r="G479" i="2"/>
  <c r="G22" i="2" s="1"/>
  <c r="D28" i="1" s="1"/>
  <c r="D131" i="1" s="1"/>
  <c r="D193" i="1" s="1"/>
  <c r="F479" i="2"/>
  <c r="F22" i="2" s="1"/>
  <c r="C28" i="1" s="1"/>
  <c r="C131" i="1" s="1"/>
  <c r="C193" i="1" s="1"/>
  <c r="E479" i="2"/>
  <c r="E22" i="2" s="1"/>
  <c r="B28" i="1" s="1"/>
  <c r="B131" i="1" s="1"/>
  <c r="B193" i="1" s="1"/>
  <c r="R478" i="2"/>
  <c r="Q478" i="2"/>
  <c r="P478" i="2"/>
  <c r="K478" i="2"/>
  <c r="J478" i="2"/>
  <c r="H478" i="2"/>
  <c r="G478" i="2"/>
  <c r="F478" i="2"/>
  <c r="R476" i="2"/>
  <c r="Q476" i="2"/>
  <c r="P476" i="2"/>
  <c r="P17" i="2" s="1"/>
  <c r="O476" i="2"/>
  <c r="O17" i="2" s="1"/>
  <c r="L22" i="1" s="1"/>
  <c r="N476" i="2"/>
  <c r="K476" i="2"/>
  <c r="K17" i="2" s="1"/>
  <c r="J476" i="2"/>
  <c r="I476" i="2"/>
  <c r="H476" i="2"/>
  <c r="G476" i="2"/>
  <c r="F476" i="2"/>
  <c r="E476" i="2"/>
  <c r="R475" i="2"/>
  <c r="R15" i="2" s="1"/>
  <c r="O19" i="1" s="1"/>
  <c r="Q475" i="2"/>
  <c r="Q15" i="2" s="1"/>
  <c r="N19" i="1" s="1"/>
  <c r="P475" i="2"/>
  <c r="O475" i="2"/>
  <c r="N475" i="2"/>
  <c r="N15" i="2" s="1"/>
  <c r="L475" i="2"/>
  <c r="L15" i="2" s="1"/>
  <c r="K475" i="2"/>
  <c r="K15" i="2" s="1"/>
  <c r="J475" i="2"/>
  <c r="J15" i="2" s="1"/>
  <c r="I475" i="2"/>
  <c r="I15" i="2" s="1"/>
  <c r="H475" i="2"/>
  <c r="H15" i="2" s="1"/>
  <c r="E19" i="1" s="1"/>
  <c r="G475" i="2"/>
  <c r="G15" i="2" s="1"/>
  <c r="D19" i="1" s="1"/>
  <c r="F475" i="2"/>
  <c r="F15" i="2" s="1"/>
  <c r="C19" i="1" s="1"/>
  <c r="E475" i="2"/>
  <c r="E15" i="2" s="1"/>
  <c r="R474" i="2"/>
  <c r="Q474" i="2"/>
  <c r="P474" i="2"/>
  <c r="L474" i="2"/>
  <c r="K474" i="2"/>
  <c r="J474" i="2"/>
  <c r="H474" i="2"/>
  <c r="G474" i="2"/>
  <c r="F474" i="2"/>
  <c r="E397" i="2"/>
  <c r="E388" i="2" s="1"/>
  <c r="P396" i="2"/>
  <c r="P395" i="2" s="1"/>
  <c r="O396" i="2"/>
  <c r="O395" i="2" s="1"/>
  <c r="N396" i="2"/>
  <c r="N395" i="2" s="1"/>
  <c r="K396" i="2"/>
  <c r="J396" i="2"/>
  <c r="J395" i="2" s="1"/>
  <c r="I396" i="2"/>
  <c r="I395" i="2" s="1"/>
  <c r="H396" i="2"/>
  <c r="H395" i="2" s="1"/>
  <c r="G396" i="2"/>
  <c r="G395" i="2" s="1"/>
  <c r="F396" i="2"/>
  <c r="F395" i="2" s="1"/>
  <c r="K395" i="2"/>
  <c r="E394" i="2"/>
  <c r="E383" i="2" s="1"/>
  <c r="P393" i="2"/>
  <c r="O393" i="2"/>
  <c r="N393" i="2"/>
  <c r="L393" i="2"/>
  <c r="K393" i="2"/>
  <c r="J393" i="2"/>
  <c r="I393" i="2"/>
  <c r="H393" i="2"/>
  <c r="G393" i="2"/>
  <c r="F393" i="2"/>
  <c r="N392" i="2"/>
  <c r="N380" i="2" s="1"/>
  <c r="N379" i="2" s="1"/>
  <c r="N378" i="2" s="1"/>
  <c r="L392" i="2"/>
  <c r="L380" i="2" s="1"/>
  <c r="L379" i="2" s="1"/>
  <c r="E392" i="2"/>
  <c r="E380" i="2" s="1"/>
  <c r="E379" i="2" s="1"/>
  <c r="P391" i="2"/>
  <c r="O391" i="2"/>
  <c r="H391" i="2"/>
  <c r="G391" i="2"/>
  <c r="F391" i="2"/>
  <c r="P387" i="2"/>
  <c r="K387" i="2"/>
  <c r="J387" i="2"/>
  <c r="I387" i="2"/>
  <c r="H387" i="2"/>
  <c r="G387" i="2"/>
  <c r="O387" i="2"/>
  <c r="F387" i="2"/>
  <c r="P382" i="2"/>
  <c r="L382" i="2"/>
  <c r="K382" i="2"/>
  <c r="K378" i="2" s="1"/>
  <c r="H382" i="2"/>
  <c r="H378" i="2" s="1"/>
  <c r="G382" i="2"/>
  <c r="G378" i="2" s="1"/>
  <c r="F382" i="2"/>
  <c r="F378" i="2" s="1"/>
  <c r="P379" i="2"/>
  <c r="P378" i="2" s="1"/>
  <c r="O220" i="2"/>
  <c r="O219" i="2" s="1"/>
  <c r="E221" i="2"/>
  <c r="M221" i="2" s="1"/>
  <c r="D221" i="2" s="1"/>
  <c r="P220" i="2"/>
  <c r="N220" i="2"/>
  <c r="L220" i="2"/>
  <c r="K220" i="2"/>
  <c r="J220" i="2"/>
  <c r="I220" i="2"/>
  <c r="H220" i="2"/>
  <c r="G220" i="2"/>
  <c r="F220" i="2"/>
  <c r="E220" i="2"/>
  <c r="P219" i="2"/>
  <c r="N219" i="2"/>
  <c r="L219" i="2"/>
  <c r="K219" i="2"/>
  <c r="J219" i="2"/>
  <c r="I219" i="2"/>
  <c r="H219" i="2"/>
  <c r="G219" i="2"/>
  <c r="F219" i="2"/>
  <c r="E219" i="2"/>
  <c r="I218" i="2"/>
  <c r="I217" i="2" s="1"/>
  <c r="E218" i="2"/>
  <c r="P217" i="2"/>
  <c r="O217" i="2"/>
  <c r="N217" i="2"/>
  <c r="L217" i="2"/>
  <c r="K217" i="2"/>
  <c r="J217" i="2"/>
  <c r="H217" i="2"/>
  <c r="G217" i="2"/>
  <c r="F217" i="2"/>
  <c r="E217" i="2"/>
  <c r="I216" i="2"/>
  <c r="I215" i="2" s="1"/>
  <c r="E216" i="2"/>
  <c r="P215" i="2"/>
  <c r="O215" i="2"/>
  <c r="N215" i="2"/>
  <c r="L215" i="2"/>
  <c r="K215" i="2"/>
  <c r="J215" i="2"/>
  <c r="H215" i="2"/>
  <c r="G215" i="2"/>
  <c r="F215" i="2"/>
  <c r="P211" i="2"/>
  <c r="P210" i="2" s="1"/>
  <c r="O211" i="2"/>
  <c r="O210" i="2" s="1"/>
  <c r="N211" i="2"/>
  <c r="N210" i="2" s="1"/>
  <c r="D209" i="2"/>
  <c r="P208" i="2"/>
  <c r="P207" i="2" s="1"/>
  <c r="E246" i="2"/>
  <c r="M246" i="2" s="1"/>
  <c r="D246" i="2" s="1"/>
  <c r="P245" i="2"/>
  <c r="O245" i="2"/>
  <c r="O244" i="2" s="1"/>
  <c r="N245" i="2"/>
  <c r="N244" i="2" s="1"/>
  <c r="L245" i="2"/>
  <c r="L244" i="2" s="1"/>
  <c r="K245" i="2"/>
  <c r="K244" i="2" s="1"/>
  <c r="J245" i="2"/>
  <c r="J244" i="2" s="1"/>
  <c r="I245" i="2"/>
  <c r="I244" i="2" s="1"/>
  <c r="H245" i="2"/>
  <c r="H244" i="2" s="1"/>
  <c r="G245" i="2"/>
  <c r="G244" i="2" s="1"/>
  <c r="F245" i="2"/>
  <c r="F244" i="2" s="1"/>
  <c r="P244" i="2"/>
  <c r="I243" i="2"/>
  <c r="I242" i="2" s="1"/>
  <c r="E243" i="2"/>
  <c r="P242" i="2"/>
  <c r="O242" i="2"/>
  <c r="N242" i="2"/>
  <c r="L242" i="2"/>
  <c r="K242" i="2"/>
  <c r="J242" i="2"/>
  <c r="H242" i="2"/>
  <c r="G242" i="2"/>
  <c r="F242" i="2"/>
  <c r="L240" i="2"/>
  <c r="I241" i="2"/>
  <c r="I240" i="2" s="1"/>
  <c r="E241" i="2"/>
  <c r="P240" i="2"/>
  <c r="O240" i="2"/>
  <c r="K240" i="2"/>
  <c r="J240" i="2"/>
  <c r="H240" i="2"/>
  <c r="G240" i="2"/>
  <c r="F240" i="2"/>
  <c r="E205" i="2"/>
  <c r="P204" i="2"/>
  <c r="P203" i="2" s="1"/>
  <c r="O204" i="2"/>
  <c r="O203" i="2" s="1"/>
  <c r="N204" i="2"/>
  <c r="N203" i="2" s="1"/>
  <c r="L204" i="2"/>
  <c r="L203" i="2" s="1"/>
  <c r="K204" i="2"/>
  <c r="K203" i="2" s="1"/>
  <c r="J204" i="2"/>
  <c r="J203" i="2" s="1"/>
  <c r="I204" i="2"/>
  <c r="I203" i="2" s="1"/>
  <c r="H204" i="2"/>
  <c r="H203" i="2" s="1"/>
  <c r="G204" i="2"/>
  <c r="G203" i="2" s="1"/>
  <c r="F204" i="2"/>
  <c r="F203" i="2" s="1"/>
  <c r="E202" i="2"/>
  <c r="P201" i="2"/>
  <c r="O201" i="2"/>
  <c r="N201" i="2"/>
  <c r="L201" i="2"/>
  <c r="K201" i="2"/>
  <c r="J201" i="2"/>
  <c r="I201" i="2"/>
  <c r="H201" i="2"/>
  <c r="G201" i="2"/>
  <c r="F201" i="2"/>
  <c r="N200" i="2"/>
  <c r="L200" i="2"/>
  <c r="L199" i="2" s="1"/>
  <c r="I199" i="2"/>
  <c r="E200" i="2"/>
  <c r="P199" i="2"/>
  <c r="O199" i="2"/>
  <c r="N199" i="2"/>
  <c r="K199" i="2"/>
  <c r="J199" i="2"/>
  <c r="H199" i="2"/>
  <c r="G199" i="2"/>
  <c r="F199" i="2"/>
  <c r="E196" i="2"/>
  <c r="M196" i="2" s="1"/>
  <c r="D196" i="2" s="1"/>
  <c r="N195" i="2"/>
  <c r="N194" i="2" s="1"/>
  <c r="L195" i="2"/>
  <c r="L194" i="2" s="1"/>
  <c r="K195" i="2"/>
  <c r="K194" i="2" s="1"/>
  <c r="J195" i="2"/>
  <c r="J194" i="2" s="1"/>
  <c r="I195" i="2"/>
  <c r="I194" i="2" s="1"/>
  <c r="H195" i="2"/>
  <c r="H194" i="2" s="1"/>
  <c r="G195" i="2"/>
  <c r="G194" i="2" s="1"/>
  <c r="F195" i="2"/>
  <c r="F194" i="2" s="1"/>
  <c r="N192" i="2"/>
  <c r="L192" i="2"/>
  <c r="K192" i="2"/>
  <c r="J192" i="2"/>
  <c r="I192" i="2"/>
  <c r="H192" i="2"/>
  <c r="G192" i="2"/>
  <c r="F192" i="2"/>
  <c r="E192" i="2"/>
  <c r="D192" i="2"/>
  <c r="N190" i="2"/>
  <c r="L190" i="2"/>
  <c r="K190" i="2"/>
  <c r="J190" i="2"/>
  <c r="I190" i="2"/>
  <c r="H190" i="2"/>
  <c r="G190" i="2"/>
  <c r="F190" i="2"/>
  <c r="E190" i="2"/>
  <c r="O187" i="2"/>
  <c r="O52" i="2" s="1"/>
  <c r="L187" i="2"/>
  <c r="E187" i="2"/>
  <c r="P186" i="2"/>
  <c r="O186" i="2"/>
  <c r="N186" i="2"/>
  <c r="K186" i="2"/>
  <c r="J186" i="2"/>
  <c r="I186" i="2"/>
  <c r="H186" i="2"/>
  <c r="G186" i="2"/>
  <c r="F186" i="2"/>
  <c r="E186" i="2"/>
  <c r="E185" i="2"/>
  <c r="P184" i="2"/>
  <c r="O184" i="2"/>
  <c r="N184" i="2"/>
  <c r="L184" i="2"/>
  <c r="K184" i="2"/>
  <c r="J184" i="2"/>
  <c r="I184" i="2"/>
  <c r="H184" i="2"/>
  <c r="G184" i="2"/>
  <c r="F184" i="2"/>
  <c r="L182" i="2"/>
  <c r="P181" i="2"/>
  <c r="O181" i="2"/>
  <c r="K181" i="2"/>
  <c r="J181" i="2"/>
  <c r="I181" i="2"/>
  <c r="H181" i="2"/>
  <c r="G181" i="2"/>
  <c r="F181" i="2"/>
  <c r="E181" i="2"/>
  <c r="H17" i="12"/>
  <c r="L179" i="2"/>
  <c r="L178" i="2" s="1"/>
  <c r="E179" i="2"/>
  <c r="P178" i="2"/>
  <c r="P177" i="2" s="1"/>
  <c r="I16" i="12" s="1"/>
  <c r="N178" i="2"/>
  <c r="K178" i="2"/>
  <c r="K177" i="2" s="1"/>
  <c r="J178" i="2"/>
  <c r="J177" i="2" s="1"/>
  <c r="I178" i="2"/>
  <c r="I177" i="2" s="1"/>
  <c r="H178" i="2"/>
  <c r="H177" i="2" s="1"/>
  <c r="G178" i="2"/>
  <c r="G177" i="2" s="1"/>
  <c r="F178" i="2"/>
  <c r="F177" i="2" s="1"/>
  <c r="N174" i="2"/>
  <c r="N173" i="2" s="1"/>
  <c r="L175" i="2"/>
  <c r="E175" i="2"/>
  <c r="P174" i="2"/>
  <c r="P173" i="2" s="1"/>
  <c r="O174" i="2"/>
  <c r="O173" i="2" s="1"/>
  <c r="K174" i="2"/>
  <c r="K173" i="2" s="1"/>
  <c r="J174" i="2"/>
  <c r="J173" i="2" s="1"/>
  <c r="I174" i="2"/>
  <c r="I173" i="2" s="1"/>
  <c r="H174" i="2"/>
  <c r="H173" i="2" s="1"/>
  <c r="G174" i="2"/>
  <c r="G173" i="2" s="1"/>
  <c r="F174" i="2"/>
  <c r="F173" i="2" s="1"/>
  <c r="L171" i="2"/>
  <c r="K172" i="2"/>
  <c r="K171" i="2" s="1"/>
  <c r="J172" i="2"/>
  <c r="J171" i="2" s="1"/>
  <c r="I172" i="2"/>
  <c r="I171" i="2" s="1"/>
  <c r="E172" i="2"/>
  <c r="P171" i="2"/>
  <c r="O171" i="2"/>
  <c r="H171" i="2"/>
  <c r="G171" i="2"/>
  <c r="F171" i="2"/>
  <c r="K170" i="2"/>
  <c r="P169" i="2"/>
  <c r="O169" i="2"/>
  <c r="N169" i="2"/>
  <c r="L169" i="2"/>
  <c r="J169" i="2"/>
  <c r="I169" i="2"/>
  <c r="H169" i="2"/>
  <c r="G169" i="2"/>
  <c r="F169" i="2"/>
  <c r="E169" i="2"/>
  <c r="O165" i="2"/>
  <c r="N166" i="2"/>
  <c r="L166" i="2"/>
  <c r="J166" i="2"/>
  <c r="E166" i="2"/>
  <c r="P165" i="2"/>
  <c r="K165" i="2"/>
  <c r="I165" i="2"/>
  <c r="H165" i="2"/>
  <c r="G165" i="2"/>
  <c r="F165" i="2"/>
  <c r="L164" i="2"/>
  <c r="L163" i="2" s="1"/>
  <c r="E164" i="2"/>
  <c r="P163" i="2"/>
  <c r="O163" i="2"/>
  <c r="N163" i="2"/>
  <c r="K163" i="2"/>
  <c r="J163" i="2"/>
  <c r="I163" i="2"/>
  <c r="H163" i="2"/>
  <c r="G163" i="2"/>
  <c r="F163" i="2"/>
  <c r="K161" i="2"/>
  <c r="J161" i="2"/>
  <c r="I161" i="2"/>
  <c r="E161" i="2"/>
  <c r="P160" i="2"/>
  <c r="O160" i="2"/>
  <c r="K160" i="2"/>
  <c r="H160" i="2"/>
  <c r="G160" i="2"/>
  <c r="F160" i="2"/>
  <c r="K159" i="2"/>
  <c r="P158" i="2"/>
  <c r="O158" i="2"/>
  <c r="N158" i="2"/>
  <c r="L158" i="2"/>
  <c r="J158" i="2"/>
  <c r="I158" i="2"/>
  <c r="H158" i="2"/>
  <c r="G158" i="2"/>
  <c r="F158" i="2"/>
  <c r="E158" i="2"/>
  <c r="L155" i="2"/>
  <c r="J155" i="2"/>
  <c r="J154" i="2" s="1"/>
  <c r="E155" i="2"/>
  <c r="E154" i="2" s="1"/>
  <c r="P154" i="2"/>
  <c r="O154" i="2"/>
  <c r="N154" i="2"/>
  <c r="K154" i="2"/>
  <c r="I154" i="2"/>
  <c r="H154" i="2"/>
  <c r="G154" i="2"/>
  <c r="F154" i="2"/>
  <c r="L153" i="2"/>
  <c r="L152" i="2" s="1"/>
  <c r="E153" i="2"/>
  <c r="P152" i="2"/>
  <c r="O152" i="2"/>
  <c r="O151" i="2" s="1"/>
  <c r="N152" i="2"/>
  <c r="K152" i="2"/>
  <c r="J152" i="2"/>
  <c r="I152" i="2"/>
  <c r="H152" i="2"/>
  <c r="G152" i="2"/>
  <c r="F152" i="2"/>
  <c r="E152" i="2"/>
  <c r="K150" i="2"/>
  <c r="I150" i="2"/>
  <c r="I149" i="2" s="1"/>
  <c r="E150" i="2"/>
  <c r="P149" i="2"/>
  <c r="O149" i="2"/>
  <c r="N149" i="2"/>
  <c r="L149" i="2"/>
  <c r="J149" i="2"/>
  <c r="H149" i="2"/>
  <c r="G149" i="2"/>
  <c r="F149" i="2"/>
  <c r="K148" i="2"/>
  <c r="N147" i="2"/>
  <c r="L147" i="2"/>
  <c r="L146" i="2" s="1"/>
  <c r="K147" i="2"/>
  <c r="P146" i="2"/>
  <c r="X146" i="2" s="1"/>
  <c r="X145" i="2" s="1"/>
  <c r="O146" i="2"/>
  <c r="J146" i="2"/>
  <c r="I146" i="2"/>
  <c r="H146" i="2"/>
  <c r="G146" i="2"/>
  <c r="F146" i="2"/>
  <c r="E146" i="2"/>
  <c r="E350" i="2"/>
  <c r="M350" i="2" s="1"/>
  <c r="D350" i="2" s="1"/>
  <c r="P349" i="2"/>
  <c r="P346" i="2" s="1"/>
  <c r="O349" i="2"/>
  <c r="O346" i="2" s="1"/>
  <c r="N349" i="2"/>
  <c r="N346" i="2" s="1"/>
  <c r="K349" i="2"/>
  <c r="K346" i="2" s="1"/>
  <c r="J349" i="2"/>
  <c r="J346" i="2" s="1"/>
  <c r="I349" i="2"/>
  <c r="I346" i="2" s="1"/>
  <c r="H349" i="2"/>
  <c r="H346" i="2" s="1"/>
  <c r="G349" i="2"/>
  <c r="G346" i="2" s="1"/>
  <c r="F349" i="2"/>
  <c r="F346" i="2" s="1"/>
  <c r="E349" i="2"/>
  <c r="E346" i="2" s="1"/>
  <c r="J344" i="2"/>
  <c r="I345" i="2"/>
  <c r="I344" i="2" s="1"/>
  <c r="E345" i="2"/>
  <c r="P344" i="2"/>
  <c r="O344" i="2"/>
  <c r="O340" i="2" s="1"/>
  <c r="N344" i="2"/>
  <c r="L344" i="2"/>
  <c r="K344" i="2"/>
  <c r="H344" i="2"/>
  <c r="H340" i="2" s="1"/>
  <c r="G344" i="2"/>
  <c r="F344" i="2"/>
  <c r="F340" i="2" s="1"/>
  <c r="I342" i="2"/>
  <c r="E342" i="2"/>
  <c r="E143" i="2"/>
  <c r="D143" i="2" s="1"/>
  <c r="D142" i="2" s="1"/>
  <c r="P142" i="2"/>
  <c r="O142" i="2"/>
  <c r="N142" i="2"/>
  <c r="L142" i="2"/>
  <c r="K142" i="2"/>
  <c r="J142" i="2"/>
  <c r="I142" i="2"/>
  <c r="H142" i="2"/>
  <c r="G142" i="2"/>
  <c r="F142" i="2"/>
  <c r="E141" i="2"/>
  <c r="D141" i="2" s="1"/>
  <c r="D140" i="2" s="1"/>
  <c r="P140" i="2"/>
  <c r="O140" i="2"/>
  <c r="N140" i="2"/>
  <c r="L140" i="2"/>
  <c r="K140" i="2"/>
  <c r="J140" i="2"/>
  <c r="I140" i="2"/>
  <c r="H140" i="2"/>
  <c r="G140" i="2"/>
  <c r="F140" i="2"/>
  <c r="E138" i="2"/>
  <c r="D138" i="2" s="1"/>
  <c r="D137" i="2" s="1"/>
  <c r="P137" i="2"/>
  <c r="O137" i="2"/>
  <c r="N137" i="2"/>
  <c r="L137" i="2"/>
  <c r="K137" i="2"/>
  <c r="J137" i="2"/>
  <c r="I137" i="2"/>
  <c r="H137" i="2"/>
  <c r="G137" i="2"/>
  <c r="F137" i="2"/>
  <c r="E136" i="2"/>
  <c r="D136" i="2" s="1"/>
  <c r="E135" i="2"/>
  <c r="D135" i="2" s="1"/>
  <c r="P134" i="2"/>
  <c r="O134" i="2"/>
  <c r="O133" i="2" s="1"/>
  <c r="N134" i="2"/>
  <c r="L134" i="2"/>
  <c r="L133" i="2" s="1"/>
  <c r="K134" i="2"/>
  <c r="J134" i="2"/>
  <c r="J133" i="2" s="1"/>
  <c r="I134" i="2"/>
  <c r="H134" i="2"/>
  <c r="H133" i="2" s="1"/>
  <c r="G134" i="2"/>
  <c r="F134" i="2"/>
  <c r="F133" i="2" s="1"/>
  <c r="N130" i="2"/>
  <c r="N129" i="2" s="1"/>
  <c r="L130" i="2"/>
  <c r="L129" i="2" s="1"/>
  <c r="J131" i="2"/>
  <c r="E131" i="2"/>
  <c r="P130" i="2"/>
  <c r="P129" i="2" s="1"/>
  <c r="O130" i="2"/>
  <c r="O129" i="2" s="1"/>
  <c r="K130" i="2"/>
  <c r="K129" i="2" s="1"/>
  <c r="I130" i="2"/>
  <c r="I129" i="2" s="1"/>
  <c r="H130" i="2"/>
  <c r="H129" i="2" s="1"/>
  <c r="G130" i="2"/>
  <c r="G129" i="2" s="1"/>
  <c r="F130" i="2"/>
  <c r="F129" i="2" s="1"/>
  <c r="I128" i="2"/>
  <c r="E128" i="2"/>
  <c r="P127" i="2"/>
  <c r="O127" i="2"/>
  <c r="K127" i="2"/>
  <c r="J127" i="2"/>
  <c r="H127" i="2"/>
  <c r="G127" i="2"/>
  <c r="F127" i="2"/>
  <c r="E127" i="2"/>
  <c r="J126" i="2"/>
  <c r="E126" i="2"/>
  <c r="P125" i="2"/>
  <c r="O125" i="2"/>
  <c r="K125" i="2"/>
  <c r="I125" i="2"/>
  <c r="H125" i="2"/>
  <c r="G125" i="2"/>
  <c r="F125" i="2"/>
  <c r="I338" i="2"/>
  <c r="I337" i="2" s="1"/>
  <c r="E338" i="2"/>
  <c r="P337" i="2"/>
  <c r="O337" i="2"/>
  <c r="N337" i="2"/>
  <c r="L337" i="2"/>
  <c r="K337" i="2"/>
  <c r="J337" i="2"/>
  <c r="H337" i="2"/>
  <c r="G337" i="2"/>
  <c r="F337" i="2"/>
  <c r="E336" i="2"/>
  <c r="D336" i="2" s="1"/>
  <c r="D335" i="2" s="1"/>
  <c r="P335" i="2"/>
  <c r="O335" i="2"/>
  <c r="N335" i="2"/>
  <c r="L335" i="2"/>
  <c r="K335" i="2"/>
  <c r="J335" i="2"/>
  <c r="I335" i="2"/>
  <c r="H335" i="2"/>
  <c r="G335" i="2"/>
  <c r="F335" i="2"/>
  <c r="E333" i="2"/>
  <c r="M333" i="2" s="1"/>
  <c r="P332" i="2"/>
  <c r="O332" i="2"/>
  <c r="N332" i="2"/>
  <c r="L332" i="2"/>
  <c r="K332" i="2"/>
  <c r="J332" i="2"/>
  <c r="I332" i="2"/>
  <c r="H332" i="2"/>
  <c r="G332" i="2"/>
  <c r="F332" i="2"/>
  <c r="D331" i="2"/>
  <c r="P329" i="2"/>
  <c r="O329" i="2"/>
  <c r="L329" i="2"/>
  <c r="K329" i="2"/>
  <c r="J329" i="2"/>
  <c r="I329" i="2"/>
  <c r="H329" i="2"/>
  <c r="G329" i="2"/>
  <c r="F329" i="2"/>
  <c r="E329" i="2"/>
  <c r="E376" i="2"/>
  <c r="M376" i="2" s="1"/>
  <c r="P375" i="2"/>
  <c r="O375" i="2"/>
  <c r="N375" i="2"/>
  <c r="N371" i="2" s="1"/>
  <c r="L375" i="2"/>
  <c r="J375" i="2"/>
  <c r="I375" i="2"/>
  <c r="H375" i="2"/>
  <c r="G375" i="2"/>
  <c r="F375" i="2"/>
  <c r="E375" i="2"/>
  <c r="I46" i="2"/>
  <c r="I26" i="2" s="1"/>
  <c r="E374" i="2"/>
  <c r="P371" i="2"/>
  <c r="J369" i="2"/>
  <c r="I369" i="2"/>
  <c r="E370" i="2"/>
  <c r="E369" i="2" s="1"/>
  <c r="P369" i="2"/>
  <c r="O369" i="2"/>
  <c r="N369" i="2"/>
  <c r="L369" i="2"/>
  <c r="K369" i="2"/>
  <c r="H369" i="2"/>
  <c r="G369" i="2"/>
  <c r="F369" i="2"/>
  <c r="E368" i="2"/>
  <c r="E366" i="2"/>
  <c r="E274" i="2"/>
  <c r="M274" i="2" s="1"/>
  <c r="P273" i="2"/>
  <c r="O273" i="2"/>
  <c r="N273" i="2"/>
  <c r="L273" i="2"/>
  <c r="K273" i="2"/>
  <c r="J273" i="2"/>
  <c r="I273" i="2"/>
  <c r="H273" i="2"/>
  <c r="G273" i="2"/>
  <c r="F273" i="2"/>
  <c r="E272" i="2"/>
  <c r="P271" i="2"/>
  <c r="O271" i="2"/>
  <c r="N271" i="2"/>
  <c r="L271" i="2"/>
  <c r="K271" i="2"/>
  <c r="J271" i="2"/>
  <c r="I271" i="2"/>
  <c r="H271" i="2"/>
  <c r="G271" i="2"/>
  <c r="F271" i="2"/>
  <c r="D268" i="2"/>
  <c r="P268" i="2"/>
  <c r="O268" i="2"/>
  <c r="N268" i="2"/>
  <c r="L268" i="2"/>
  <c r="K268" i="2"/>
  <c r="J268" i="2"/>
  <c r="I268" i="2"/>
  <c r="H268" i="2"/>
  <c r="G268" i="2"/>
  <c r="F268" i="2"/>
  <c r="E268" i="2"/>
  <c r="P265" i="2"/>
  <c r="O265" i="2"/>
  <c r="N265" i="2"/>
  <c r="L265" i="2"/>
  <c r="K265" i="2"/>
  <c r="J265" i="2"/>
  <c r="I265" i="2"/>
  <c r="H265" i="2"/>
  <c r="G265" i="2"/>
  <c r="F265" i="2"/>
  <c r="E265" i="2"/>
  <c r="L362" i="2"/>
  <c r="L361" i="2" s="1"/>
  <c r="L358" i="2" s="1"/>
  <c r="J361" i="2"/>
  <c r="J358" i="2" s="1"/>
  <c r="I362" i="2"/>
  <c r="I52" i="2" s="1"/>
  <c r="E362" i="2"/>
  <c r="P361" i="2"/>
  <c r="P358" i="2" s="1"/>
  <c r="O361" i="2"/>
  <c r="O358" i="2" s="1"/>
  <c r="K361" i="2"/>
  <c r="K358" i="2" s="1"/>
  <c r="H361" i="2"/>
  <c r="H358" i="2" s="1"/>
  <c r="G361" i="2"/>
  <c r="G358" i="2" s="1"/>
  <c r="F361" i="2"/>
  <c r="F358" i="2" s="1"/>
  <c r="H356" i="2"/>
  <c r="P356" i="2"/>
  <c r="O356" i="2"/>
  <c r="N356" i="2"/>
  <c r="L356" i="2"/>
  <c r="K356" i="2"/>
  <c r="K352" i="2" s="1"/>
  <c r="J356" i="2"/>
  <c r="I356" i="2"/>
  <c r="I352" i="2" s="1"/>
  <c r="F356" i="2"/>
  <c r="L354" i="2"/>
  <c r="J352" i="2"/>
  <c r="N122" i="2"/>
  <c r="N121" i="2" s="1"/>
  <c r="L122" i="2"/>
  <c r="E122" i="2"/>
  <c r="P121" i="2"/>
  <c r="O121" i="2"/>
  <c r="L121" i="2"/>
  <c r="K121" i="2"/>
  <c r="J121" i="2"/>
  <c r="I121" i="2"/>
  <c r="H121" i="2"/>
  <c r="G121" i="2"/>
  <c r="F121" i="2"/>
  <c r="N119" i="2"/>
  <c r="L120" i="2"/>
  <c r="L119" i="2" s="1"/>
  <c r="L118" i="2" s="1"/>
  <c r="E120" i="2"/>
  <c r="P119" i="2"/>
  <c r="O119" i="2"/>
  <c r="K119" i="2"/>
  <c r="J119" i="2"/>
  <c r="I119" i="2"/>
  <c r="H119" i="2"/>
  <c r="G119" i="2"/>
  <c r="F119" i="2"/>
  <c r="E117" i="2"/>
  <c r="P116" i="2"/>
  <c r="O116" i="2"/>
  <c r="N116" i="2"/>
  <c r="L116" i="2"/>
  <c r="K116" i="2"/>
  <c r="J116" i="2"/>
  <c r="I116" i="2"/>
  <c r="H116" i="2"/>
  <c r="G116" i="2"/>
  <c r="F116" i="2"/>
  <c r="E114" i="2"/>
  <c r="M114" i="2" s="1"/>
  <c r="D114" i="2" s="1"/>
  <c r="D113" i="2" s="1"/>
  <c r="P113" i="2"/>
  <c r="O113" i="2"/>
  <c r="N113" i="2"/>
  <c r="L113" i="2"/>
  <c r="K113" i="2"/>
  <c r="J113" i="2"/>
  <c r="I113" i="2"/>
  <c r="H113" i="2"/>
  <c r="G113" i="2"/>
  <c r="F113" i="2"/>
  <c r="L110" i="2"/>
  <c r="M110" i="2" s="1"/>
  <c r="D110" i="2" s="1"/>
  <c r="E109" i="2"/>
  <c r="D109" i="2" s="1"/>
  <c r="P108" i="2"/>
  <c r="O108" i="2"/>
  <c r="N108" i="2"/>
  <c r="K108" i="2"/>
  <c r="J108" i="2"/>
  <c r="I108" i="2"/>
  <c r="H108" i="2"/>
  <c r="G108" i="2"/>
  <c r="F108" i="2"/>
  <c r="E108" i="2"/>
  <c r="L107" i="2"/>
  <c r="L106" i="2" s="1"/>
  <c r="J107" i="2"/>
  <c r="J47" i="2" s="1"/>
  <c r="J28" i="2" s="1"/>
  <c r="G39" i="1" s="1"/>
  <c r="E107" i="2"/>
  <c r="P106" i="2"/>
  <c r="O106" i="2"/>
  <c r="N106" i="2"/>
  <c r="K106" i="2"/>
  <c r="J106" i="2"/>
  <c r="I106" i="2"/>
  <c r="H106" i="2"/>
  <c r="G106" i="2"/>
  <c r="F106" i="2"/>
  <c r="E106" i="2"/>
  <c r="J104" i="2"/>
  <c r="J102" i="2" s="1"/>
  <c r="I104" i="2"/>
  <c r="D103" i="2"/>
  <c r="P102" i="2"/>
  <c r="O102" i="2"/>
  <c r="N102" i="2"/>
  <c r="L102" i="2"/>
  <c r="K102" i="2"/>
  <c r="H102" i="2"/>
  <c r="G102" i="2"/>
  <c r="F102" i="2"/>
  <c r="E102" i="2"/>
  <c r="J101" i="2"/>
  <c r="J40" i="2" s="1"/>
  <c r="J18" i="2" s="1"/>
  <c r="G24" i="1" s="1"/>
  <c r="G129" i="1" s="1"/>
  <c r="G190" i="1" s="1"/>
  <c r="I101" i="2"/>
  <c r="N100" i="2"/>
  <c r="L100" i="2"/>
  <c r="L99" i="2" s="1"/>
  <c r="J100" i="2"/>
  <c r="J99" i="2" s="1"/>
  <c r="E100" i="2"/>
  <c r="P99" i="2"/>
  <c r="O99" i="2"/>
  <c r="K99" i="2"/>
  <c r="H99" i="2"/>
  <c r="G99" i="2"/>
  <c r="F99" i="2"/>
  <c r="E261" i="2"/>
  <c r="P260" i="2"/>
  <c r="O260" i="2"/>
  <c r="N260" i="2"/>
  <c r="L260" i="2"/>
  <c r="K260" i="2"/>
  <c r="J260" i="2"/>
  <c r="I260" i="2"/>
  <c r="H260" i="2"/>
  <c r="G260" i="2"/>
  <c r="F260" i="2"/>
  <c r="E258" i="2"/>
  <c r="P257" i="2"/>
  <c r="O257" i="2"/>
  <c r="N257" i="2"/>
  <c r="L257" i="2"/>
  <c r="K257" i="2"/>
  <c r="J257" i="2"/>
  <c r="I257" i="2"/>
  <c r="H257" i="2"/>
  <c r="G257" i="2"/>
  <c r="F257" i="2"/>
  <c r="E255" i="2"/>
  <c r="P253" i="2"/>
  <c r="P248" i="2" s="1"/>
  <c r="O253" i="2"/>
  <c r="O248" i="2" s="1"/>
  <c r="N253" i="2"/>
  <c r="N248" i="2" s="1"/>
  <c r="L253" i="2"/>
  <c r="L248" i="2" s="1"/>
  <c r="K253" i="2"/>
  <c r="K248" i="2" s="1"/>
  <c r="J253" i="2"/>
  <c r="J248" i="2" s="1"/>
  <c r="I253" i="2"/>
  <c r="H253" i="2"/>
  <c r="G253" i="2"/>
  <c r="G248" i="2" s="1"/>
  <c r="F253" i="2"/>
  <c r="F248" i="2" s="1"/>
  <c r="I251" i="2"/>
  <c r="I249" i="2" s="1"/>
  <c r="H251" i="2"/>
  <c r="L96" i="2"/>
  <c r="E96" i="2"/>
  <c r="D95" i="2"/>
  <c r="P94" i="2"/>
  <c r="O94" i="2"/>
  <c r="N94" i="2"/>
  <c r="L94" i="2"/>
  <c r="K94" i="2"/>
  <c r="J94" i="2"/>
  <c r="I94" i="2"/>
  <c r="H94" i="2"/>
  <c r="G94" i="2"/>
  <c r="F94" i="2"/>
  <c r="L92" i="2"/>
  <c r="M92" i="2" s="1"/>
  <c r="D92" i="2" s="1"/>
  <c r="P91" i="2"/>
  <c r="O91" i="2"/>
  <c r="N91" i="2"/>
  <c r="K91" i="2"/>
  <c r="K90" i="2" s="1"/>
  <c r="J91" i="2"/>
  <c r="I91" i="2"/>
  <c r="H91" i="2"/>
  <c r="G91" i="2"/>
  <c r="G90" i="2" s="1"/>
  <c r="F91" i="2"/>
  <c r="E91" i="2"/>
  <c r="M89" i="2"/>
  <c r="D89" i="2" s="1"/>
  <c r="D88" i="2"/>
  <c r="P87" i="2"/>
  <c r="O87" i="2"/>
  <c r="N87" i="2"/>
  <c r="L87" i="2"/>
  <c r="J87" i="2"/>
  <c r="I87" i="2"/>
  <c r="H87" i="2"/>
  <c r="G87" i="2"/>
  <c r="F87" i="2"/>
  <c r="E87" i="2"/>
  <c r="L84" i="2"/>
  <c r="L83" i="2" s="1"/>
  <c r="P83" i="2"/>
  <c r="O83" i="2"/>
  <c r="J83" i="2"/>
  <c r="I83" i="2"/>
  <c r="H83" i="2"/>
  <c r="G83" i="2"/>
  <c r="F83" i="2"/>
  <c r="E83" i="2"/>
  <c r="L78" i="2"/>
  <c r="E80" i="2"/>
  <c r="P78" i="2"/>
  <c r="O78" i="2"/>
  <c r="N78" i="2"/>
  <c r="K78" i="2"/>
  <c r="J78" i="2"/>
  <c r="I78" i="2"/>
  <c r="H78" i="2"/>
  <c r="G78" i="2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G72" i="2"/>
  <c r="F72" i="2"/>
  <c r="E71" i="2"/>
  <c r="M70" i="2"/>
  <c r="P69" i="2"/>
  <c r="O69" i="2"/>
  <c r="K69" i="2"/>
  <c r="J69" i="2"/>
  <c r="I69" i="2"/>
  <c r="H69" i="2"/>
  <c r="G69" i="2"/>
  <c r="F69" i="2"/>
  <c r="E237" i="2"/>
  <c r="D236" i="2"/>
  <c r="P235" i="2"/>
  <c r="O235" i="2"/>
  <c r="N235" i="2"/>
  <c r="P232" i="2"/>
  <c r="O232" i="2"/>
  <c r="N232" i="2"/>
  <c r="E230" i="2"/>
  <c r="E227" i="2"/>
  <c r="E225" i="2" s="1"/>
  <c r="P225" i="2"/>
  <c r="O225" i="2"/>
  <c r="N225" i="2"/>
  <c r="L225" i="2"/>
  <c r="K225" i="2"/>
  <c r="J225" i="2"/>
  <c r="I225" i="2"/>
  <c r="H225" i="2"/>
  <c r="G225" i="2"/>
  <c r="F225" i="2"/>
  <c r="E66" i="2"/>
  <c r="D65" i="2"/>
  <c r="P64" i="2"/>
  <c r="O64" i="2"/>
  <c r="N64" i="2"/>
  <c r="L64" i="2"/>
  <c r="K64" i="2"/>
  <c r="J64" i="2"/>
  <c r="I64" i="2"/>
  <c r="H64" i="2"/>
  <c r="G64" i="2"/>
  <c r="F64" i="2"/>
  <c r="M63" i="2"/>
  <c r="P62" i="2"/>
  <c r="O62" i="2"/>
  <c r="N62" i="2"/>
  <c r="L62" i="2"/>
  <c r="K62" i="2"/>
  <c r="J62" i="2"/>
  <c r="I62" i="2"/>
  <c r="H62" i="2"/>
  <c r="G62" i="2"/>
  <c r="F62" i="2"/>
  <c r="E62" i="2"/>
  <c r="I60" i="2"/>
  <c r="H60" i="2"/>
  <c r="H43" i="2" s="1"/>
  <c r="G60" i="2"/>
  <c r="E59" i="2"/>
  <c r="D59" i="2" s="1"/>
  <c r="P58" i="2"/>
  <c r="O58" i="2"/>
  <c r="N58" i="2"/>
  <c r="L58" i="2"/>
  <c r="K58" i="2"/>
  <c r="J58" i="2"/>
  <c r="F58" i="2"/>
  <c r="I55" i="2"/>
  <c r="G55" i="2"/>
  <c r="P55" i="2"/>
  <c r="O55" i="2"/>
  <c r="K55" i="2"/>
  <c r="J55" i="2"/>
  <c r="H55" i="2"/>
  <c r="F55" i="2"/>
  <c r="R51" i="2"/>
  <c r="R31" i="2" s="1"/>
  <c r="Q51" i="2"/>
  <c r="Q31" i="2" s="1"/>
  <c r="P51" i="2"/>
  <c r="P31" i="2" s="1"/>
  <c r="M42" i="1" s="1"/>
  <c r="O51" i="2"/>
  <c r="O31" i="2" s="1"/>
  <c r="L42" i="1" s="1"/>
  <c r="N51" i="2"/>
  <c r="N31" i="2" s="1"/>
  <c r="K42" i="1" s="1"/>
  <c r="L51" i="2"/>
  <c r="L31" i="2" s="1"/>
  <c r="I42" i="1" s="1"/>
  <c r="K51" i="2"/>
  <c r="K31" i="2" s="1"/>
  <c r="H42" i="1" s="1"/>
  <c r="J51" i="2"/>
  <c r="I51" i="2"/>
  <c r="I31" i="2" s="1"/>
  <c r="F42" i="1" s="1"/>
  <c r="H51" i="2"/>
  <c r="G51" i="2"/>
  <c r="G50" i="2" s="1"/>
  <c r="F51" i="2"/>
  <c r="F31" i="2" s="1"/>
  <c r="C42" i="1" s="1"/>
  <c r="R48" i="2"/>
  <c r="R29" i="2" s="1"/>
  <c r="O40" i="1" s="1"/>
  <c r="O144" i="1" s="1"/>
  <c r="O206" i="1" s="1"/>
  <c r="Q48" i="2"/>
  <c r="Q29" i="2" s="1"/>
  <c r="N40" i="1" s="1"/>
  <c r="N144" i="1" s="1"/>
  <c r="N206" i="1" s="1"/>
  <c r="P48" i="2"/>
  <c r="P29" i="2" s="1"/>
  <c r="M40" i="1" s="1"/>
  <c r="M144" i="1" s="1"/>
  <c r="M206" i="1" s="1"/>
  <c r="O48" i="2"/>
  <c r="O29" i="2" s="1"/>
  <c r="L40" i="1" s="1"/>
  <c r="N48" i="2"/>
  <c r="N29" i="2" s="1"/>
  <c r="K40" i="1" s="1"/>
  <c r="K144" i="1" s="1"/>
  <c r="K206" i="1" s="1"/>
  <c r="K48" i="2"/>
  <c r="K29" i="2" s="1"/>
  <c r="H40" i="1" s="1"/>
  <c r="H144" i="1" s="1"/>
  <c r="H206" i="1" s="1"/>
  <c r="J48" i="2"/>
  <c r="J29" i="2" s="1"/>
  <c r="G40" i="1" s="1"/>
  <c r="G144" i="1" s="1"/>
  <c r="G206" i="1" s="1"/>
  <c r="I48" i="2"/>
  <c r="I29" i="2" s="1"/>
  <c r="F40" i="1" s="1"/>
  <c r="F144" i="1" s="1"/>
  <c r="F206" i="1" s="1"/>
  <c r="H48" i="2"/>
  <c r="H29" i="2" s="1"/>
  <c r="E40" i="1" s="1"/>
  <c r="E144" i="1" s="1"/>
  <c r="E206" i="1" s="1"/>
  <c r="G48" i="2"/>
  <c r="G29" i="2" s="1"/>
  <c r="D40" i="1" s="1"/>
  <c r="D144" i="1" s="1"/>
  <c r="D206" i="1" s="1"/>
  <c r="F48" i="2"/>
  <c r="F29" i="2" s="1"/>
  <c r="C40" i="1" s="1"/>
  <c r="C144" i="1" s="1"/>
  <c r="C206" i="1" s="1"/>
  <c r="R47" i="2"/>
  <c r="R28" i="2" s="1"/>
  <c r="O39" i="1" s="1"/>
  <c r="O143" i="1" s="1"/>
  <c r="O205" i="1" s="1"/>
  <c r="Q47" i="2"/>
  <c r="Q28" i="2" s="1"/>
  <c r="N39" i="1" s="1"/>
  <c r="N143" i="1" s="1"/>
  <c r="N205" i="1" s="1"/>
  <c r="P47" i="2"/>
  <c r="P28" i="2" s="1"/>
  <c r="M39" i="1" s="1"/>
  <c r="O47" i="2"/>
  <c r="O28" i="2" s="1"/>
  <c r="L39" i="1" s="1"/>
  <c r="K47" i="2"/>
  <c r="K28" i="2" s="1"/>
  <c r="H39" i="1" s="1"/>
  <c r="I47" i="2"/>
  <c r="I28" i="2" s="1"/>
  <c r="F39" i="1" s="1"/>
  <c r="H47" i="2"/>
  <c r="H28" i="2" s="1"/>
  <c r="E39" i="1" s="1"/>
  <c r="G47" i="2"/>
  <c r="G28" i="2" s="1"/>
  <c r="D39" i="1" s="1"/>
  <c r="F47" i="2"/>
  <c r="F28" i="2" s="1"/>
  <c r="C39" i="1" s="1"/>
  <c r="R46" i="2"/>
  <c r="R26" i="2" s="1"/>
  <c r="Q46" i="2"/>
  <c r="Q26" i="2" s="1"/>
  <c r="P46" i="2"/>
  <c r="P26" i="2" s="1"/>
  <c r="O46" i="2"/>
  <c r="O26" i="2" s="1"/>
  <c r="N46" i="2"/>
  <c r="N26" i="2" s="1"/>
  <c r="K46" i="2"/>
  <c r="K26" i="2" s="1"/>
  <c r="J46" i="2"/>
  <c r="J26" i="2" s="1"/>
  <c r="H46" i="2"/>
  <c r="H26" i="2" s="1"/>
  <c r="G46" i="2"/>
  <c r="G26" i="2" s="1"/>
  <c r="F46" i="2"/>
  <c r="F26" i="2" s="1"/>
  <c r="R42" i="2"/>
  <c r="Q42" i="2"/>
  <c r="F42" i="2"/>
  <c r="R40" i="2"/>
  <c r="R18" i="2" s="1"/>
  <c r="O24" i="1" s="1"/>
  <c r="Q40" i="2"/>
  <c r="Q18" i="2" s="1"/>
  <c r="N24" i="1" s="1"/>
  <c r="N129" i="1" s="1"/>
  <c r="N190" i="1" s="1"/>
  <c r="P40" i="2"/>
  <c r="O40" i="2"/>
  <c r="O18" i="2" s="1"/>
  <c r="L24" i="1" s="1"/>
  <c r="N40" i="2"/>
  <c r="N18" i="2" s="1"/>
  <c r="K24" i="1" s="1"/>
  <c r="K129" i="1" s="1"/>
  <c r="K190" i="1" s="1"/>
  <c r="L40" i="2"/>
  <c r="L18" i="2" s="1"/>
  <c r="I24" i="1" s="1"/>
  <c r="I129" i="1" s="1"/>
  <c r="I190" i="1" s="1"/>
  <c r="F40" i="2"/>
  <c r="F18" i="2" s="1"/>
  <c r="C24" i="1" s="1"/>
  <c r="C129" i="1" s="1"/>
  <c r="C190" i="1" s="1"/>
  <c r="R39" i="2"/>
  <c r="Q39" i="2"/>
  <c r="Q16" i="2" s="1"/>
  <c r="P39" i="2"/>
  <c r="P16" i="2" s="1"/>
  <c r="O39" i="2"/>
  <c r="O16" i="2" s="1"/>
  <c r="N39" i="2"/>
  <c r="L39" i="2"/>
  <c r="J39" i="2"/>
  <c r="I39" i="2"/>
  <c r="H39" i="2"/>
  <c r="G39" i="2"/>
  <c r="F39" i="2"/>
  <c r="R32" i="2"/>
  <c r="O45" i="1" s="1"/>
  <c r="K32" i="2"/>
  <c r="J32" i="2"/>
  <c r="I32" i="2"/>
  <c r="H32" i="2"/>
  <c r="G32" i="2"/>
  <c r="F32" i="2"/>
  <c r="R20" i="2"/>
  <c r="O29" i="1" s="1"/>
  <c r="L20" i="2"/>
  <c r="K20" i="2"/>
  <c r="H20" i="2"/>
  <c r="G20" i="2"/>
  <c r="F20" i="2"/>
  <c r="H22" i="1"/>
  <c r="V70" i="1"/>
  <c r="N73" i="4" l="1"/>
  <c r="L35" i="10"/>
  <c r="Z32" i="3"/>
  <c r="M32" i="10"/>
  <c r="E13" i="3"/>
  <c r="M51" i="3"/>
  <c r="D51" i="3" s="1"/>
  <c r="E50" i="3"/>
  <c r="O42" i="3"/>
  <c r="M33" i="10" s="1"/>
  <c r="V33" i="10" s="1"/>
  <c r="P256" i="2"/>
  <c r="H151" i="2"/>
  <c r="N391" i="2"/>
  <c r="G535" i="2"/>
  <c r="L538" i="2"/>
  <c r="M342" i="2"/>
  <c r="P38" i="7"/>
  <c r="D34" i="7"/>
  <c r="D13" i="7" s="1"/>
  <c r="M13" i="7"/>
  <c r="G197" i="3"/>
  <c r="I197" i="3"/>
  <c r="G32" i="3"/>
  <c r="I32" i="3"/>
  <c r="K32" i="3"/>
  <c r="E14" i="3"/>
  <c r="B19" i="1" s="1"/>
  <c r="B124" i="1" s="1"/>
  <c r="B186" i="1" s="1"/>
  <c r="E144" i="3"/>
  <c r="G143" i="3"/>
  <c r="I143" i="3"/>
  <c r="K143" i="3"/>
  <c r="N143" i="3"/>
  <c r="P143" i="3"/>
  <c r="K137" i="3"/>
  <c r="K10" i="3" s="1"/>
  <c r="O15" i="3"/>
  <c r="O11" i="3" s="1"/>
  <c r="F143" i="3"/>
  <c r="J143" i="3"/>
  <c r="O143" i="3"/>
  <c r="G11" i="3"/>
  <c r="F16" i="2"/>
  <c r="C21" i="1" s="1"/>
  <c r="C126" i="1" s="1"/>
  <c r="C187" i="1" s="1"/>
  <c r="H16" i="2"/>
  <c r="E21" i="1" s="1"/>
  <c r="E126" i="1" s="1"/>
  <c r="E187" i="1" s="1"/>
  <c r="J16" i="2"/>
  <c r="G21" i="1" s="1"/>
  <c r="G126" i="1" s="1"/>
  <c r="G187" i="1" s="1"/>
  <c r="N16" i="2"/>
  <c r="K21" i="1" s="1"/>
  <c r="R16" i="2"/>
  <c r="O21" i="1" s="1"/>
  <c r="O126" i="1" s="1"/>
  <c r="O187" i="1" s="1"/>
  <c r="G16" i="2"/>
  <c r="D21" i="1" s="1"/>
  <c r="D126" i="1" s="1"/>
  <c r="D187" i="1" s="1"/>
  <c r="I16" i="2"/>
  <c r="F21" i="1" s="1"/>
  <c r="F126" i="1" s="1"/>
  <c r="F187" i="1" s="1"/>
  <c r="L16" i="2"/>
  <c r="I21" i="1" s="1"/>
  <c r="G58" i="2"/>
  <c r="G43" i="2"/>
  <c r="I58" i="2"/>
  <c r="I54" i="2" s="1"/>
  <c r="I43" i="2"/>
  <c r="L353" i="2"/>
  <c r="L52" i="2"/>
  <c r="L50" i="2" s="1"/>
  <c r="J130" i="2"/>
  <c r="J129" i="2" s="1"/>
  <c r="J52" i="2"/>
  <c r="J33" i="2" s="1"/>
  <c r="N146" i="2"/>
  <c r="K149" i="2"/>
  <c r="K43" i="2"/>
  <c r="J43" i="2"/>
  <c r="N165" i="2"/>
  <c r="N52" i="2"/>
  <c r="M182" i="2"/>
  <c r="D182" i="2" s="1"/>
  <c r="L43" i="2"/>
  <c r="E52" i="2"/>
  <c r="O384" i="2"/>
  <c r="M29" i="10" s="1"/>
  <c r="H384" i="2"/>
  <c r="F29" i="10" s="1"/>
  <c r="J384" i="2"/>
  <c r="H29" i="10" s="1"/>
  <c r="P384" i="2"/>
  <c r="N29" i="10" s="1"/>
  <c r="L378" i="2"/>
  <c r="R535" i="2"/>
  <c r="P534" i="2"/>
  <c r="M60" i="1" s="1"/>
  <c r="D546" i="2"/>
  <c r="AA546" i="2" s="1"/>
  <c r="J37" i="2"/>
  <c r="I341" i="2"/>
  <c r="F151" i="2"/>
  <c r="F384" i="2"/>
  <c r="D29" i="10" s="1"/>
  <c r="G384" i="2"/>
  <c r="E29" i="10" s="1"/>
  <c r="I384" i="2"/>
  <c r="G29" i="10" s="1"/>
  <c r="K384" i="2"/>
  <c r="I29" i="10" s="1"/>
  <c r="O34" i="1"/>
  <c r="O137" i="1" s="1"/>
  <c r="O199" i="1" s="1"/>
  <c r="L34" i="1"/>
  <c r="L137" i="1" s="1"/>
  <c r="R534" i="2"/>
  <c r="Q534" i="2"/>
  <c r="E20" i="3"/>
  <c r="E19" i="3" s="1"/>
  <c r="O95" i="3"/>
  <c r="Q95" i="3"/>
  <c r="Q107" i="3"/>
  <c r="F113" i="3"/>
  <c r="H113" i="3"/>
  <c r="K113" i="3"/>
  <c r="M202" i="2"/>
  <c r="D202" i="2" s="1"/>
  <c r="D166" i="8"/>
  <c r="L123" i="8"/>
  <c r="D18" i="10"/>
  <c r="F18" i="10"/>
  <c r="J18" i="10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J80" i="8"/>
  <c r="E80" i="8"/>
  <c r="M84" i="8"/>
  <c r="D84" i="8" s="1"/>
  <c r="W15" i="10"/>
  <c r="Q20" i="2"/>
  <c r="N29" i="1" s="1"/>
  <c r="N128" i="1" s="1"/>
  <c r="N189" i="1" s="1"/>
  <c r="O145" i="1"/>
  <c r="N124" i="1"/>
  <c r="N186" i="1" s="1"/>
  <c r="N125" i="3"/>
  <c r="F11" i="3"/>
  <c r="H11" i="3"/>
  <c r="P37" i="10"/>
  <c r="N37" i="10"/>
  <c r="M37" i="10"/>
  <c r="E108" i="8"/>
  <c r="J12" i="3"/>
  <c r="J11" i="3" s="1"/>
  <c r="L91" i="8"/>
  <c r="L97" i="8"/>
  <c r="C34" i="1"/>
  <c r="L18" i="8"/>
  <c r="M35" i="1"/>
  <c r="M136" i="1" s="1"/>
  <c r="M198" i="1" s="1"/>
  <c r="H35" i="8"/>
  <c r="X43" i="2"/>
  <c r="D48" i="5"/>
  <c r="D47" i="5" s="1"/>
  <c r="E20" i="5"/>
  <c r="D45" i="5"/>
  <c r="D44" i="5" s="1"/>
  <c r="E17" i="5"/>
  <c r="X37" i="10"/>
  <c r="O11" i="5"/>
  <c r="H32" i="10"/>
  <c r="J10" i="13"/>
  <c r="C32" i="10"/>
  <c r="E10" i="13"/>
  <c r="E9" i="13" s="1"/>
  <c r="F32" i="10"/>
  <c r="H10" i="13"/>
  <c r="H9" i="13" s="1"/>
  <c r="J32" i="10"/>
  <c r="L10" i="13"/>
  <c r="G32" i="10"/>
  <c r="I10" i="13"/>
  <c r="I9" i="13" s="1"/>
  <c r="E32" i="10"/>
  <c r="G10" i="13"/>
  <c r="G9" i="13" s="1"/>
  <c r="F10" i="13"/>
  <c r="F9" i="13" s="1"/>
  <c r="O9" i="13"/>
  <c r="O129" i="1"/>
  <c r="O190" i="1" s="1"/>
  <c r="O131" i="1"/>
  <c r="O193" i="1" s="1"/>
  <c r="M73" i="1"/>
  <c r="D125" i="1"/>
  <c r="D191" i="1" s="1"/>
  <c r="G183" i="8"/>
  <c r="G182" i="8" s="1"/>
  <c r="O124" i="1"/>
  <c r="O186" i="1" s="1"/>
  <c r="H11" i="7"/>
  <c r="E365" i="2"/>
  <c r="E364" i="2" s="1"/>
  <c r="M374" i="2"/>
  <c r="M372" i="2" s="1"/>
  <c r="E372" i="2"/>
  <c r="E371" i="2" s="1"/>
  <c r="D137" i="1"/>
  <c r="D199" i="1" s="1"/>
  <c r="D210" i="1" s="1"/>
  <c r="J151" i="2"/>
  <c r="E82" i="2"/>
  <c r="G82" i="2"/>
  <c r="I82" i="2"/>
  <c r="L82" i="2"/>
  <c r="F82" i="2"/>
  <c r="H82" i="2"/>
  <c r="J82" i="2"/>
  <c r="N145" i="2"/>
  <c r="M216" i="2"/>
  <c r="D216" i="2" s="1"/>
  <c r="Q37" i="2"/>
  <c r="Q36" i="2" s="1"/>
  <c r="G40" i="2"/>
  <c r="G18" i="2" s="1"/>
  <c r="D24" i="1" s="1"/>
  <c r="D129" i="1" s="1"/>
  <c r="D190" i="1" s="1"/>
  <c r="E39" i="2"/>
  <c r="E341" i="2"/>
  <c r="M345" i="2"/>
  <c r="D345" i="2" s="1"/>
  <c r="H139" i="1"/>
  <c r="H201" i="1" s="1"/>
  <c r="H127" i="1"/>
  <c r="H188" i="1" s="1"/>
  <c r="D124" i="1"/>
  <c r="D186" i="1" s="1"/>
  <c r="E34" i="1"/>
  <c r="D65" i="1"/>
  <c r="M76" i="6"/>
  <c r="D76" i="6" s="1"/>
  <c r="D75" i="6" s="1"/>
  <c r="M81" i="6"/>
  <c r="D81" i="6" s="1"/>
  <c r="M87" i="6"/>
  <c r="M239" i="6"/>
  <c r="D239" i="6" s="1"/>
  <c r="M150" i="2"/>
  <c r="D150" i="2" s="1"/>
  <c r="M623" i="2"/>
  <c r="D623" i="2" s="1"/>
  <c r="E124" i="1"/>
  <c r="E186" i="1" s="1"/>
  <c r="P37" i="2"/>
  <c r="R37" i="2"/>
  <c r="R36" i="2" s="1"/>
  <c r="C124" i="1"/>
  <c r="C186" i="1" s="1"/>
  <c r="O64" i="1"/>
  <c r="O63" i="1" s="1"/>
  <c r="O85" i="1" s="1"/>
  <c r="M153" i="2"/>
  <c r="D153" i="2" s="1"/>
  <c r="M155" i="2"/>
  <c r="D155" i="2" s="1"/>
  <c r="M172" i="2"/>
  <c r="D172" i="2" s="1"/>
  <c r="M187" i="2"/>
  <c r="D187" i="2" s="1"/>
  <c r="M241" i="2"/>
  <c r="D241" i="2" s="1"/>
  <c r="D240" i="2" s="1"/>
  <c r="M218" i="2"/>
  <c r="D218" i="2" s="1"/>
  <c r="D483" i="2"/>
  <c r="D27" i="2" s="1"/>
  <c r="M503" i="2"/>
  <c r="M513" i="2"/>
  <c r="D513" i="2" s="1"/>
  <c r="H537" i="2"/>
  <c r="H536" i="2" s="1"/>
  <c r="M559" i="2"/>
  <c r="F14" i="2"/>
  <c r="F37" i="2"/>
  <c r="F36" i="2" s="1"/>
  <c r="C37" i="1"/>
  <c r="C138" i="1" s="1"/>
  <c r="C200" i="1" s="1"/>
  <c r="F45" i="2"/>
  <c r="E37" i="1"/>
  <c r="E138" i="1" s="1"/>
  <c r="E200" i="1" s="1"/>
  <c r="H45" i="2"/>
  <c r="H37" i="1"/>
  <c r="H138" i="1" s="1"/>
  <c r="H200" i="1" s="1"/>
  <c r="K45" i="2"/>
  <c r="L37" i="1"/>
  <c r="L138" i="1" s="1"/>
  <c r="L200" i="1" s="1"/>
  <c r="O45" i="2"/>
  <c r="N37" i="1"/>
  <c r="N138" i="1" s="1"/>
  <c r="N200" i="1" s="1"/>
  <c r="Q45" i="2"/>
  <c r="F17" i="2"/>
  <c r="C22" i="1" s="1"/>
  <c r="C127" i="1" s="1"/>
  <c r="C188" i="1" s="1"/>
  <c r="H17" i="2"/>
  <c r="E22" i="1" s="1"/>
  <c r="E127" i="1" s="1"/>
  <c r="E188" i="1" s="1"/>
  <c r="J17" i="2"/>
  <c r="G22" i="1" s="1"/>
  <c r="G127" i="1" s="1"/>
  <c r="G188" i="1" s="1"/>
  <c r="N17" i="2"/>
  <c r="R17" i="2"/>
  <c r="O22" i="1" s="1"/>
  <c r="F27" i="2"/>
  <c r="C38" i="1" s="1"/>
  <c r="C139" i="1" s="1"/>
  <c r="C201" i="1" s="1"/>
  <c r="H27" i="2"/>
  <c r="E38" i="1" s="1"/>
  <c r="E139" i="1" s="1"/>
  <c r="E201" i="1" s="1"/>
  <c r="J27" i="2"/>
  <c r="G38" i="1" s="1"/>
  <c r="G139" i="1" s="1"/>
  <c r="G201" i="1" s="1"/>
  <c r="O27" i="2"/>
  <c r="L38" i="1" s="1"/>
  <c r="L139" i="1" s="1"/>
  <c r="L201" i="1" s="1"/>
  <c r="D37" i="1"/>
  <c r="D138" i="1" s="1"/>
  <c r="D200" i="1" s="1"/>
  <c r="G45" i="2"/>
  <c r="G44" i="2" s="1"/>
  <c r="G37" i="1"/>
  <c r="G138" i="1" s="1"/>
  <c r="G200" i="1" s="1"/>
  <c r="J45" i="2"/>
  <c r="K37" i="1"/>
  <c r="M37" i="1"/>
  <c r="M138" i="1" s="1"/>
  <c r="M200" i="1" s="1"/>
  <c r="P45" i="2"/>
  <c r="O37" i="1"/>
  <c r="O138" i="1" s="1"/>
  <c r="O200" i="1" s="1"/>
  <c r="R45" i="2"/>
  <c r="D56" i="2"/>
  <c r="M96" i="2"/>
  <c r="D96" i="2" s="1"/>
  <c r="M101" i="2"/>
  <c r="D101" i="2" s="1"/>
  <c r="M104" i="2"/>
  <c r="D104" i="2" s="1"/>
  <c r="M107" i="2"/>
  <c r="D107" i="2" s="1"/>
  <c r="F37" i="1"/>
  <c r="F138" i="1" s="1"/>
  <c r="F200" i="1" s="1"/>
  <c r="I45" i="2"/>
  <c r="M338" i="2"/>
  <c r="D338" i="2" s="1"/>
  <c r="D337" i="2" s="1"/>
  <c r="D334" i="2" s="1"/>
  <c r="D128" i="2"/>
  <c r="L145" i="2"/>
  <c r="M166" i="2"/>
  <c r="D166" i="2" s="1"/>
  <c r="E17" i="2"/>
  <c r="B22" i="1" s="1"/>
  <c r="B127" i="1" s="1"/>
  <c r="B188" i="1" s="1"/>
  <c r="G17" i="2"/>
  <c r="D22" i="1" s="1"/>
  <c r="D127" i="1" s="1"/>
  <c r="D188" i="1" s="1"/>
  <c r="I17" i="2"/>
  <c r="F22" i="1" s="1"/>
  <c r="F127" i="1" s="1"/>
  <c r="F188" i="1" s="1"/>
  <c r="Q17" i="2"/>
  <c r="N22" i="1" s="1"/>
  <c r="E27" i="2"/>
  <c r="B38" i="1" s="1"/>
  <c r="B139" i="1" s="1"/>
  <c r="B201" i="1" s="1"/>
  <c r="G27" i="2"/>
  <c r="D38" i="1" s="1"/>
  <c r="I27" i="2"/>
  <c r="F38" i="1" s="1"/>
  <c r="F139" i="1" s="1"/>
  <c r="F201" i="1" s="1"/>
  <c r="P27" i="2"/>
  <c r="M38" i="1" s="1"/>
  <c r="L17" i="2"/>
  <c r="I22" i="1" s="1"/>
  <c r="I127" i="1" s="1"/>
  <c r="I188" i="1" s="1"/>
  <c r="X9" i="13"/>
  <c r="K79" i="9"/>
  <c r="D82" i="9"/>
  <c r="E229" i="2"/>
  <c r="E224" i="2" s="1"/>
  <c r="M230" i="2"/>
  <c r="E235" i="2"/>
  <c r="E231" i="2" s="1"/>
  <c r="M237" i="2"/>
  <c r="M255" i="2"/>
  <c r="E99" i="2"/>
  <c r="E98" i="2" s="1"/>
  <c r="M100" i="2"/>
  <c r="D100" i="2" s="1"/>
  <c r="E116" i="2"/>
  <c r="M117" i="2"/>
  <c r="D117" i="2" s="1"/>
  <c r="K39" i="2"/>
  <c r="M148" i="2"/>
  <c r="D148" i="2" s="1"/>
  <c r="D39" i="2" s="1"/>
  <c r="M159" i="2"/>
  <c r="D159" i="2" s="1"/>
  <c r="E163" i="2"/>
  <c r="M164" i="2"/>
  <c r="D164" i="2" s="1"/>
  <c r="M170" i="2"/>
  <c r="D170" i="2" s="1"/>
  <c r="D169" i="2" s="1"/>
  <c r="E178" i="2"/>
  <c r="E177" i="2" s="1"/>
  <c r="M179" i="2"/>
  <c r="D179" i="2" s="1"/>
  <c r="E242" i="2"/>
  <c r="M243" i="2"/>
  <c r="D243" i="2" s="1"/>
  <c r="M397" i="2"/>
  <c r="E507" i="2"/>
  <c r="M508" i="2"/>
  <c r="E478" i="2"/>
  <c r="E477" i="2" s="1"/>
  <c r="M510" i="2"/>
  <c r="D510" i="2" s="1"/>
  <c r="D478" i="2" s="1"/>
  <c r="J605" i="2"/>
  <c r="J604" i="2" s="1"/>
  <c r="M606" i="2"/>
  <c r="D606" i="2" s="1"/>
  <c r="L638" i="2"/>
  <c r="L637" i="2" s="1"/>
  <c r="M639" i="2"/>
  <c r="D639" i="2" s="1"/>
  <c r="N139" i="1"/>
  <c r="N201" i="1" s="1"/>
  <c r="D63" i="2"/>
  <c r="D66" i="2"/>
  <c r="D64" i="2" s="1"/>
  <c r="P68" i="2"/>
  <c r="G75" i="2"/>
  <c r="I75" i="2"/>
  <c r="M84" i="2"/>
  <c r="D84" i="2" s="1"/>
  <c r="K40" i="2"/>
  <c r="K18" i="2" s="1"/>
  <c r="H24" i="1" s="1"/>
  <c r="H129" i="1" s="1"/>
  <c r="H190" i="1" s="1"/>
  <c r="M85" i="2"/>
  <c r="D85" i="2" s="1"/>
  <c r="E119" i="2"/>
  <c r="M120" i="2"/>
  <c r="D120" i="2" s="1"/>
  <c r="D119" i="2" s="1"/>
  <c r="M122" i="2"/>
  <c r="D122" i="2" s="1"/>
  <c r="D274" i="2"/>
  <c r="D273" i="2" s="1"/>
  <c r="M273" i="2"/>
  <c r="M270" i="2" s="1"/>
  <c r="E125" i="2"/>
  <c r="E124" i="2" s="1"/>
  <c r="E130" i="2"/>
  <c r="E129" i="2" s="1"/>
  <c r="D131" i="2"/>
  <c r="M147" i="2"/>
  <c r="D147" i="2" s="1"/>
  <c r="K158" i="2"/>
  <c r="K157" i="2" s="1"/>
  <c r="E160" i="2"/>
  <c r="E157" i="2" s="1"/>
  <c r="M161" i="2"/>
  <c r="D161" i="2" s="1"/>
  <c r="G168" i="2"/>
  <c r="K169" i="2"/>
  <c r="K168" i="2" s="1"/>
  <c r="E174" i="2"/>
  <c r="E173" i="2" s="1"/>
  <c r="M175" i="2"/>
  <c r="D175" i="2" s="1"/>
  <c r="E184" i="2"/>
  <c r="E183" i="2" s="1"/>
  <c r="M185" i="2"/>
  <c r="D185" i="2" s="1"/>
  <c r="M200" i="2"/>
  <c r="D200" i="2" s="1"/>
  <c r="D212" i="2"/>
  <c r="M392" i="2"/>
  <c r="M380" i="2" s="1"/>
  <c r="M379" i="2" s="1"/>
  <c r="D394" i="2"/>
  <c r="D383" i="2" s="1"/>
  <c r="O488" i="2"/>
  <c r="D526" i="2"/>
  <c r="D517" i="2" s="1"/>
  <c r="M517" i="2"/>
  <c r="M516" i="2" s="1"/>
  <c r="M515" i="2" s="1"/>
  <c r="K38" i="10" s="1"/>
  <c r="M525" i="2"/>
  <c r="M524" i="2" s="1"/>
  <c r="E586" i="2"/>
  <c r="E585" i="2" s="1"/>
  <c r="M587" i="2"/>
  <c r="D587" i="2" s="1"/>
  <c r="E590" i="2"/>
  <c r="E589" i="2" s="1"/>
  <c r="D589" i="2"/>
  <c r="K630" i="2"/>
  <c r="K629" i="2" s="1"/>
  <c r="M631" i="2"/>
  <c r="D631" i="2" s="1"/>
  <c r="K102" i="1"/>
  <c r="O139" i="1"/>
  <c r="O201" i="1" s="1"/>
  <c r="D92" i="3"/>
  <c r="D90" i="3" s="1"/>
  <c r="L14" i="3"/>
  <c r="I19" i="1" s="1"/>
  <c r="I124" i="1" s="1"/>
  <c r="I186" i="1" s="1"/>
  <c r="D97" i="3"/>
  <c r="L20" i="3"/>
  <c r="L19" i="3" s="1"/>
  <c r="L18" i="3" s="1"/>
  <c r="K201" i="3"/>
  <c r="K17" i="3"/>
  <c r="K15" i="3" s="1"/>
  <c r="K11" i="3" s="1"/>
  <c r="N201" i="3"/>
  <c r="N17" i="3"/>
  <c r="N15" i="3" s="1"/>
  <c r="N11" i="3" s="1"/>
  <c r="K206" i="3"/>
  <c r="K23" i="3"/>
  <c r="K21" i="3" s="1"/>
  <c r="K18" i="3" s="1"/>
  <c r="M219" i="3"/>
  <c r="E66" i="3"/>
  <c r="I126" i="3"/>
  <c r="L12" i="3"/>
  <c r="H129" i="3"/>
  <c r="L17" i="3"/>
  <c r="L15" i="3" s="1"/>
  <c r="I132" i="3"/>
  <c r="I20" i="3"/>
  <c r="I19" i="3" s="1"/>
  <c r="I18" i="3" s="1"/>
  <c r="J134" i="3"/>
  <c r="J23" i="3"/>
  <c r="J21" i="3" s="1"/>
  <c r="J18" i="3" s="1"/>
  <c r="O23" i="3"/>
  <c r="D70" i="9"/>
  <c r="D60" i="9"/>
  <c r="I79" i="9"/>
  <c r="H13" i="8"/>
  <c r="O36" i="8"/>
  <c r="M38" i="8"/>
  <c r="M39" i="8"/>
  <c r="M71" i="8"/>
  <c r="D71" i="8" s="1"/>
  <c r="M76" i="8"/>
  <c r="D76" i="8" s="1"/>
  <c r="M78" i="8"/>
  <c r="D78" i="8" s="1"/>
  <c r="M93" i="8"/>
  <c r="D93" i="8" s="1"/>
  <c r="M101" i="8"/>
  <c r="J104" i="8"/>
  <c r="J125" i="8"/>
  <c r="M129" i="8"/>
  <c r="D129" i="8" s="1"/>
  <c r="E158" i="8"/>
  <c r="E183" i="8"/>
  <c r="E182" i="8" s="1"/>
  <c r="I183" i="8"/>
  <c r="I182" i="8" s="1"/>
  <c r="F183" i="8"/>
  <c r="F182" i="8" s="1"/>
  <c r="C72" i="1"/>
  <c r="C125" i="1" s="1"/>
  <c r="C191" i="1" s="1"/>
  <c r="H183" i="8"/>
  <c r="H182" i="8" s="1"/>
  <c r="E72" i="1"/>
  <c r="E125" i="1" s="1"/>
  <c r="E191" i="1" s="1"/>
  <c r="J183" i="8"/>
  <c r="J182" i="8" s="1"/>
  <c r="G72" i="1"/>
  <c r="G125" i="1" s="1"/>
  <c r="G191" i="1" s="1"/>
  <c r="L183" i="8"/>
  <c r="L182" i="8" s="1"/>
  <c r="I72" i="1"/>
  <c r="I125" i="1" s="1"/>
  <c r="I191" i="1" s="1"/>
  <c r="O183" i="8"/>
  <c r="O182" i="8" s="1"/>
  <c r="L72" i="1"/>
  <c r="F190" i="8"/>
  <c r="F189" i="8" s="1"/>
  <c r="C81" i="1"/>
  <c r="H190" i="8"/>
  <c r="H189" i="8" s="1"/>
  <c r="E81" i="1"/>
  <c r="J190" i="8"/>
  <c r="J189" i="8" s="1"/>
  <c r="G81" i="1"/>
  <c r="E190" i="8"/>
  <c r="E189" i="8" s="1"/>
  <c r="B81" i="1"/>
  <c r="D71" i="7"/>
  <c r="M69" i="7"/>
  <c r="D73" i="7"/>
  <c r="M72" i="7"/>
  <c r="G17" i="7"/>
  <c r="I23" i="7"/>
  <c r="L23" i="7"/>
  <c r="J26" i="7"/>
  <c r="J23" i="7" s="1"/>
  <c r="P32" i="7"/>
  <c r="R32" i="7"/>
  <c r="M37" i="7"/>
  <c r="D37" i="7" s="1"/>
  <c r="M42" i="7"/>
  <c r="D42" i="7" s="1"/>
  <c r="M46" i="7"/>
  <c r="D46" i="7" s="1"/>
  <c r="E48" i="7"/>
  <c r="K51" i="7"/>
  <c r="D58" i="7"/>
  <c r="Q62" i="7"/>
  <c r="D76" i="7"/>
  <c r="M75" i="7"/>
  <c r="D78" i="7"/>
  <c r="M77" i="7"/>
  <c r="M74" i="7" s="1"/>
  <c r="M85" i="7"/>
  <c r="D85" i="7" s="1"/>
  <c r="F72" i="6"/>
  <c r="D30" i="10" s="1"/>
  <c r="H72" i="6"/>
  <c r="K73" i="6"/>
  <c r="M74" i="6"/>
  <c r="M79" i="6"/>
  <c r="M235" i="6"/>
  <c r="J72" i="1"/>
  <c r="D244" i="6"/>
  <c r="D247" i="6"/>
  <c r="J81" i="1"/>
  <c r="U81" i="1" s="1"/>
  <c r="I25" i="6"/>
  <c r="M15" i="6"/>
  <c r="M37" i="5"/>
  <c r="M42" i="5"/>
  <c r="M20" i="5" s="1"/>
  <c r="M75" i="5"/>
  <c r="M73" i="5" s="1"/>
  <c r="L75" i="5"/>
  <c r="L73" i="5" s="1"/>
  <c r="D59" i="4"/>
  <c r="M20" i="4"/>
  <c r="D65" i="4"/>
  <c r="M26" i="4"/>
  <c r="F94" i="4"/>
  <c r="F24" i="4"/>
  <c r="C77" i="1"/>
  <c r="H24" i="4"/>
  <c r="E77" i="1"/>
  <c r="J24" i="4"/>
  <c r="G77" i="1"/>
  <c r="D58" i="4"/>
  <c r="M18" i="4"/>
  <c r="J70" i="1" s="1"/>
  <c r="D64" i="4"/>
  <c r="M25" i="4"/>
  <c r="J77" i="1" s="1"/>
  <c r="U77" i="1" s="1"/>
  <c r="L9" i="13"/>
  <c r="J9" i="13"/>
  <c r="L129" i="1"/>
  <c r="L190" i="1" s="1"/>
  <c r="M142" i="3"/>
  <c r="C71" i="1"/>
  <c r="C64" i="1" s="1"/>
  <c r="C63" i="1" s="1"/>
  <c r="C85" i="1" s="1"/>
  <c r="F77" i="5"/>
  <c r="F76" i="5" s="1"/>
  <c r="E71" i="1"/>
  <c r="E64" i="1" s="1"/>
  <c r="E63" i="1" s="1"/>
  <c r="E85" i="1" s="1"/>
  <c r="H77" i="5"/>
  <c r="H76" i="5" s="1"/>
  <c r="G71" i="1"/>
  <c r="J77" i="5"/>
  <c r="J76" i="5" s="1"/>
  <c r="P77" i="5"/>
  <c r="B71" i="1"/>
  <c r="E77" i="5"/>
  <c r="E76" i="5" s="1"/>
  <c r="D71" i="1"/>
  <c r="G77" i="5"/>
  <c r="G76" i="5" s="1"/>
  <c r="F71" i="1"/>
  <c r="H71" i="1"/>
  <c r="K77" i="5"/>
  <c r="K76" i="5" s="1"/>
  <c r="L71" i="1"/>
  <c r="O77" i="5"/>
  <c r="O76" i="5" s="1"/>
  <c r="Q77" i="5"/>
  <c r="Q76" i="5" s="1"/>
  <c r="N77" i="5"/>
  <c r="N76" i="5" s="1"/>
  <c r="X14" i="9"/>
  <c r="P18" i="9"/>
  <c r="P17" i="9" s="1"/>
  <c r="R18" i="9"/>
  <c r="R17" i="9" s="1"/>
  <c r="O98" i="1" s="1"/>
  <c r="N18" i="9"/>
  <c r="N17" i="9" s="1"/>
  <c r="Q18" i="9"/>
  <c r="Q17" i="9" s="1"/>
  <c r="N10" i="13"/>
  <c r="N9" i="13" s="1"/>
  <c r="D26" i="13"/>
  <c r="D10" i="13" s="1"/>
  <c r="D9" i="13" s="1"/>
  <c r="L69" i="1"/>
  <c r="E570" i="2"/>
  <c r="E569" i="2" s="1"/>
  <c r="M571" i="2"/>
  <c r="D571" i="2" s="1"/>
  <c r="L102" i="5"/>
  <c r="D37" i="5"/>
  <c r="N80" i="1"/>
  <c r="N140" i="1" s="1"/>
  <c r="N202" i="1" s="1"/>
  <c r="M82" i="5"/>
  <c r="D103" i="5"/>
  <c r="D82" i="5" s="1"/>
  <c r="D81" i="5" s="1"/>
  <c r="D113" i="5"/>
  <c r="M112" i="5"/>
  <c r="C80" i="1"/>
  <c r="C140" i="1" s="1"/>
  <c r="C202" i="1" s="1"/>
  <c r="E80" i="1"/>
  <c r="E140" i="1" s="1"/>
  <c r="E202" i="1" s="1"/>
  <c r="X79" i="5"/>
  <c r="B80" i="1"/>
  <c r="B140" i="1" s="1"/>
  <c r="B202" i="1" s="1"/>
  <c r="M80" i="1"/>
  <c r="M140" i="1" s="1"/>
  <c r="M202" i="1" s="1"/>
  <c r="D80" i="1"/>
  <c r="D140" i="1" s="1"/>
  <c r="D202" i="1" s="1"/>
  <c r="O8" i="9"/>
  <c r="O44" i="7"/>
  <c r="G19" i="1"/>
  <c r="G124" i="1" s="1"/>
  <c r="G186" i="1" s="1"/>
  <c r="E29" i="3"/>
  <c r="E28" i="3" s="1"/>
  <c r="D30" i="3"/>
  <c r="L71" i="3"/>
  <c r="E77" i="3"/>
  <c r="G77" i="3"/>
  <c r="D128" i="3"/>
  <c r="K197" i="3"/>
  <c r="N197" i="3"/>
  <c r="D219" i="3"/>
  <c r="M218" i="3"/>
  <c r="L26" i="3"/>
  <c r="L25" i="3" s="1"/>
  <c r="D27" i="3"/>
  <c r="D47" i="3"/>
  <c r="D45" i="3" s="1"/>
  <c r="N86" i="3"/>
  <c r="D133" i="3"/>
  <c r="E141" i="3"/>
  <c r="P191" i="3"/>
  <c r="L201" i="3"/>
  <c r="D202" i="3"/>
  <c r="D207" i="3"/>
  <c r="L136" i="1"/>
  <c r="L198" i="1" s="1"/>
  <c r="E30" i="8"/>
  <c r="I44" i="8"/>
  <c r="H69" i="8"/>
  <c r="F111" i="8"/>
  <c r="Q80" i="8"/>
  <c r="Q11" i="8" s="1"/>
  <c r="N14" i="1" s="1"/>
  <c r="G80" i="8"/>
  <c r="O152" i="8"/>
  <c r="J158" i="8"/>
  <c r="L158" i="8"/>
  <c r="O158" i="8"/>
  <c r="Q158" i="8"/>
  <c r="J18" i="7"/>
  <c r="G80" i="1"/>
  <c r="G140" i="1" s="1"/>
  <c r="G202" i="1" s="1"/>
  <c r="I15" i="7"/>
  <c r="F74" i="1"/>
  <c r="F73" i="1" s="1"/>
  <c r="K15" i="7"/>
  <c r="H74" i="1"/>
  <c r="H73" i="1" s="1"/>
  <c r="I18" i="7"/>
  <c r="F80" i="1"/>
  <c r="F140" i="1" s="1"/>
  <c r="F202" i="1" s="1"/>
  <c r="K18" i="7"/>
  <c r="H80" i="1"/>
  <c r="H140" i="1" s="1"/>
  <c r="H202" i="1" s="1"/>
  <c r="M72" i="1"/>
  <c r="V72" i="1" s="1"/>
  <c r="X228" i="6"/>
  <c r="F27" i="4"/>
  <c r="C83" i="1"/>
  <c r="C82" i="1" s="1"/>
  <c r="H27" i="4"/>
  <c r="E83" i="1"/>
  <c r="E82" i="1" s="1"/>
  <c r="P27" i="4"/>
  <c r="M83" i="1"/>
  <c r="M82" i="1" s="1"/>
  <c r="F41" i="4"/>
  <c r="H41" i="4"/>
  <c r="J41" i="4"/>
  <c r="E27" i="4"/>
  <c r="B83" i="1"/>
  <c r="B82" i="1" s="1"/>
  <c r="G27" i="4"/>
  <c r="D83" i="1"/>
  <c r="D82" i="1" s="1"/>
  <c r="O27" i="4"/>
  <c r="L83" i="1"/>
  <c r="H94" i="4"/>
  <c r="N137" i="1"/>
  <c r="N199" i="1" s="1"/>
  <c r="F65" i="3"/>
  <c r="H65" i="3"/>
  <c r="K65" i="3"/>
  <c r="F143" i="1"/>
  <c r="F205" i="1" s="1"/>
  <c r="H143" i="1"/>
  <c r="H205" i="1" s="1"/>
  <c r="M143" i="1"/>
  <c r="M205" i="1" s="1"/>
  <c r="D29" i="1"/>
  <c r="D128" i="1" s="1"/>
  <c r="D189" i="1" s="1"/>
  <c r="H29" i="1"/>
  <c r="H128" i="1" s="1"/>
  <c r="H189" i="1" s="1"/>
  <c r="K29" i="1"/>
  <c r="K128" i="1" s="1"/>
  <c r="K189" i="1" s="1"/>
  <c r="O128" i="1"/>
  <c r="O189" i="1" s="1"/>
  <c r="D45" i="1"/>
  <c r="D145" i="1" s="1"/>
  <c r="D207" i="1" s="1"/>
  <c r="F45" i="1"/>
  <c r="F145" i="1" s="1"/>
  <c r="F207" i="1" s="1"/>
  <c r="L144" i="1"/>
  <c r="L206" i="1" s="1"/>
  <c r="C143" i="1"/>
  <c r="C205" i="1" s="1"/>
  <c r="L143" i="1"/>
  <c r="L205" i="1" s="1"/>
  <c r="X478" i="2"/>
  <c r="M137" i="1"/>
  <c r="M199" i="1" s="1"/>
  <c r="L146" i="1"/>
  <c r="L208" i="1" s="1"/>
  <c r="U43" i="1"/>
  <c r="U146" i="1" s="1"/>
  <c r="U208" i="1" s="1"/>
  <c r="N543" i="2"/>
  <c r="N542" i="2" s="1"/>
  <c r="K78" i="1"/>
  <c r="C29" i="1"/>
  <c r="C128" i="1" s="1"/>
  <c r="C189" i="1" s="1"/>
  <c r="E29" i="1"/>
  <c r="E128" i="1" s="1"/>
  <c r="E189" i="1" s="1"/>
  <c r="C45" i="1"/>
  <c r="C145" i="1" s="1"/>
  <c r="C207" i="1" s="1"/>
  <c r="E45" i="1"/>
  <c r="E145" i="1" s="1"/>
  <c r="E207" i="1" s="1"/>
  <c r="G45" i="1"/>
  <c r="G145" i="1" s="1"/>
  <c r="G207" i="1" s="1"/>
  <c r="B141" i="1"/>
  <c r="B203" i="1" s="1"/>
  <c r="D141" i="1"/>
  <c r="D203" i="1" s="1"/>
  <c r="F141" i="1"/>
  <c r="F203" i="1" s="1"/>
  <c r="D142" i="1"/>
  <c r="D204" i="1" s="1"/>
  <c r="H142" i="1"/>
  <c r="H204" i="1" s="1"/>
  <c r="J144" i="8"/>
  <c r="L144" i="8"/>
  <c r="O144" i="8"/>
  <c r="F24" i="8"/>
  <c r="C36" i="1"/>
  <c r="E141" i="1"/>
  <c r="E203" i="1" s="1"/>
  <c r="H141" i="1"/>
  <c r="H203" i="1" s="1"/>
  <c r="G30" i="8"/>
  <c r="F30" i="8"/>
  <c r="F23" i="8" s="1"/>
  <c r="C44" i="1"/>
  <c r="H30" i="8"/>
  <c r="E44" i="1"/>
  <c r="I104" i="8"/>
  <c r="G14" i="5"/>
  <c r="I14" i="5"/>
  <c r="K14" i="5"/>
  <c r="O14" i="5"/>
  <c r="Q14" i="5"/>
  <c r="F14" i="5"/>
  <c r="F13" i="5" s="1"/>
  <c r="H14" i="5"/>
  <c r="H13" i="5" s="1"/>
  <c r="J14" i="5"/>
  <c r="J13" i="5" s="1"/>
  <c r="L14" i="5"/>
  <c r="P14" i="5"/>
  <c r="P13" i="5" s="1"/>
  <c r="V20" i="1"/>
  <c r="V27" i="1"/>
  <c r="M68" i="4"/>
  <c r="D69" i="4"/>
  <c r="D75" i="4"/>
  <c r="D74" i="4" s="1"/>
  <c r="L94" i="4"/>
  <c r="M110" i="4"/>
  <c r="K12" i="4"/>
  <c r="D44" i="4"/>
  <c r="E22" i="4"/>
  <c r="E12" i="4"/>
  <c r="E10" i="4" s="1"/>
  <c r="M57" i="4"/>
  <c r="D57" i="4" s="1"/>
  <c r="M71" i="4"/>
  <c r="D72" i="4"/>
  <c r="M76" i="4"/>
  <c r="M73" i="4" s="1"/>
  <c r="D77" i="4"/>
  <c r="K9" i="13"/>
  <c r="I32" i="10"/>
  <c r="I40" i="9"/>
  <c r="E31" i="9"/>
  <c r="E10" i="9" s="1"/>
  <c r="G31" i="9"/>
  <c r="G10" i="9" s="1"/>
  <c r="I31" i="9"/>
  <c r="I10" i="9" s="1"/>
  <c r="K31" i="9"/>
  <c r="K10" i="9" s="1"/>
  <c r="F40" i="9"/>
  <c r="H40" i="9"/>
  <c r="J40" i="9"/>
  <c r="X10" i="9"/>
  <c r="N82" i="9"/>
  <c r="N79" i="9" s="1"/>
  <c r="P12" i="9"/>
  <c r="X13" i="9"/>
  <c r="X12" i="9" s="1"/>
  <c r="P56" i="9"/>
  <c r="X59" i="9"/>
  <c r="X56" i="9" s="1"/>
  <c r="M41" i="7"/>
  <c r="M45" i="7"/>
  <c r="M51" i="7"/>
  <c r="D51" i="7"/>
  <c r="M63" i="7"/>
  <c r="M62" i="7" s="1"/>
  <c r="D63" i="7"/>
  <c r="D62" i="7" s="1"/>
  <c r="N16" i="7"/>
  <c r="N15" i="7" s="1"/>
  <c r="M19" i="7"/>
  <c r="M57" i="7"/>
  <c r="M56" i="7" s="1"/>
  <c r="L74" i="7"/>
  <c r="K89" i="7"/>
  <c r="L68" i="7"/>
  <c r="P50" i="7"/>
  <c r="R50" i="7"/>
  <c r="I44" i="7"/>
  <c r="J68" i="7"/>
  <c r="K16" i="6"/>
  <c r="K14" i="6" s="1"/>
  <c r="X80" i="5"/>
  <c r="X77" i="5" s="1"/>
  <c r="X76" i="5" s="1"/>
  <c r="L23" i="4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17" i="3"/>
  <c r="D34" i="3"/>
  <c r="M33" i="3"/>
  <c r="M32" i="3" s="1"/>
  <c r="X174" i="3"/>
  <c r="X173" i="3" s="1"/>
  <c r="X187" i="3"/>
  <c r="X186" i="3" s="1"/>
  <c r="X185" i="3" s="1"/>
  <c r="M205" i="3"/>
  <c r="I77" i="3"/>
  <c r="K77" i="3"/>
  <c r="P89" i="3"/>
  <c r="M22" i="10"/>
  <c r="M46" i="8"/>
  <c r="J49" i="8"/>
  <c r="L54" i="8"/>
  <c r="F69" i="8"/>
  <c r="D17" i="10" s="1"/>
  <c r="M73" i="8"/>
  <c r="D73" i="8" s="1"/>
  <c r="J74" i="8"/>
  <c r="H18" i="10" s="1"/>
  <c r="I92" i="8"/>
  <c r="M95" i="8"/>
  <c r="D95" i="8" s="1"/>
  <c r="O31" i="8"/>
  <c r="G104" i="8"/>
  <c r="N104" i="8"/>
  <c r="M110" i="8"/>
  <c r="D110" i="8" s="1"/>
  <c r="N111" i="8"/>
  <c r="L14" i="10" s="1"/>
  <c r="O119" i="8"/>
  <c r="L126" i="8"/>
  <c r="L125" i="8" s="1"/>
  <c r="F152" i="8"/>
  <c r="H152" i="8"/>
  <c r="J152" i="8"/>
  <c r="L152" i="8"/>
  <c r="Q152" i="8"/>
  <c r="P179" i="8"/>
  <c r="D38" i="8"/>
  <c r="M15" i="8"/>
  <c r="D39" i="8"/>
  <c r="M16" i="8"/>
  <c r="J20" i="1" s="1"/>
  <c r="D42" i="8"/>
  <c r="D43" i="8"/>
  <c r="M21" i="8"/>
  <c r="J30" i="1" s="1"/>
  <c r="X30" i="1" s="1"/>
  <c r="D51" i="8"/>
  <c r="D56" i="8"/>
  <c r="M55" i="8"/>
  <c r="M59" i="8"/>
  <c r="K58" i="8"/>
  <c r="D63" i="8"/>
  <c r="M62" i="8"/>
  <c r="D66" i="8"/>
  <c r="D65" i="8" s="1"/>
  <c r="M65" i="8"/>
  <c r="O16" i="8"/>
  <c r="L20" i="1" s="1"/>
  <c r="O26" i="8"/>
  <c r="L36" i="1" s="1"/>
  <c r="L141" i="1" s="1"/>
  <c r="L203" i="1" s="1"/>
  <c r="D101" i="8"/>
  <c r="M31" i="8"/>
  <c r="D165" i="8"/>
  <c r="X179" i="8"/>
  <c r="C18" i="10"/>
  <c r="H10" i="8"/>
  <c r="Q138" i="8"/>
  <c r="F11" i="8"/>
  <c r="K44" i="8"/>
  <c r="O54" i="8"/>
  <c r="E69" i="8"/>
  <c r="G69" i="8"/>
  <c r="E17" i="10" s="1"/>
  <c r="I69" i="8"/>
  <c r="Q144" i="8"/>
  <c r="O14" i="10" s="1"/>
  <c r="E204" i="2"/>
  <c r="E203" i="2" s="1"/>
  <c r="M205" i="2"/>
  <c r="K68" i="2"/>
  <c r="L21" i="1"/>
  <c r="O15" i="2"/>
  <c r="L19" i="1" s="1"/>
  <c r="O474" i="2"/>
  <c r="O473" i="2" s="1"/>
  <c r="O509" i="2"/>
  <c r="O42" i="2"/>
  <c r="O22" i="2"/>
  <c r="O20" i="2"/>
  <c r="L29" i="1" s="1"/>
  <c r="L65" i="1"/>
  <c r="E72" i="2"/>
  <c r="P340" i="2"/>
  <c r="I21" i="10"/>
  <c r="E114" i="3"/>
  <c r="D22" i="10"/>
  <c r="G22" i="10"/>
  <c r="H22" i="10"/>
  <c r="H14" i="6"/>
  <c r="H19" i="6"/>
  <c r="H25" i="6"/>
  <c r="I19" i="6"/>
  <c r="K25" i="6"/>
  <c r="J14" i="6"/>
  <c r="L14" i="6"/>
  <c r="F223" i="6"/>
  <c r="C60" i="1" s="1"/>
  <c r="H223" i="6"/>
  <c r="E60" i="1" s="1"/>
  <c r="K223" i="6"/>
  <c r="J246" i="6"/>
  <c r="J245" i="6" s="1"/>
  <c r="J86" i="6"/>
  <c r="J83" i="6" s="1"/>
  <c r="P234" i="6"/>
  <c r="P233" i="6" s="1"/>
  <c r="P224" i="6" s="1"/>
  <c r="P222" i="6" s="1"/>
  <c r="P39" i="6"/>
  <c r="O44" i="6"/>
  <c r="N39" i="6"/>
  <c r="L19" i="10" s="1"/>
  <c r="X224" i="6"/>
  <c r="X223" i="6"/>
  <c r="R14" i="5"/>
  <c r="X15" i="5"/>
  <c r="X14" i="5" s="1"/>
  <c r="X13" i="5" s="1"/>
  <c r="F215" i="3"/>
  <c r="H215" i="3"/>
  <c r="E65" i="3"/>
  <c r="G65" i="3"/>
  <c r="P65" i="3"/>
  <c r="X14" i="3"/>
  <c r="X12" i="3" s="1"/>
  <c r="X11" i="3" s="1"/>
  <c r="X10" i="3"/>
  <c r="F19" i="6"/>
  <c r="F13" i="6" s="1"/>
  <c r="H22" i="6"/>
  <c r="H21" i="6" s="1"/>
  <c r="N33" i="6"/>
  <c r="G19" i="6"/>
  <c r="G13" i="6" s="1"/>
  <c r="Q72" i="6"/>
  <c r="M80" i="6"/>
  <c r="F10" i="4"/>
  <c r="H10" i="4"/>
  <c r="O18" i="4"/>
  <c r="L70" i="1" s="1"/>
  <c r="O74" i="4"/>
  <c r="O73" i="4" s="1"/>
  <c r="F54" i="4"/>
  <c r="H54" i="4"/>
  <c r="J54" i="4"/>
  <c r="L54" i="4"/>
  <c r="O68" i="2"/>
  <c r="P22" i="2"/>
  <c r="X22" i="2" s="1"/>
  <c r="X479" i="2"/>
  <c r="X517" i="2"/>
  <c r="X516" i="2" s="1"/>
  <c r="M21" i="1"/>
  <c r="M126" i="1" s="1"/>
  <c r="M187" i="1" s="1"/>
  <c r="P18" i="2"/>
  <c r="M24" i="1" s="1"/>
  <c r="M129" i="1" s="1"/>
  <c r="M190" i="1" s="1"/>
  <c r="X40" i="2"/>
  <c r="G340" i="2"/>
  <c r="X474" i="2"/>
  <c r="O478" i="2"/>
  <c r="O477" i="2" s="1"/>
  <c r="P42" i="2"/>
  <c r="E240" i="2"/>
  <c r="P15" i="2"/>
  <c r="X475" i="2"/>
  <c r="X476" i="2"/>
  <c r="P518" i="2"/>
  <c r="X519" i="2"/>
  <c r="X518" i="2" s="1"/>
  <c r="V69" i="1"/>
  <c r="X540" i="2"/>
  <c r="X537" i="2" s="1"/>
  <c r="X536" i="2" s="1"/>
  <c r="V130" i="1"/>
  <c r="F75" i="2"/>
  <c r="H75" i="2"/>
  <c r="G33" i="5"/>
  <c r="I33" i="5"/>
  <c r="K33" i="5"/>
  <c r="L36" i="5"/>
  <c r="I29" i="1"/>
  <c r="R44" i="5"/>
  <c r="P144" i="8"/>
  <c r="N14" i="10" s="1"/>
  <c r="O83" i="3"/>
  <c r="D26" i="3"/>
  <c r="D25" i="3" s="1"/>
  <c r="K131" i="3"/>
  <c r="P131" i="3"/>
  <c r="F134" i="3"/>
  <c r="O137" i="3"/>
  <c r="O10" i="3" s="1"/>
  <c r="E22" i="10"/>
  <c r="L22" i="10"/>
  <c r="P179" i="3"/>
  <c r="N22" i="10" s="1"/>
  <c r="Q101" i="3"/>
  <c r="O113" i="3"/>
  <c r="N190" i="8"/>
  <c r="N189" i="8" s="1"/>
  <c r="N183" i="8"/>
  <c r="N182" i="8" s="1"/>
  <c r="K340" i="2"/>
  <c r="K75" i="2"/>
  <c r="J75" i="2"/>
  <c r="O104" i="8"/>
  <c r="E143" i="3"/>
  <c r="I113" i="3"/>
  <c r="J49" i="3"/>
  <c r="L49" i="3"/>
  <c r="I382" i="2"/>
  <c r="I378" i="2" s="1"/>
  <c r="N25" i="2"/>
  <c r="F543" i="2"/>
  <c r="F542" i="2" s="1"/>
  <c r="H543" i="2"/>
  <c r="H542" i="2" s="1"/>
  <c r="J543" i="2"/>
  <c r="J542" i="2" s="1"/>
  <c r="G103" i="1" s="1"/>
  <c r="G101" i="1" s="1"/>
  <c r="L543" i="2"/>
  <c r="L542" i="2" s="1"/>
  <c r="O543" i="2"/>
  <c r="O542" i="2" s="1"/>
  <c r="Q543" i="2"/>
  <c r="Q542" i="2" s="1"/>
  <c r="K622" i="2"/>
  <c r="K621" i="2" s="1"/>
  <c r="J382" i="2"/>
  <c r="J378" i="2" s="1"/>
  <c r="L501" i="2"/>
  <c r="G543" i="2"/>
  <c r="G542" i="2" s="1"/>
  <c r="I543" i="2"/>
  <c r="I542" i="2" s="1"/>
  <c r="K543" i="2"/>
  <c r="K542" i="2" s="1"/>
  <c r="P543" i="2"/>
  <c r="P542" i="2" s="1"/>
  <c r="R543" i="2"/>
  <c r="R542" i="2" s="1"/>
  <c r="J622" i="2"/>
  <c r="J621" i="2" s="1"/>
  <c r="E14" i="9"/>
  <c r="E11" i="9" s="1"/>
  <c r="I14" i="9"/>
  <c r="I11" i="9" s="1"/>
  <c r="O69" i="9"/>
  <c r="O68" i="9" s="1"/>
  <c r="N12" i="9"/>
  <c r="K122" i="9"/>
  <c r="E382" i="2"/>
  <c r="E378" i="2" s="1"/>
  <c r="P33" i="2"/>
  <c r="M46" i="1" s="1"/>
  <c r="R33" i="2"/>
  <c r="O46" i="1" s="1"/>
  <c r="B65" i="1"/>
  <c r="P328" i="2"/>
  <c r="E35" i="10"/>
  <c r="D35" i="10"/>
  <c r="H118" i="2"/>
  <c r="G239" i="2"/>
  <c r="J239" i="2"/>
  <c r="L239" i="2"/>
  <c r="F239" i="2"/>
  <c r="H239" i="2"/>
  <c r="K239" i="2"/>
  <c r="I248" i="2"/>
  <c r="F256" i="2"/>
  <c r="H256" i="2"/>
  <c r="J256" i="2"/>
  <c r="L256" i="2"/>
  <c r="E251" i="2"/>
  <c r="E249" i="2" s="1"/>
  <c r="H249" i="2"/>
  <c r="H248" i="2" s="1"/>
  <c r="G256" i="2"/>
  <c r="I256" i="2"/>
  <c r="K256" i="2"/>
  <c r="P21" i="2"/>
  <c r="R30" i="8"/>
  <c r="P30" i="8"/>
  <c r="O138" i="8"/>
  <c r="J20" i="2"/>
  <c r="G29" i="1" s="1"/>
  <c r="P32" i="2"/>
  <c r="M45" i="1" s="1"/>
  <c r="R14" i="2"/>
  <c r="O18" i="1" s="1"/>
  <c r="G33" i="2"/>
  <c r="D46" i="1" s="1"/>
  <c r="D147" i="1" s="1"/>
  <c r="D209" i="1" s="1"/>
  <c r="H14" i="2"/>
  <c r="O32" i="2"/>
  <c r="L45" i="1" s="1"/>
  <c r="Q32" i="2"/>
  <c r="N45" i="1" s="1"/>
  <c r="G14" i="2"/>
  <c r="O50" i="2"/>
  <c r="H40" i="2"/>
  <c r="H18" i="2" s="1"/>
  <c r="E24" i="1" s="1"/>
  <c r="E129" i="1" s="1"/>
  <c r="E190" i="1" s="1"/>
  <c r="O37" i="2"/>
  <c r="Q14" i="2"/>
  <c r="N18" i="1" s="1"/>
  <c r="I42" i="2"/>
  <c r="L46" i="2"/>
  <c r="L26" i="2" s="1"/>
  <c r="E48" i="2"/>
  <c r="E29" i="2" s="1"/>
  <c r="B40" i="1" s="1"/>
  <c r="B144" i="1" s="1"/>
  <c r="B206" i="1" s="1"/>
  <c r="O231" i="2"/>
  <c r="R21" i="2"/>
  <c r="K54" i="2"/>
  <c r="P54" i="2"/>
  <c r="G61" i="2"/>
  <c r="N139" i="2"/>
  <c r="N61" i="1"/>
  <c r="F112" i="2"/>
  <c r="H112" i="2"/>
  <c r="J112" i="2"/>
  <c r="L112" i="2"/>
  <c r="I139" i="2"/>
  <c r="J340" i="2"/>
  <c r="N340" i="2"/>
  <c r="O61" i="1"/>
  <c r="L570" i="2"/>
  <c r="L569" i="2" s="1"/>
  <c r="N558" i="2"/>
  <c r="N557" i="2" s="1"/>
  <c r="N537" i="2"/>
  <c r="N536" i="2" s="1"/>
  <c r="J590" i="2"/>
  <c r="J589" i="2" s="1"/>
  <c r="J535" i="2" s="1"/>
  <c r="Q10" i="4"/>
  <c r="M15" i="4"/>
  <c r="N74" i="4"/>
  <c r="L10" i="4"/>
  <c r="M11" i="4"/>
  <c r="M27" i="4"/>
  <c r="N68" i="4"/>
  <c r="N71" i="4"/>
  <c r="N22" i="4"/>
  <c r="K74" i="1" s="1"/>
  <c r="K73" i="1" s="1"/>
  <c r="I21" i="2"/>
  <c r="N104" i="4"/>
  <c r="O126" i="9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 s="1"/>
  <c r="E36" i="5"/>
  <c r="O84" i="5"/>
  <c r="O83" i="5" s="1"/>
  <c r="L19" i="5"/>
  <c r="L18" i="5" s="1"/>
  <c r="E28" i="5"/>
  <c r="D28" i="5" s="1"/>
  <c r="I27" i="5"/>
  <c r="M34" i="5"/>
  <c r="F38" i="5"/>
  <c r="H38" i="5"/>
  <c r="J38" i="5"/>
  <c r="P81" i="5"/>
  <c r="Q84" i="5"/>
  <c r="Q83" i="5" s="1"/>
  <c r="L99" i="5"/>
  <c r="L98" i="5" s="1"/>
  <c r="M102" i="5"/>
  <c r="L85" i="5"/>
  <c r="M86" i="5"/>
  <c r="M61" i="5" s="1"/>
  <c r="M41" i="5"/>
  <c r="M38" i="5" s="1"/>
  <c r="M79" i="5"/>
  <c r="D102" i="5"/>
  <c r="M108" i="5"/>
  <c r="M88" i="5"/>
  <c r="G31" i="2"/>
  <c r="D42" i="1" s="1"/>
  <c r="D143" i="1" s="1"/>
  <c r="D205" i="1" s="1"/>
  <c r="N231" i="2"/>
  <c r="P231" i="2"/>
  <c r="I112" i="2"/>
  <c r="N112" i="2"/>
  <c r="P112" i="2"/>
  <c r="L37" i="2"/>
  <c r="E46" i="2"/>
  <c r="E26" i="2" s="1"/>
  <c r="N42" i="2"/>
  <c r="F21" i="2"/>
  <c r="Q21" i="2"/>
  <c r="H58" i="2"/>
  <c r="H54" i="2" s="1"/>
  <c r="J165" i="2"/>
  <c r="J162" i="2" s="1"/>
  <c r="L483" i="2"/>
  <c r="I40" i="2"/>
  <c r="I18" i="2" s="1"/>
  <c r="F24" i="1" s="1"/>
  <c r="F129" i="1" s="1"/>
  <c r="F190" i="1" s="1"/>
  <c r="P516" i="2"/>
  <c r="M18" i="1"/>
  <c r="M17" i="1" s="1"/>
  <c r="I363" i="12" s="1"/>
  <c r="P20" i="2"/>
  <c r="M29" i="1" s="1"/>
  <c r="N47" i="2"/>
  <c r="N28" i="2" s="1"/>
  <c r="K39" i="1" s="1"/>
  <c r="K143" i="1" s="1"/>
  <c r="K205" i="1" s="1"/>
  <c r="L48" i="2"/>
  <c r="L29" i="2" s="1"/>
  <c r="I40" i="1" s="1"/>
  <c r="I144" i="1" s="1"/>
  <c r="I206" i="1" s="1"/>
  <c r="H50" i="2"/>
  <c r="H31" i="2"/>
  <c r="E42" i="1" s="1"/>
  <c r="E143" i="1" s="1"/>
  <c r="E205" i="1" s="1"/>
  <c r="J31" i="2"/>
  <c r="G42" i="1" s="1"/>
  <c r="G143" i="1" s="1"/>
  <c r="G205" i="1" s="1"/>
  <c r="F33" i="2"/>
  <c r="C46" i="1" s="1"/>
  <c r="C147" i="1" s="1"/>
  <c r="C209" i="1" s="1"/>
  <c r="H33" i="2"/>
  <c r="E540" i="2"/>
  <c r="B69" i="1" s="1"/>
  <c r="N485" i="2"/>
  <c r="N484" i="2" s="1"/>
  <c r="Q33" i="2"/>
  <c r="N46" i="1" s="1"/>
  <c r="J54" i="2"/>
  <c r="O54" i="2"/>
  <c r="O224" i="2"/>
  <c r="E47" i="2"/>
  <c r="E28" i="2" s="1"/>
  <c r="B39" i="1" s="1"/>
  <c r="N37" i="2"/>
  <c r="I361" i="2"/>
  <c r="I358" i="2" s="1"/>
  <c r="I33" i="2"/>
  <c r="P50" i="2"/>
  <c r="R50" i="2"/>
  <c r="F54" i="2"/>
  <c r="G54" i="2"/>
  <c r="F224" i="2"/>
  <c r="H224" i="2"/>
  <c r="J224" i="2"/>
  <c r="L224" i="2"/>
  <c r="D232" i="2"/>
  <c r="F68" i="2"/>
  <c r="H68" i="2"/>
  <c r="D70" i="2"/>
  <c r="F98" i="2"/>
  <c r="F270" i="2"/>
  <c r="H270" i="2"/>
  <c r="J270" i="2"/>
  <c r="L270" i="2"/>
  <c r="O270" i="2"/>
  <c r="P364" i="2"/>
  <c r="E474" i="2"/>
  <c r="E473" i="2" s="1"/>
  <c r="L540" i="2"/>
  <c r="I69" i="1" s="1"/>
  <c r="P352" i="2"/>
  <c r="G270" i="2"/>
  <c r="E105" i="2"/>
  <c r="G105" i="2"/>
  <c r="I105" i="2"/>
  <c r="K105" i="2"/>
  <c r="O105" i="2"/>
  <c r="O82" i="2"/>
  <c r="I270" i="2"/>
  <c r="K270" i="2"/>
  <c r="N270" i="2"/>
  <c r="F105" i="2"/>
  <c r="H105" i="2"/>
  <c r="J105" i="2"/>
  <c r="N105" i="2"/>
  <c r="P105" i="2"/>
  <c r="P145" i="2"/>
  <c r="P270" i="2"/>
  <c r="E113" i="2"/>
  <c r="G371" i="2"/>
  <c r="K328" i="2"/>
  <c r="J145" i="2"/>
  <c r="Q50" i="2"/>
  <c r="P61" i="2"/>
  <c r="P75" i="2"/>
  <c r="H352" i="2"/>
  <c r="N352" i="2"/>
  <c r="L264" i="2"/>
  <c r="P488" i="2"/>
  <c r="F61" i="2"/>
  <c r="H61" i="2"/>
  <c r="J61" i="2"/>
  <c r="L61" i="2"/>
  <c r="O61" i="2"/>
  <c r="I61" i="2"/>
  <c r="K61" i="2"/>
  <c r="N61" i="2"/>
  <c r="N75" i="2"/>
  <c r="O75" i="2"/>
  <c r="G98" i="2"/>
  <c r="K98" i="2"/>
  <c r="P98" i="2"/>
  <c r="J98" i="2"/>
  <c r="F364" i="2"/>
  <c r="H364" i="2"/>
  <c r="K364" i="2"/>
  <c r="N364" i="2"/>
  <c r="F488" i="2"/>
  <c r="H488" i="2"/>
  <c r="J488" i="2"/>
  <c r="L488" i="2"/>
  <c r="E488" i="2"/>
  <c r="G488" i="2"/>
  <c r="E496" i="2"/>
  <c r="G496" i="2"/>
  <c r="I496" i="2"/>
  <c r="K496" i="2"/>
  <c r="J506" i="2"/>
  <c r="J10" i="2" s="1"/>
  <c r="L506" i="2"/>
  <c r="L10" i="2" s="1"/>
  <c r="I477" i="2"/>
  <c r="L47" i="2"/>
  <c r="H98" i="2"/>
  <c r="M366" i="2"/>
  <c r="K375" i="2"/>
  <c r="K371" i="2" s="1"/>
  <c r="K33" i="2"/>
  <c r="N483" i="2"/>
  <c r="N481" i="2" s="1"/>
  <c r="E512" i="2"/>
  <c r="E511" i="2" s="1"/>
  <c r="E485" i="2"/>
  <c r="E484" i="2" s="1"/>
  <c r="D260" i="2"/>
  <c r="E260" i="2"/>
  <c r="E51" i="2"/>
  <c r="E31" i="2" s="1"/>
  <c r="B42" i="1" s="1"/>
  <c r="N361" i="2"/>
  <c r="N358" i="2" s="1"/>
  <c r="N478" i="2"/>
  <c r="E562" i="2"/>
  <c r="E561" i="2" s="1"/>
  <c r="E546" i="2"/>
  <c r="L586" i="2"/>
  <c r="L585" i="2" s="1"/>
  <c r="L535" i="2" s="1"/>
  <c r="G224" i="2"/>
  <c r="I224" i="2"/>
  <c r="K224" i="2"/>
  <c r="N224" i="2"/>
  <c r="P224" i="2"/>
  <c r="G68" i="2"/>
  <c r="I68" i="2"/>
  <c r="O256" i="2"/>
  <c r="O98" i="2"/>
  <c r="L98" i="2"/>
  <c r="F352" i="2"/>
  <c r="O352" i="2"/>
  <c r="E354" i="2"/>
  <c r="E353" i="2" s="1"/>
  <c r="L352" i="2"/>
  <c r="F264" i="2"/>
  <c r="H264" i="2"/>
  <c r="J264" i="2"/>
  <c r="G364" i="2"/>
  <c r="I364" i="2"/>
  <c r="L364" i="2"/>
  <c r="O364" i="2"/>
  <c r="G328" i="2"/>
  <c r="I328" i="2"/>
  <c r="N198" i="2"/>
  <c r="P198" i="2"/>
  <c r="H390" i="2"/>
  <c r="G477" i="2"/>
  <c r="K477" i="2"/>
  <c r="P477" i="2"/>
  <c r="R477" i="2"/>
  <c r="O481" i="2"/>
  <c r="E253" i="2"/>
  <c r="F183" i="2"/>
  <c r="I488" i="2"/>
  <c r="J214" i="2"/>
  <c r="K488" i="2"/>
  <c r="P90" i="2"/>
  <c r="E257" i="2"/>
  <c r="I198" i="2"/>
  <c r="F477" i="2"/>
  <c r="H477" i="2"/>
  <c r="J477" i="2"/>
  <c r="L477" i="2"/>
  <c r="Q477" i="2"/>
  <c r="F481" i="2"/>
  <c r="J481" i="2"/>
  <c r="P484" i="2"/>
  <c r="R484" i="2"/>
  <c r="Q484" i="2"/>
  <c r="O390" i="2"/>
  <c r="P524" i="2"/>
  <c r="P10" i="2" s="1"/>
  <c r="E60" i="2"/>
  <c r="L69" i="2"/>
  <c r="L68" i="2" s="1"/>
  <c r="D121" i="2"/>
  <c r="P124" i="2"/>
  <c r="E134" i="2"/>
  <c r="F139" i="2"/>
  <c r="H139" i="2"/>
  <c r="J139" i="2"/>
  <c r="L139" i="2"/>
  <c r="O139" i="2"/>
  <c r="O157" i="2"/>
  <c r="H12" i="12" s="1"/>
  <c r="H157" i="2"/>
  <c r="F484" i="2"/>
  <c r="H484" i="2"/>
  <c r="J484" i="2"/>
  <c r="I371" i="2"/>
  <c r="F328" i="2"/>
  <c r="H328" i="2"/>
  <c r="J328" i="2"/>
  <c r="J334" i="2"/>
  <c r="G124" i="2"/>
  <c r="E142" i="2"/>
  <c r="F157" i="2"/>
  <c r="H162" i="2"/>
  <c r="J183" i="2"/>
  <c r="O198" i="2"/>
  <c r="L198" i="2"/>
  <c r="D201" i="2"/>
  <c r="E201" i="2"/>
  <c r="I391" i="2"/>
  <c r="I390" i="2" s="1"/>
  <c r="K391" i="2"/>
  <c r="K390" i="2" s="1"/>
  <c r="L28" i="10"/>
  <c r="L396" i="2"/>
  <c r="L395" i="2" s="1"/>
  <c r="I507" i="2"/>
  <c r="I506" i="2" s="1"/>
  <c r="I10" i="2" s="1"/>
  <c r="I474" i="2"/>
  <c r="I473" i="2" s="1"/>
  <c r="O525" i="2"/>
  <c r="O524" i="2" s="1"/>
  <c r="O517" i="2"/>
  <c r="O516" i="2" s="1"/>
  <c r="K570" i="2"/>
  <c r="K569" i="2" s="1"/>
  <c r="K535" i="2" s="1"/>
  <c r="I578" i="2"/>
  <c r="I577" i="2" s="1"/>
  <c r="I535" i="2" s="1"/>
  <c r="I537" i="2"/>
  <c r="I536" i="2" s="1"/>
  <c r="E189" i="2"/>
  <c r="G189" i="2"/>
  <c r="I189" i="2"/>
  <c r="K189" i="2"/>
  <c r="N189" i="2"/>
  <c r="F24" i="12" s="1"/>
  <c r="I24" i="12"/>
  <c r="J391" i="2"/>
  <c r="J390" i="2" s="1"/>
  <c r="L391" i="2"/>
  <c r="L390" i="2" s="1"/>
  <c r="H473" i="2"/>
  <c r="L473" i="2"/>
  <c r="Q473" i="2"/>
  <c r="E481" i="2"/>
  <c r="G481" i="2"/>
  <c r="G480" i="2" s="1"/>
  <c r="E12" i="10" s="1"/>
  <c r="I481" i="2"/>
  <c r="I480" i="2" s="1"/>
  <c r="G12" i="10" s="1"/>
  <c r="K481" i="2"/>
  <c r="K480" i="2" s="1"/>
  <c r="I12" i="10" s="1"/>
  <c r="P481" i="2"/>
  <c r="R481" i="2"/>
  <c r="H481" i="2"/>
  <c r="Q481" i="2"/>
  <c r="F496" i="2"/>
  <c r="H496" i="2"/>
  <c r="J496" i="2"/>
  <c r="Q524" i="2"/>
  <c r="R524" i="2"/>
  <c r="G537" i="2"/>
  <c r="G536" i="2" s="1"/>
  <c r="P537" i="2"/>
  <c r="P536" i="2" s="1"/>
  <c r="R537" i="2"/>
  <c r="R536" i="2" s="1"/>
  <c r="L613" i="2"/>
  <c r="L612" i="2" s="1"/>
  <c r="I102" i="1" s="1"/>
  <c r="F50" i="2"/>
  <c r="Q24" i="2"/>
  <c r="N21" i="1"/>
  <c r="N126" i="1" s="1"/>
  <c r="N187" i="1" s="1"/>
  <c r="Q40" i="9"/>
  <c r="J14" i="9"/>
  <c r="G14" i="9"/>
  <c r="K14" i="9"/>
  <c r="K11" i="9" s="1"/>
  <c r="K18" i="9"/>
  <c r="K17" i="9" s="1"/>
  <c r="F18" i="9"/>
  <c r="F17" i="9" s="1"/>
  <c r="H18" i="9"/>
  <c r="H17" i="9" s="1"/>
  <c r="N66" i="9"/>
  <c r="N65" i="9" s="1"/>
  <c r="F14" i="9"/>
  <c r="H14" i="9"/>
  <c r="H11" i="9" s="1"/>
  <c r="Q14" i="9"/>
  <c r="Q11" i="9" s="1"/>
  <c r="F35" i="10"/>
  <c r="I35" i="10"/>
  <c r="L34" i="9"/>
  <c r="K53" i="9"/>
  <c r="K52" i="9" s="1"/>
  <c r="I122" i="9"/>
  <c r="E40" i="9"/>
  <c r="C34" i="10" s="1"/>
  <c r="K22" i="9"/>
  <c r="H35" i="10"/>
  <c r="L28" i="9"/>
  <c r="L27" i="9" s="1"/>
  <c r="L41" i="9"/>
  <c r="D69" i="9"/>
  <c r="D68" i="9" s="1"/>
  <c r="O18" i="9"/>
  <c r="M73" i="9"/>
  <c r="M72" i="9" s="1"/>
  <c r="D73" i="9"/>
  <c r="D72" i="9" s="1"/>
  <c r="F12" i="9"/>
  <c r="G12" i="9"/>
  <c r="M32" i="9"/>
  <c r="D34" i="9"/>
  <c r="M34" i="9"/>
  <c r="M41" i="9"/>
  <c r="L46" i="9"/>
  <c r="L45" i="9" s="1"/>
  <c r="D53" i="9"/>
  <c r="D52" i="9" s="1"/>
  <c r="M53" i="9"/>
  <c r="M52" i="9" s="1"/>
  <c r="L59" i="9"/>
  <c r="L56" i="9" s="1"/>
  <c r="D59" i="9"/>
  <c r="D56" i="9" s="1"/>
  <c r="L62" i="9"/>
  <c r="L61" i="9" s="1"/>
  <c r="L73" i="9"/>
  <c r="L72" i="9" s="1"/>
  <c r="I100" i="9"/>
  <c r="E122" i="9"/>
  <c r="O16" i="5"/>
  <c r="O13" i="5" s="1"/>
  <c r="L104" i="8"/>
  <c r="O334" i="2"/>
  <c r="L334" i="2"/>
  <c r="E140" i="2"/>
  <c r="J17" i="7"/>
  <c r="I33" i="7"/>
  <c r="F67" i="1"/>
  <c r="I38" i="7"/>
  <c r="R38" i="7"/>
  <c r="D75" i="7"/>
  <c r="E74" i="7"/>
  <c r="J74" i="7"/>
  <c r="K84" i="7"/>
  <c r="K87" i="7"/>
  <c r="K23" i="7"/>
  <c r="N10" i="7"/>
  <c r="N8" i="7" s="1"/>
  <c r="N14" i="7"/>
  <c r="K68" i="1" s="1"/>
  <c r="K123" i="1" s="1"/>
  <c r="K185" i="1" s="1"/>
  <c r="K38" i="7"/>
  <c r="L44" i="7"/>
  <c r="D57" i="7"/>
  <c r="D56" i="7" s="1"/>
  <c r="K57" i="7"/>
  <c r="K56" i="7" s="1"/>
  <c r="I68" i="7"/>
  <c r="K68" i="7"/>
  <c r="O68" i="7"/>
  <c r="O74" i="7"/>
  <c r="K80" i="7"/>
  <c r="N80" i="7"/>
  <c r="N19" i="7"/>
  <c r="K80" i="1" s="1"/>
  <c r="K140" i="1" s="1"/>
  <c r="K202" i="1" s="1"/>
  <c r="O86" i="7"/>
  <c r="Q86" i="7"/>
  <c r="N89" i="7"/>
  <c r="N21" i="7"/>
  <c r="N20" i="7" s="1"/>
  <c r="D12" i="13"/>
  <c r="M29" i="13"/>
  <c r="M27" i="13"/>
  <c r="Q24" i="8"/>
  <c r="E18" i="8"/>
  <c r="R18" i="8"/>
  <c r="Q30" i="8"/>
  <c r="R13" i="8"/>
  <c r="H24" i="8"/>
  <c r="H23" i="8" s="1"/>
  <c r="N24" i="8"/>
  <c r="J36" i="8"/>
  <c r="E49" i="8"/>
  <c r="E61" i="8"/>
  <c r="I61" i="8"/>
  <c r="M75" i="8"/>
  <c r="M27" i="8"/>
  <c r="M83" i="8"/>
  <c r="M108" i="8"/>
  <c r="M126" i="8"/>
  <c r="D126" i="8"/>
  <c r="M128" i="8"/>
  <c r="M135" i="8"/>
  <c r="M134" i="8" s="1"/>
  <c r="D144" i="8"/>
  <c r="D210" i="8"/>
  <c r="M209" i="8"/>
  <c r="M208" i="8" s="1"/>
  <c r="M181" i="8" s="1"/>
  <c r="M179" i="8" s="1"/>
  <c r="M188" i="8"/>
  <c r="J66" i="1" s="1"/>
  <c r="G18" i="8"/>
  <c r="J45" i="8"/>
  <c r="J44" i="8" s="1"/>
  <c r="M49" i="8"/>
  <c r="M22" i="8"/>
  <c r="M72" i="8"/>
  <c r="O75" i="8"/>
  <c r="O74" i="8" s="1"/>
  <c r="M18" i="10" s="1"/>
  <c r="M81" i="8"/>
  <c r="M80" i="8" s="1"/>
  <c r="M86" i="8"/>
  <c r="M85" i="8" s="1"/>
  <c r="D86" i="8"/>
  <c r="D85" i="8" s="1"/>
  <c r="J94" i="8"/>
  <c r="J91" i="8" s="1"/>
  <c r="H13" i="10" s="1"/>
  <c r="I94" i="8"/>
  <c r="I91" i="8" s="1"/>
  <c r="G13" i="10" s="1"/>
  <c r="J100" i="8"/>
  <c r="J97" i="8" s="1"/>
  <c r="I100" i="8"/>
  <c r="I97" i="8" s="1"/>
  <c r="D28" i="8"/>
  <c r="M28" i="8"/>
  <c r="J35" i="1" s="1"/>
  <c r="M120" i="8"/>
  <c r="M123" i="8"/>
  <c r="D123" i="8"/>
  <c r="D197" i="8"/>
  <c r="D196" i="8" s="1"/>
  <c r="F181" i="8"/>
  <c r="F179" i="8" s="1"/>
  <c r="J181" i="8"/>
  <c r="J179" i="8" s="1"/>
  <c r="L209" i="8"/>
  <c r="L208" i="8" s="1"/>
  <c r="M212" i="8"/>
  <c r="M211" i="8" s="1"/>
  <c r="D213" i="8"/>
  <c r="D194" i="8" s="1"/>
  <c r="M194" i="8"/>
  <c r="J79" i="1" s="1"/>
  <c r="U79" i="1" s="1"/>
  <c r="D158" i="8"/>
  <c r="D152" i="8"/>
  <c r="Q13" i="5"/>
  <c r="E33" i="5"/>
  <c r="F84" i="5"/>
  <c r="J84" i="5"/>
  <c r="G13" i="5"/>
  <c r="F27" i="5"/>
  <c r="D37" i="10" s="1"/>
  <c r="H27" i="5"/>
  <c r="F37" i="10" s="1"/>
  <c r="J27" i="5"/>
  <c r="H37" i="10" s="1"/>
  <c r="L27" i="5"/>
  <c r="J37" i="10" s="1"/>
  <c r="E30" i="5"/>
  <c r="E27" i="5" s="1"/>
  <c r="G38" i="5"/>
  <c r="I38" i="5"/>
  <c r="K38" i="5"/>
  <c r="E48" i="5"/>
  <c r="E47" i="5" s="1"/>
  <c r="P84" i="5"/>
  <c r="K104" i="5"/>
  <c r="G22" i="5"/>
  <c r="G11" i="5" s="1"/>
  <c r="I22" i="5"/>
  <c r="I11" i="5" s="1"/>
  <c r="K22" i="5"/>
  <c r="K11" i="5" s="1"/>
  <c r="P22" i="5"/>
  <c r="R22" i="5"/>
  <c r="R8" i="9"/>
  <c r="D85" i="9"/>
  <c r="G40" i="9"/>
  <c r="O24" i="4"/>
  <c r="O23" i="4" s="1"/>
  <c r="S17" i="4"/>
  <c r="P68" i="1" s="1"/>
  <c r="P64" i="1" s="1"/>
  <c r="M55" i="4"/>
  <c r="M54" i="4" s="1"/>
  <c r="M62" i="4"/>
  <c r="M63" i="4"/>
  <c r="D25" i="4"/>
  <c r="N67" i="4"/>
  <c r="D68" i="4"/>
  <c r="D28" i="4"/>
  <c r="L104" i="4"/>
  <c r="O104" i="4"/>
  <c r="J23" i="4"/>
  <c r="F23" i="4"/>
  <c r="K42" i="4"/>
  <c r="K41" i="4" s="1"/>
  <c r="G54" i="4"/>
  <c r="K54" i="4"/>
  <c r="D26" i="4"/>
  <c r="D71" i="4"/>
  <c r="D67" i="4" s="1"/>
  <c r="H23" i="4"/>
  <c r="I54" i="4"/>
  <c r="P33" i="6"/>
  <c r="O39" i="6"/>
  <c r="N44" i="6"/>
  <c r="P44" i="6"/>
  <c r="M75" i="6"/>
  <c r="M89" i="6"/>
  <c r="M88" i="6" s="1"/>
  <c r="M242" i="6"/>
  <c r="M241" i="6" s="1"/>
  <c r="M228" i="6"/>
  <c r="M246" i="6"/>
  <c r="M245" i="6" s="1"/>
  <c r="M231" i="6"/>
  <c r="M230" i="6" s="1"/>
  <c r="M229" i="6" s="1"/>
  <c r="M73" i="6"/>
  <c r="M86" i="6"/>
  <c r="M234" i="6"/>
  <c r="M233" i="6" s="1"/>
  <c r="M224" i="6" s="1"/>
  <c r="P71" i="3"/>
  <c r="P173" i="3"/>
  <c r="N21" i="10" s="1"/>
  <c r="W21" i="10" s="1"/>
  <c r="N45" i="3"/>
  <c r="N42" i="3" s="1"/>
  <c r="E49" i="3"/>
  <c r="M54" i="3"/>
  <c r="M50" i="3" s="1"/>
  <c r="M49" i="3" s="1"/>
  <c r="I49" i="3"/>
  <c r="D61" i="3"/>
  <c r="M63" i="3"/>
  <c r="M62" i="3" s="1"/>
  <c r="M59" i="3" s="1"/>
  <c r="M26" i="3"/>
  <c r="M25" i="3" s="1"/>
  <c r="D43" i="3"/>
  <c r="D42" i="3" s="1"/>
  <c r="G49" i="3"/>
  <c r="K49" i="3"/>
  <c r="N66" i="3"/>
  <c r="N65" i="3" s="1"/>
  <c r="I66" i="3"/>
  <c r="I65" i="3" s="1"/>
  <c r="M67" i="3"/>
  <c r="M68" i="3"/>
  <c r="D68" i="3" s="1"/>
  <c r="M70" i="3"/>
  <c r="M73" i="3"/>
  <c r="G71" i="3"/>
  <c r="J74" i="3"/>
  <c r="K74" i="3"/>
  <c r="N74" i="3"/>
  <c r="N71" i="3" s="1"/>
  <c r="L78" i="3"/>
  <c r="M90" i="3"/>
  <c r="Q89" i="3"/>
  <c r="M118" i="3"/>
  <c r="M121" i="3"/>
  <c r="L126" i="3"/>
  <c r="F131" i="3"/>
  <c r="J132" i="3"/>
  <c r="O134" i="3"/>
  <c r="O131" i="3" s="1"/>
  <c r="F137" i="3"/>
  <c r="F10" i="3" s="1"/>
  <c r="H137" i="3"/>
  <c r="H10" i="3" s="1"/>
  <c r="J137" i="3"/>
  <c r="J10" i="3" s="1"/>
  <c r="L138" i="3"/>
  <c r="L137" i="3" s="1"/>
  <c r="L10" i="3" s="1"/>
  <c r="M139" i="3"/>
  <c r="G137" i="3"/>
  <c r="G10" i="3" s="1"/>
  <c r="I137" i="3"/>
  <c r="I10" i="3" s="1"/>
  <c r="M147" i="3"/>
  <c r="I22" i="10"/>
  <c r="Q179" i="3"/>
  <c r="O22" i="10" s="1"/>
  <c r="E198" i="3"/>
  <c r="L206" i="3"/>
  <c r="L203" i="3" s="1"/>
  <c r="M210" i="3"/>
  <c r="M213" i="3"/>
  <c r="D213" i="3"/>
  <c r="Z213" i="3" s="1"/>
  <c r="K19" i="1"/>
  <c r="K124" i="1" s="1"/>
  <c r="K186" i="1" s="1"/>
  <c r="J71" i="3"/>
  <c r="M75" i="3"/>
  <c r="M78" i="3"/>
  <c r="P77" i="3"/>
  <c r="M96" i="3"/>
  <c r="M95" i="3" s="1"/>
  <c r="L114" i="3"/>
  <c r="L113" i="3" s="1"/>
  <c r="M116" i="3"/>
  <c r="P113" i="3"/>
  <c r="M123" i="3"/>
  <c r="E12" i="3"/>
  <c r="H126" i="3"/>
  <c r="H125" i="3" s="1"/>
  <c r="G129" i="3"/>
  <c r="L129" i="3"/>
  <c r="L134" i="3"/>
  <c r="L131" i="3" s="1"/>
  <c r="D142" i="3"/>
  <c r="M141" i="3"/>
  <c r="J22" i="10"/>
  <c r="D198" i="3"/>
  <c r="F197" i="3"/>
  <c r="H197" i="3"/>
  <c r="J197" i="3"/>
  <c r="L197" i="3"/>
  <c r="O197" i="3"/>
  <c r="Q197" i="3"/>
  <c r="J215" i="3"/>
  <c r="L215" i="3"/>
  <c r="F537" i="2"/>
  <c r="F536" i="2" s="1"/>
  <c r="K146" i="2"/>
  <c r="K145" i="2" s="1"/>
  <c r="I160" i="2"/>
  <c r="I157" i="2" s="1"/>
  <c r="H183" i="2"/>
  <c r="E335" i="2"/>
  <c r="G334" i="2"/>
  <c r="K124" i="2"/>
  <c r="N127" i="2"/>
  <c r="G139" i="2"/>
  <c r="K139" i="2"/>
  <c r="P139" i="2"/>
  <c r="P157" i="2"/>
  <c r="I12" i="12" s="1"/>
  <c r="L340" i="2"/>
  <c r="G145" i="2"/>
  <c r="O145" i="2"/>
  <c r="G157" i="2"/>
  <c r="O183" i="2"/>
  <c r="P239" i="2"/>
  <c r="O239" i="2"/>
  <c r="F214" i="2"/>
  <c r="H214" i="2"/>
  <c r="K214" i="2"/>
  <c r="N214" i="2"/>
  <c r="P214" i="2"/>
  <c r="O214" i="2"/>
  <c r="O382" i="2"/>
  <c r="F390" i="2"/>
  <c r="F473" i="2"/>
  <c r="J473" i="2"/>
  <c r="L485" i="2"/>
  <c r="O485" i="2"/>
  <c r="L497" i="2"/>
  <c r="P496" i="2"/>
  <c r="N496" i="2"/>
  <c r="N517" i="2"/>
  <c r="N516" i="2" s="1"/>
  <c r="L618" i="2"/>
  <c r="L617" i="2" s="1"/>
  <c r="M62" i="2"/>
  <c r="D62" i="2"/>
  <c r="M72" i="2"/>
  <c r="D74" i="2"/>
  <c r="D72" i="2" s="1"/>
  <c r="N90" i="2"/>
  <c r="D134" i="2"/>
  <c r="D133" i="2" s="1"/>
  <c r="M208" i="2"/>
  <c r="M207" i="2" s="1"/>
  <c r="D208" i="2"/>
  <c r="O208" i="2"/>
  <c r="O207" i="2" s="1"/>
  <c r="O518" i="2"/>
  <c r="D566" i="2"/>
  <c r="D565" i="2" s="1"/>
  <c r="M609" i="2"/>
  <c r="M608" i="2" s="1"/>
  <c r="D609" i="2"/>
  <c r="D608" i="2" s="1"/>
  <c r="M618" i="2"/>
  <c r="M617" i="2" s="1"/>
  <c r="D619" i="2"/>
  <c r="D618" i="2" s="1"/>
  <c r="D617" i="2" s="1"/>
  <c r="M121" i="2"/>
  <c r="O264" i="2"/>
  <c r="D158" i="2"/>
  <c r="O178" i="2"/>
  <c r="O177" i="2" s="1"/>
  <c r="H16" i="12" s="1"/>
  <c r="F198" i="2"/>
  <c r="H198" i="2"/>
  <c r="J198" i="2"/>
  <c r="L214" i="2"/>
  <c r="M220" i="2"/>
  <c r="M219" i="2" s="1"/>
  <c r="D220" i="2"/>
  <c r="D219" i="2" s="1"/>
  <c r="D28" i="10"/>
  <c r="F28" i="10"/>
  <c r="J28" i="10"/>
  <c r="G390" i="2"/>
  <c r="N390" i="2"/>
  <c r="P390" i="2"/>
  <c r="G473" i="2"/>
  <c r="G472" i="2" s="1"/>
  <c r="K473" i="2"/>
  <c r="P473" i="2"/>
  <c r="R473" i="2"/>
  <c r="D25" i="2"/>
  <c r="N489" i="2"/>
  <c r="N488" i="2" s="1"/>
  <c r="D497" i="2"/>
  <c r="N518" i="2"/>
  <c r="N522" i="2"/>
  <c r="N525" i="2"/>
  <c r="N524" i="2" s="1"/>
  <c r="N530" i="2"/>
  <c r="N529" i="2" s="1"/>
  <c r="Q537" i="2"/>
  <c r="Q536" i="2" s="1"/>
  <c r="P566" i="2"/>
  <c r="P565" i="2" s="1"/>
  <c r="Z565" i="2" s="1"/>
  <c r="Z589" i="2"/>
  <c r="Z604" i="2"/>
  <c r="Z608" i="2"/>
  <c r="O621" i="2"/>
  <c r="Z621" i="2" s="1"/>
  <c r="D34" i="2"/>
  <c r="D15" i="2"/>
  <c r="D22" i="2"/>
  <c r="P82" i="2"/>
  <c r="I90" i="2"/>
  <c r="N162" i="2"/>
  <c r="N183" i="2"/>
  <c r="P183" i="2"/>
  <c r="G506" i="2"/>
  <c r="G10" i="2" s="1"/>
  <c r="K506" i="2"/>
  <c r="K10" i="2" s="1"/>
  <c r="G183" i="2"/>
  <c r="I183" i="2"/>
  <c r="K183" i="2"/>
  <c r="G198" i="2"/>
  <c r="K198" i="2"/>
  <c r="M80" i="2"/>
  <c r="D257" i="2"/>
  <c r="G112" i="2"/>
  <c r="K112" i="2"/>
  <c r="N506" i="2"/>
  <c r="N10" i="2" s="1"/>
  <c r="O112" i="2"/>
  <c r="D139" i="2"/>
  <c r="F118" i="2"/>
  <c r="J118" i="2"/>
  <c r="D265" i="2"/>
  <c r="D264" i="2" s="1"/>
  <c r="L371" i="2"/>
  <c r="O371" i="2"/>
  <c r="L328" i="2"/>
  <c r="F334" i="2"/>
  <c r="H334" i="2"/>
  <c r="K334" i="2"/>
  <c r="N334" i="2"/>
  <c r="P334" i="2"/>
  <c r="L127" i="2"/>
  <c r="F145" i="2"/>
  <c r="H145" i="2"/>
  <c r="G18" i="12"/>
  <c r="E28" i="10"/>
  <c r="N28" i="10"/>
  <c r="W28" i="10" s="1"/>
  <c r="D493" i="2"/>
  <c r="O507" i="2"/>
  <c r="E509" i="2"/>
  <c r="Q515" i="2"/>
  <c r="O38" i="10" s="1"/>
  <c r="E558" i="2"/>
  <c r="E557" i="2" s="1"/>
  <c r="O558" i="2"/>
  <c r="O557" i="2" s="1"/>
  <c r="O535" i="2" s="1"/>
  <c r="L629" i="2"/>
  <c r="M630" i="2"/>
  <c r="N118" i="2"/>
  <c r="M362" i="2"/>
  <c r="D362" i="2" s="1"/>
  <c r="M370" i="2"/>
  <c r="L349" i="2"/>
  <c r="L346" i="2" s="1"/>
  <c r="L154" i="2"/>
  <c r="L151" i="2" s="1"/>
  <c r="L165" i="2"/>
  <c r="L162" i="2" s="1"/>
  <c r="P168" i="2"/>
  <c r="I20" i="12" s="1"/>
  <c r="F168" i="2"/>
  <c r="H168" i="2"/>
  <c r="J168" i="2"/>
  <c r="L174" i="2"/>
  <c r="L173" i="2" s="1"/>
  <c r="G17" i="12"/>
  <c r="L186" i="2"/>
  <c r="L183" i="2" s="1"/>
  <c r="F189" i="2"/>
  <c r="H189" i="2"/>
  <c r="E195" i="2"/>
  <c r="E194" i="2" s="1"/>
  <c r="E245" i="2"/>
  <c r="E244" i="2" s="1"/>
  <c r="E215" i="2"/>
  <c r="E214" i="2" s="1"/>
  <c r="I214" i="2"/>
  <c r="M558" i="2"/>
  <c r="M557" i="2" s="1"/>
  <c r="M540" i="2"/>
  <c r="J69" i="1" s="1"/>
  <c r="Z585" i="2"/>
  <c r="M590" i="2"/>
  <c r="M589" i="2" s="1"/>
  <c r="I23" i="6"/>
  <c r="I22" i="6" s="1"/>
  <c r="I21" i="6" s="1"/>
  <c r="K23" i="6"/>
  <c r="K22" i="6" s="1"/>
  <c r="K21" i="6" s="1"/>
  <c r="J25" i="6"/>
  <c r="J21" i="6" s="1"/>
  <c r="K75" i="6"/>
  <c r="K72" i="6" s="1"/>
  <c r="I30" i="10" s="1"/>
  <c r="I234" i="6"/>
  <c r="I233" i="6" s="1"/>
  <c r="I224" i="6" s="1"/>
  <c r="N234" i="6"/>
  <c r="N233" i="6" s="1"/>
  <c r="N224" i="6" s="1"/>
  <c r="D238" i="6"/>
  <c r="D237" i="6" s="1"/>
  <c r="J231" i="6"/>
  <c r="J230" i="6" s="1"/>
  <c r="J229" i="6" s="1"/>
  <c r="I16" i="6"/>
  <c r="F19" i="1" s="1"/>
  <c r="F124" i="1" s="1"/>
  <c r="F186" i="1" s="1"/>
  <c r="L23" i="6"/>
  <c r="H77" i="6"/>
  <c r="F31" i="10" s="1"/>
  <c r="D80" i="6"/>
  <c r="J89" i="6"/>
  <c r="J88" i="6" s="1"/>
  <c r="J228" i="6"/>
  <c r="D228" i="6"/>
  <c r="O28" i="6"/>
  <c r="M19" i="10" s="1"/>
  <c r="L19" i="6"/>
  <c r="R222" i="6"/>
  <c r="E22" i="6"/>
  <c r="E19" i="6"/>
  <c r="G83" i="6"/>
  <c r="I227" i="6"/>
  <c r="I226" i="6" s="1"/>
  <c r="I225" i="6" s="1"/>
  <c r="O226" i="6"/>
  <c r="O225" i="6" s="1"/>
  <c r="P72" i="6"/>
  <c r="N30" i="10" s="1"/>
  <c r="Q77" i="6"/>
  <c r="J72" i="6"/>
  <c r="H30" i="10" s="1"/>
  <c r="K222" i="6"/>
  <c r="G72" i="6"/>
  <c r="E30" i="10" s="1"/>
  <c r="I72" i="6"/>
  <c r="G30" i="10" s="1"/>
  <c r="F77" i="6"/>
  <c r="D31" i="10" s="1"/>
  <c r="J77" i="6"/>
  <c r="H31" i="10" s="1"/>
  <c r="K80" i="6"/>
  <c r="E83" i="6"/>
  <c r="I83" i="6"/>
  <c r="P227" i="6"/>
  <c r="X227" i="6" s="1"/>
  <c r="P19" i="6"/>
  <c r="Q19" i="6"/>
  <c r="D60" i="3"/>
  <c r="L72" i="6"/>
  <c r="J30" i="10" s="1"/>
  <c r="O72" i="6"/>
  <c r="N72" i="6"/>
  <c r="L30" i="10" s="1"/>
  <c r="D132" i="8"/>
  <c r="D131" i="8" s="1"/>
  <c r="N30" i="8"/>
  <c r="N23" i="8" s="1"/>
  <c r="AA18" i="4"/>
  <c r="N41" i="4"/>
  <c r="N22" i="5"/>
  <c r="L22" i="5"/>
  <c r="L11" i="5" s="1"/>
  <c r="N33" i="5"/>
  <c r="O118" i="2"/>
  <c r="L189" i="2"/>
  <c r="J189" i="2"/>
  <c r="O190" i="8"/>
  <c r="O189" i="8" s="1"/>
  <c r="P18" i="8"/>
  <c r="N69" i="8"/>
  <c r="O56" i="7"/>
  <c r="P25" i="6"/>
  <c r="P21" i="6" s="1"/>
  <c r="L14" i="4"/>
  <c r="L13" i="4" s="1"/>
  <c r="N38" i="7"/>
  <c r="J68" i="2"/>
  <c r="N256" i="2"/>
  <c r="O124" i="2"/>
  <c r="E151" i="2"/>
  <c r="G151" i="2"/>
  <c r="I151" i="2"/>
  <c r="K151" i="2"/>
  <c r="N55" i="2"/>
  <c r="N54" i="2" s="1"/>
  <c r="E57" i="2"/>
  <c r="M57" i="2" s="1"/>
  <c r="D57" i="2" s="1"/>
  <c r="D225" i="2"/>
  <c r="E69" i="2"/>
  <c r="N69" i="2"/>
  <c r="N68" i="2" s="1"/>
  <c r="L76" i="2"/>
  <c r="L75" i="2" s="1"/>
  <c r="K83" i="2"/>
  <c r="N83" i="2"/>
  <c r="N82" i="2" s="1"/>
  <c r="F90" i="2"/>
  <c r="H90" i="2"/>
  <c r="J90" i="2"/>
  <c r="O90" i="2"/>
  <c r="L108" i="2"/>
  <c r="L105" i="2" s="1"/>
  <c r="E121" i="2"/>
  <c r="G118" i="2"/>
  <c r="I118" i="2"/>
  <c r="K118" i="2"/>
  <c r="P118" i="2"/>
  <c r="E357" i="2"/>
  <c r="E43" i="2" s="1"/>
  <c r="E361" i="2"/>
  <c r="E358" i="2" s="1"/>
  <c r="E264" i="2"/>
  <c r="G264" i="2"/>
  <c r="I264" i="2"/>
  <c r="K264" i="2"/>
  <c r="N264" i="2"/>
  <c r="P264" i="2"/>
  <c r="E271" i="2"/>
  <c r="E273" i="2"/>
  <c r="J364" i="2"/>
  <c r="F371" i="2"/>
  <c r="H371" i="2"/>
  <c r="J371" i="2"/>
  <c r="O328" i="2"/>
  <c r="E337" i="2"/>
  <c r="I334" i="2"/>
  <c r="J125" i="2"/>
  <c r="J124" i="2" s="1"/>
  <c r="N125" i="2"/>
  <c r="F124" i="2"/>
  <c r="H124" i="2"/>
  <c r="G133" i="2"/>
  <c r="I133" i="2"/>
  <c r="K133" i="2"/>
  <c r="N133" i="2"/>
  <c r="P133" i="2"/>
  <c r="E344" i="2"/>
  <c r="E149" i="2"/>
  <c r="E145" i="2" s="1"/>
  <c r="I145" i="2"/>
  <c r="N151" i="2"/>
  <c r="P151" i="2"/>
  <c r="N160" i="2"/>
  <c r="F162" i="2"/>
  <c r="E165" i="2"/>
  <c r="O162" i="2"/>
  <c r="F32" i="3"/>
  <c r="H32" i="3"/>
  <c r="J32" i="3"/>
  <c r="L32" i="3"/>
  <c r="E72" i="3"/>
  <c r="E71" i="3" s="1"/>
  <c r="O71" i="3"/>
  <c r="F77" i="3"/>
  <c r="H77" i="3"/>
  <c r="J77" i="3"/>
  <c r="L77" i="3"/>
  <c r="O81" i="3"/>
  <c r="O77" i="3" s="1"/>
  <c r="Z77" i="3" s="1"/>
  <c r="N83" i="3"/>
  <c r="L93" i="3"/>
  <c r="N95" i="3"/>
  <c r="P95" i="3"/>
  <c r="N113" i="3"/>
  <c r="L119" i="3"/>
  <c r="E126" i="3"/>
  <c r="F36" i="10"/>
  <c r="G162" i="2"/>
  <c r="I162" i="2"/>
  <c r="K162" i="2"/>
  <c r="P162" i="2"/>
  <c r="E171" i="2"/>
  <c r="E168" i="2" s="1"/>
  <c r="I168" i="2"/>
  <c r="N181" i="2"/>
  <c r="D190" i="2"/>
  <c r="D189" i="2" s="1"/>
  <c r="E199" i="2"/>
  <c r="I239" i="2"/>
  <c r="N208" i="2"/>
  <c r="N207" i="2" s="1"/>
  <c r="G214" i="2"/>
  <c r="O379" i="2"/>
  <c r="E391" i="2"/>
  <c r="E393" i="2"/>
  <c r="E396" i="2"/>
  <c r="E395" i="2" s="1"/>
  <c r="N473" i="2"/>
  <c r="Z569" i="2"/>
  <c r="Z577" i="2"/>
  <c r="N605" i="2"/>
  <c r="N604" i="2" s="1"/>
  <c r="Z637" i="2"/>
  <c r="K71" i="3"/>
  <c r="D78" i="3"/>
  <c r="E117" i="3"/>
  <c r="E113" i="3" s="1"/>
  <c r="D63" i="4"/>
  <c r="D62" i="4"/>
  <c r="O119" i="3"/>
  <c r="N131" i="3"/>
  <c r="I131" i="3"/>
  <c r="N137" i="3"/>
  <c r="N10" i="3" s="1"/>
  <c r="G21" i="10"/>
  <c r="F22" i="10"/>
  <c r="Z209" i="3"/>
  <c r="E24" i="4"/>
  <c r="G24" i="4"/>
  <c r="I24" i="4"/>
  <c r="K24" i="4"/>
  <c r="O27" i="5"/>
  <c r="Q27" i="5"/>
  <c r="O37" i="10" s="1"/>
  <c r="P83" i="5"/>
  <c r="O33" i="6"/>
  <c r="M20" i="10" s="1"/>
  <c r="L222" i="6"/>
  <c r="G12" i="7"/>
  <c r="G11" i="7" s="1"/>
  <c r="I12" i="7"/>
  <c r="I11" i="7" s="1"/>
  <c r="E17" i="7"/>
  <c r="I17" i="7"/>
  <c r="D41" i="7"/>
  <c r="E41" i="7"/>
  <c r="E38" i="7" s="1"/>
  <c r="Q44" i="7"/>
  <c r="D188" i="8"/>
  <c r="D209" i="8"/>
  <c r="D208" i="8" s="1"/>
  <c r="J113" i="3"/>
  <c r="G113" i="3"/>
  <c r="F119" i="3"/>
  <c r="H119" i="3"/>
  <c r="F126" i="3"/>
  <c r="F125" i="3" s="1"/>
  <c r="J126" i="3"/>
  <c r="J125" i="3" s="1"/>
  <c r="J131" i="3"/>
  <c r="D21" i="10"/>
  <c r="F21" i="10"/>
  <c r="C21" i="10"/>
  <c r="L21" i="10"/>
  <c r="P185" i="3"/>
  <c r="Q185" i="3"/>
  <c r="E204" i="3"/>
  <c r="G203" i="3"/>
  <c r="I203" i="3"/>
  <c r="K203" i="3"/>
  <c r="N203" i="3"/>
  <c r="P203" i="3"/>
  <c r="F203" i="3"/>
  <c r="H203" i="3"/>
  <c r="J203" i="3"/>
  <c r="O203" i="3"/>
  <c r="Q203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8" i="4"/>
  <c r="J62" i="4"/>
  <c r="J63" i="4"/>
  <c r="N80" i="4"/>
  <c r="N79" i="4" s="1"/>
  <c r="D85" i="4"/>
  <c r="D84" i="4" s="1"/>
  <c r="E23" i="5"/>
  <c r="E22" i="5" s="1"/>
  <c r="E39" i="5"/>
  <c r="N38" i="5"/>
  <c r="E45" i="5"/>
  <c r="E44" i="5" s="1"/>
  <c r="L78" i="5"/>
  <c r="I71" i="1" s="1"/>
  <c r="E84" i="5"/>
  <c r="G84" i="5"/>
  <c r="I84" i="5"/>
  <c r="N108" i="5"/>
  <c r="N104" i="5" s="1"/>
  <c r="K78" i="6"/>
  <c r="N77" i="6"/>
  <c r="L31" i="10" s="1"/>
  <c r="L84" i="6"/>
  <c r="L83" i="6" s="1"/>
  <c r="L12" i="6" s="1"/>
  <c r="F83" i="6"/>
  <c r="H83" i="6"/>
  <c r="O83" i="6"/>
  <c r="O12" i="6" s="1"/>
  <c r="Q222" i="6"/>
  <c r="J227" i="6"/>
  <c r="L227" i="6"/>
  <c r="E223" i="6"/>
  <c r="B60" i="1" s="1"/>
  <c r="G223" i="6"/>
  <c r="D60" i="1" s="1"/>
  <c r="I223" i="6"/>
  <c r="F60" i="1" s="1"/>
  <c r="Q32" i="7"/>
  <c r="L50" i="7"/>
  <c r="E53" i="7"/>
  <c r="E50" i="7" s="1"/>
  <c r="O50" i="7"/>
  <c r="O179" i="8"/>
  <c r="P68" i="7"/>
  <c r="R68" i="7"/>
  <c r="L16" i="7"/>
  <c r="I74" i="1" s="1"/>
  <c r="I73" i="1" s="1"/>
  <c r="O16" i="7"/>
  <c r="O15" i="7" s="1"/>
  <c r="K86" i="7"/>
  <c r="N86" i="7"/>
  <c r="G12" i="8"/>
  <c r="G16" i="10"/>
  <c r="G18" i="10"/>
  <c r="K16" i="8"/>
  <c r="H20" i="1" s="1"/>
  <c r="H125" i="1" s="1"/>
  <c r="H191" i="1" s="1"/>
  <c r="L30" i="8"/>
  <c r="O30" i="8"/>
  <c r="F125" i="8"/>
  <c r="D14" i="10" s="1"/>
  <c r="E152" i="8"/>
  <c r="G152" i="8"/>
  <c r="I152" i="8"/>
  <c r="K152" i="8"/>
  <c r="N152" i="8"/>
  <c r="P152" i="8"/>
  <c r="R152" i="8"/>
  <c r="E165" i="8"/>
  <c r="I165" i="8"/>
  <c r="K165" i="8"/>
  <c r="D172" i="8"/>
  <c r="G190" i="8"/>
  <c r="G189" i="8" s="1"/>
  <c r="I190" i="8"/>
  <c r="I189" i="8" s="1"/>
  <c r="K190" i="8"/>
  <c r="K189" i="8" s="1"/>
  <c r="E196" i="8"/>
  <c r="E181" i="8" s="1"/>
  <c r="E179" i="8" s="1"/>
  <c r="I196" i="8"/>
  <c r="I181" i="8" s="1"/>
  <c r="I179" i="8" s="1"/>
  <c r="K196" i="8"/>
  <c r="K181" i="8" s="1"/>
  <c r="K179" i="8" s="1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K55" i="8"/>
  <c r="K54" i="8" s="1"/>
  <c r="L61" i="8"/>
  <c r="O61" i="8"/>
  <c r="K69" i="8"/>
  <c r="P69" i="8"/>
  <c r="O80" i="8"/>
  <c r="H111" i="8"/>
  <c r="K115" i="8"/>
  <c r="K111" i="8" s="1"/>
  <c r="D138" i="8"/>
  <c r="E138" i="8"/>
  <c r="G138" i="8"/>
  <c r="G10" i="8" s="1"/>
  <c r="I138" i="8"/>
  <c r="K138" i="8"/>
  <c r="N138" i="8"/>
  <c r="P138" i="8"/>
  <c r="R138" i="8"/>
  <c r="D183" i="8"/>
  <c r="D182" i="8" s="1"/>
  <c r="H181" i="8"/>
  <c r="H179" i="8" s="1"/>
  <c r="L181" i="8"/>
  <c r="L179" i="8" s="1"/>
  <c r="D204" i="8"/>
  <c r="D203" i="8" s="1"/>
  <c r="G181" i="8"/>
  <c r="G179" i="8" s="1"/>
  <c r="N23" i="9"/>
  <c r="F22" i="9"/>
  <c r="H22" i="9"/>
  <c r="F34" i="10" s="1"/>
  <c r="J25" i="9"/>
  <c r="N32" i="9"/>
  <c r="H122" i="9"/>
  <c r="L122" i="9"/>
  <c r="F31" i="9"/>
  <c r="F10" i="9" s="1"/>
  <c r="H31" i="9"/>
  <c r="H10" i="9" s="1"/>
  <c r="J31" i="9"/>
  <c r="J10" i="9" s="1"/>
  <c r="N43" i="9"/>
  <c r="P40" i="9"/>
  <c r="W34" i="10" s="1"/>
  <c r="K62" i="9"/>
  <c r="K61" i="9" s="1"/>
  <c r="I84" i="9"/>
  <c r="D84" i="9" s="1"/>
  <c r="Z84" i="9" s="1"/>
  <c r="D122" i="9"/>
  <c r="F122" i="9"/>
  <c r="J122" i="9"/>
  <c r="D271" i="2"/>
  <c r="D51" i="2"/>
  <c r="D527" i="2"/>
  <c r="N618" i="2"/>
  <c r="N617" i="2" s="1"/>
  <c r="N33" i="3"/>
  <c r="N39" i="3"/>
  <c r="I72" i="3"/>
  <c r="I71" i="3" s="1"/>
  <c r="N93" i="3"/>
  <c r="N89" i="3" s="1"/>
  <c r="Z101" i="3"/>
  <c r="I122" i="3"/>
  <c r="I119" i="3" s="1"/>
  <c r="E129" i="3"/>
  <c r="E125" i="3" s="1"/>
  <c r="O129" i="3"/>
  <c r="O125" i="3" s="1"/>
  <c r="G134" i="3"/>
  <c r="G131" i="3" s="1"/>
  <c r="L55" i="2"/>
  <c r="L54" i="2" s="1"/>
  <c r="E64" i="2"/>
  <c r="E61" i="2" s="1"/>
  <c r="E78" i="2"/>
  <c r="E75" i="2" s="1"/>
  <c r="K87" i="2"/>
  <c r="L91" i="2"/>
  <c r="L90" i="2" s="1"/>
  <c r="E94" i="2"/>
  <c r="E90" i="2" s="1"/>
  <c r="I99" i="2"/>
  <c r="N99" i="2"/>
  <c r="N98" i="2" s="1"/>
  <c r="I102" i="2"/>
  <c r="G356" i="2"/>
  <c r="N329" i="2"/>
  <c r="N328" i="2" s="1"/>
  <c r="D329" i="2"/>
  <c r="E332" i="2"/>
  <c r="E328" i="2" s="1"/>
  <c r="L125" i="2"/>
  <c r="I127" i="2"/>
  <c r="I124" i="2" s="1"/>
  <c r="E137" i="2"/>
  <c r="I340" i="2"/>
  <c r="J160" i="2"/>
  <c r="J157" i="2" s="1"/>
  <c r="L160" i="2"/>
  <c r="L168" i="2"/>
  <c r="O168" i="2"/>
  <c r="H20" i="12" s="1"/>
  <c r="N171" i="2"/>
  <c r="L181" i="2"/>
  <c r="N240" i="2"/>
  <c r="N239" i="2" s="1"/>
  <c r="L208" i="2"/>
  <c r="L211" i="2"/>
  <c r="O550" i="2"/>
  <c r="O549" i="2" s="1"/>
  <c r="Z549" i="2" s="1"/>
  <c r="N570" i="2"/>
  <c r="N569" i="2" s="1"/>
  <c r="E578" i="2"/>
  <c r="E577" i="2" s="1"/>
  <c r="D540" i="2"/>
  <c r="L609" i="2"/>
  <c r="L608" i="2" s="1"/>
  <c r="N621" i="2"/>
  <c r="O629" i="2"/>
  <c r="Z645" i="2"/>
  <c r="Z25" i="3"/>
  <c r="D33" i="3"/>
  <c r="E33" i="3"/>
  <c r="E32" i="3" s="1"/>
  <c r="D96" i="3"/>
  <c r="D95" i="3" s="1"/>
  <c r="L96" i="3"/>
  <c r="L95" i="3" s="1"/>
  <c r="J21" i="10"/>
  <c r="G125" i="3"/>
  <c r="I125" i="3"/>
  <c r="B34" i="1"/>
  <c r="B137" i="1" s="1"/>
  <c r="B199" i="1" s="1"/>
  <c r="E213" i="3"/>
  <c r="Q13" i="4"/>
  <c r="F14" i="4"/>
  <c r="F13" i="4" s="1"/>
  <c r="J14" i="4"/>
  <c r="E55" i="4"/>
  <c r="E54" i="4" s="1"/>
  <c r="E17" i="4"/>
  <c r="B68" i="1" s="1"/>
  <c r="B123" i="1" s="1"/>
  <c r="D20" i="4"/>
  <c r="N55" i="4"/>
  <c r="N54" i="4" s="1"/>
  <c r="N20" i="4"/>
  <c r="K69" i="1" s="1"/>
  <c r="J36" i="10"/>
  <c r="D36" i="10"/>
  <c r="H36" i="10"/>
  <c r="D25" i="5"/>
  <c r="D22" i="5" s="1"/>
  <c r="E36" i="10"/>
  <c r="G10" i="5"/>
  <c r="G36" i="10"/>
  <c r="I10" i="5"/>
  <c r="I36" i="10"/>
  <c r="K10" i="5"/>
  <c r="D39" i="5"/>
  <c r="E38" i="5"/>
  <c r="L105" i="5"/>
  <c r="L104" i="5" s="1"/>
  <c r="L86" i="5"/>
  <c r="L61" i="5" s="1"/>
  <c r="K84" i="6"/>
  <c r="K83" i="6" s="1"/>
  <c r="K12" i="6" s="1"/>
  <c r="N84" i="6"/>
  <c r="N83" i="6" s="1"/>
  <c r="N12" i="6" s="1"/>
  <c r="N242" i="6"/>
  <c r="N241" i="6" s="1"/>
  <c r="N223" i="6" s="1"/>
  <c r="N227" i="6"/>
  <c r="J242" i="6"/>
  <c r="J241" i="6" s="1"/>
  <c r="D30" i="7"/>
  <c r="J29" i="7"/>
  <c r="J28" i="7" s="1"/>
  <c r="L29" i="7"/>
  <c r="L28" i="7" s="1"/>
  <c r="L21" i="7"/>
  <c r="I83" i="1" s="1"/>
  <c r="I82" i="1" s="1"/>
  <c r="E33" i="7"/>
  <c r="E32" i="7" s="1"/>
  <c r="N36" i="7"/>
  <c r="N32" i="7" s="1"/>
  <c r="K53" i="7"/>
  <c r="K50" i="7" s="1"/>
  <c r="K21" i="7"/>
  <c r="K20" i="7" s="1"/>
  <c r="N53" i="7"/>
  <c r="N50" i="7" s="1"/>
  <c r="AA21" i="7"/>
  <c r="L80" i="7"/>
  <c r="O80" i="7"/>
  <c r="O10" i="7"/>
  <c r="O8" i="7" s="1"/>
  <c r="AA8" i="7" s="1"/>
  <c r="J18" i="8"/>
  <c r="O18" i="8"/>
  <c r="Q18" i="8"/>
  <c r="F15" i="10"/>
  <c r="J15" i="10"/>
  <c r="L10" i="8"/>
  <c r="I40" i="8"/>
  <c r="I35" i="8" s="1"/>
  <c r="I21" i="8"/>
  <c r="F30" i="1" s="1"/>
  <c r="F130" i="1" s="1"/>
  <c r="F192" i="1" s="1"/>
  <c r="F16" i="10"/>
  <c r="H16" i="10"/>
  <c r="E45" i="8"/>
  <c r="E44" i="8" s="1"/>
  <c r="O17" i="10"/>
  <c r="G34" i="10"/>
  <c r="I9" i="9"/>
  <c r="I8" i="9" s="1"/>
  <c r="E201" i="3"/>
  <c r="E197" i="3" s="1"/>
  <c r="E218" i="3"/>
  <c r="N10" i="4"/>
  <c r="O71" i="4"/>
  <c r="N30" i="5"/>
  <c r="D92" i="5"/>
  <c r="I91" i="5"/>
  <c r="I90" i="5" s="1"/>
  <c r="D90" i="5" s="1"/>
  <c r="I80" i="5"/>
  <c r="I77" i="5" s="1"/>
  <c r="I76" i="5" s="1"/>
  <c r="D95" i="5"/>
  <c r="J94" i="5"/>
  <c r="D94" i="5" s="1"/>
  <c r="L112" i="5"/>
  <c r="L111" i="5" s="1"/>
  <c r="L79" i="5"/>
  <c r="L77" i="5" s="1"/>
  <c r="L76" i="5" s="1"/>
  <c r="E19" i="10"/>
  <c r="L78" i="6"/>
  <c r="L77" i="6" s="1"/>
  <c r="O78" i="6"/>
  <c r="O77" i="6" s="1"/>
  <c r="M31" i="10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G23" i="8"/>
  <c r="J14" i="8"/>
  <c r="D62" i="8"/>
  <c r="K62" i="8"/>
  <c r="K25" i="8"/>
  <c r="K65" i="8"/>
  <c r="F17" i="10"/>
  <c r="H11" i="8"/>
  <c r="E106" i="8"/>
  <c r="M106" i="8" s="1"/>
  <c r="D106" i="8" s="1"/>
  <c r="F105" i="8"/>
  <c r="F104" i="8" s="1"/>
  <c r="F10" i="8" s="1"/>
  <c r="J112" i="8"/>
  <c r="J26" i="8"/>
  <c r="G36" i="1" s="1"/>
  <c r="L112" i="8"/>
  <c r="L111" i="8" s="1"/>
  <c r="L26" i="8"/>
  <c r="I36" i="1" s="1"/>
  <c r="O112" i="8"/>
  <c r="O111" i="8" s="1"/>
  <c r="M14" i="10" s="1"/>
  <c r="J115" i="8"/>
  <c r="J32" i="8"/>
  <c r="G44" i="1" s="1"/>
  <c r="D128" i="8"/>
  <c r="D125" i="8" s="1"/>
  <c r="I128" i="8"/>
  <c r="I125" i="8" s="1"/>
  <c r="M116" i="8"/>
  <c r="K135" i="8"/>
  <c r="K134" i="8" s="1"/>
  <c r="R11" i="8"/>
  <c r="O14" i="1" s="1"/>
  <c r="E34" i="10"/>
  <c r="G9" i="9"/>
  <c r="J23" i="9"/>
  <c r="J22" i="9" s="1"/>
  <c r="J12" i="9"/>
  <c r="L23" i="9"/>
  <c r="L22" i="9" s="1"/>
  <c r="D34" i="10"/>
  <c r="F9" i="9"/>
  <c r="H9" i="9"/>
  <c r="N98" i="9"/>
  <c r="N95" i="9" s="1"/>
  <c r="J65" i="3"/>
  <c r="L65" i="3"/>
  <c r="O65" i="3"/>
  <c r="Z65" i="3" s="1"/>
  <c r="N78" i="3"/>
  <c r="N77" i="3" s="1"/>
  <c r="L90" i="3"/>
  <c r="L89" i="3" s="1"/>
  <c r="J119" i="3"/>
  <c r="K125" i="3"/>
  <c r="P125" i="3"/>
  <c r="Z137" i="3"/>
  <c r="D140" i="3"/>
  <c r="E138" i="3"/>
  <c r="E137" i="3" s="1"/>
  <c r="E10" i="3" s="1"/>
  <c r="C22" i="10"/>
  <c r="E206" i="3"/>
  <c r="E210" i="3"/>
  <c r="E215" i="3"/>
  <c r="N215" i="3"/>
  <c r="N14" i="4"/>
  <c r="AA26" i="4"/>
  <c r="P24" i="4"/>
  <c r="K17" i="4"/>
  <c r="E46" i="4"/>
  <c r="J10" i="4"/>
  <c r="O68" i="4"/>
  <c r="O67" i="4" s="1"/>
  <c r="O10" i="4"/>
  <c r="N25" i="4"/>
  <c r="K77" i="1" s="1"/>
  <c r="N76" i="4"/>
  <c r="N28" i="4"/>
  <c r="K83" i="1" s="1"/>
  <c r="K82" i="1" s="1"/>
  <c r="D80" i="4"/>
  <c r="D79" i="4" s="1"/>
  <c r="E80" i="4"/>
  <c r="E79" i="4" s="1"/>
  <c r="E16" i="4"/>
  <c r="E15" i="5"/>
  <c r="N15" i="5"/>
  <c r="D79" i="5"/>
  <c r="N99" i="5"/>
  <c r="N98" i="5" s="1"/>
  <c r="K85" i="5"/>
  <c r="K84" i="5" s="1"/>
  <c r="N84" i="5"/>
  <c r="N83" i="5" s="1"/>
  <c r="K88" i="5"/>
  <c r="E73" i="6"/>
  <c r="E72" i="6" s="1"/>
  <c r="E77" i="6"/>
  <c r="C31" i="10" s="1"/>
  <c r="G77" i="6"/>
  <c r="E31" i="10" s="1"/>
  <c r="I77" i="6"/>
  <c r="G31" i="10" s="1"/>
  <c r="P77" i="6"/>
  <c r="O234" i="6"/>
  <c r="O233" i="6" s="1"/>
  <c r="J238" i="6"/>
  <c r="J237" i="6" s="1"/>
  <c r="O238" i="6"/>
  <c r="O237" i="6" s="1"/>
  <c r="O223" i="6" s="1"/>
  <c r="J33" i="7"/>
  <c r="J32" i="7" s="1"/>
  <c r="J14" i="7"/>
  <c r="G68" i="1" s="1"/>
  <c r="G123" i="1" s="1"/>
  <c r="G185" i="1" s="1"/>
  <c r="L33" i="7"/>
  <c r="L32" i="7" s="1"/>
  <c r="L14" i="7"/>
  <c r="I68" i="1" s="1"/>
  <c r="I123" i="1" s="1"/>
  <c r="I185" i="1" s="1"/>
  <c r="O33" i="7"/>
  <c r="O32" i="7" s="1"/>
  <c r="O14" i="7"/>
  <c r="F18" i="7"/>
  <c r="H18" i="7"/>
  <c r="L19" i="7"/>
  <c r="O19" i="7"/>
  <c r="L80" i="1" s="1"/>
  <c r="L140" i="1" s="1"/>
  <c r="L202" i="1" s="1"/>
  <c r="D69" i="7"/>
  <c r="D68" i="7" s="1"/>
  <c r="N69" i="7"/>
  <c r="N68" i="7" s="1"/>
  <c r="I74" i="7"/>
  <c r="K74" i="7"/>
  <c r="P74" i="7"/>
  <c r="E80" i="7"/>
  <c r="Q80" i="7"/>
  <c r="K14" i="8"/>
  <c r="N14" i="8"/>
  <c r="L13" i="8"/>
  <c r="L12" i="8" s="1"/>
  <c r="Q13" i="8"/>
  <c r="P24" i="8"/>
  <c r="P23" i="8" s="1"/>
  <c r="R24" i="8"/>
  <c r="K33" i="8"/>
  <c r="H45" i="1" s="1"/>
  <c r="H145" i="1" s="1"/>
  <c r="H207" i="1" s="1"/>
  <c r="E36" i="8"/>
  <c r="E35" i="8" s="1"/>
  <c r="E16" i="8"/>
  <c r="B20" i="1" s="1"/>
  <c r="B125" i="1" s="1"/>
  <c r="B191" i="1" s="1"/>
  <c r="K40" i="8"/>
  <c r="K35" i="8" s="1"/>
  <c r="K20" i="8"/>
  <c r="K18" i="8" s="1"/>
  <c r="N40" i="8"/>
  <c r="N35" i="8" s="1"/>
  <c r="J25" i="8"/>
  <c r="G34" i="1" s="1"/>
  <c r="E54" i="8"/>
  <c r="E11" i="8" s="1"/>
  <c r="I54" i="8"/>
  <c r="N54" i="8"/>
  <c r="J72" i="8"/>
  <c r="J69" i="8" s="1"/>
  <c r="O72" i="8"/>
  <c r="O69" i="8" s="1"/>
  <c r="M17" i="10" s="1"/>
  <c r="E18" i="10"/>
  <c r="I18" i="10"/>
  <c r="L81" i="8"/>
  <c r="L80" i="8" s="1"/>
  <c r="P81" i="8"/>
  <c r="P80" i="8" s="1"/>
  <c r="P17" i="8"/>
  <c r="M22" i="1" s="1"/>
  <c r="F13" i="10"/>
  <c r="K91" i="8"/>
  <c r="I13" i="10" s="1"/>
  <c r="F14" i="10"/>
  <c r="J14" i="10"/>
  <c r="E13" i="10"/>
  <c r="I16" i="8"/>
  <c r="F20" i="1" s="1"/>
  <c r="F125" i="1" s="1"/>
  <c r="F191" i="1" s="1"/>
  <c r="G11" i="8"/>
  <c r="N14" i="9"/>
  <c r="P14" i="9"/>
  <c r="P11" i="9" s="1"/>
  <c r="R14" i="9"/>
  <c r="R11" i="9" s="1"/>
  <c r="L43" i="9"/>
  <c r="L40" i="9" s="1"/>
  <c r="L14" i="9"/>
  <c r="O122" i="9"/>
  <c r="E37" i="10"/>
  <c r="G37" i="10"/>
  <c r="I37" i="10"/>
  <c r="C17" i="10"/>
  <c r="G17" i="10"/>
  <c r="N18" i="10"/>
  <c r="N77" i="8"/>
  <c r="N74" i="8"/>
  <c r="L18" i="10" s="1"/>
  <c r="D83" i="8"/>
  <c r="K83" i="8"/>
  <c r="K80" i="8" s="1"/>
  <c r="I17" i="10" s="1"/>
  <c r="N83" i="8"/>
  <c r="N80" i="8" s="1"/>
  <c r="N91" i="8"/>
  <c r="K97" i="8"/>
  <c r="E14" i="10"/>
  <c r="E115" i="8"/>
  <c r="E111" i="8" s="1"/>
  <c r="C14" i="10" s="1"/>
  <c r="N119" i="8"/>
  <c r="L13" i="10" s="1"/>
  <c r="D120" i="8"/>
  <c r="D119" i="8" s="1"/>
  <c r="L120" i="8"/>
  <c r="L119" i="8" s="1"/>
  <c r="J13" i="10" s="1"/>
  <c r="D171" i="8"/>
  <c r="N209" i="8"/>
  <c r="N208" i="8" s="1"/>
  <c r="N181" i="8" s="1"/>
  <c r="L212" i="8"/>
  <c r="L211" i="8" s="1"/>
  <c r="I79" i="1"/>
  <c r="D216" i="8"/>
  <c r="D215" i="8" s="1"/>
  <c r="D181" i="8" s="1"/>
  <c r="D179" i="8" s="1"/>
  <c r="N25" i="9"/>
  <c r="N22" i="9" s="1"/>
  <c r="C35" i="10"/>
  <c r="G35" i="10"/>
  <c r="O17" i="9"/>
  <c r="D32" i="9"/>
  <c r="L32" i="9"/>
  <c r="L31" i="9" s="1"/>
  <c r="L10" i="9" s="1"/>
  <c r="N34" i="9"/>
  <c r="N31" i="9" s="1"/>
  <c r="N10" i="9" s="1"/>
  <c r="K41" i="9"/>
  <c r="K40" i="9" s="1"/>
  <c r="N41" i="9"/>
  <c r="N40" i="9" s="1"/>
  <c r="Q122" i="9"/>
  <c r="I10" i="12" l="1"/>
  <c r="I9" i="12" s="1"/>
  <c r="I362" i="12"/>
  <c r="I367" i="12"/>
  <c r="I366" i="12" s="1"/>
  <c r="I371" i="12" s="1"/>
  <c r="I370" i="12" s="1"/>
  <c r="W7" i="10"/>
  <c r="M103" i="1"/>
  <c r="U45" i="1"/>
  <c r="L34" i="10"/>
  <c r="G11" i="9"/>
  <c r="D256" i="2"/>
  <c r="D251" i="2"/>
  <c r="D249" i="2" s="1"/>
  <c r="G14" i="12"/>
  <c r="E14" i="12" s="1"/>
  <c r="H13" i="2"/>
  <c r="M119" i="2"/>
  <c r="O21" i="2"/>
  <c r="L31" i="1" s="1"/>
  <c r="K126" i="1"/>
  <c r="K187" i="1" s="1"/>
  <c r="L534" i="2"/>
  <c r="Z488" i="2"/>
  <c r="I126" i="1"/>
  <c r="I187" i="1" s="1"/>
  <c r="D90" i="6"/>
  <c r="M26" i="6"/>
  <c r="D87" i="6"/>
  <c r="M20" i="6"/>
  <c r="O21" i="3"/>
  <c r="O18" i="3" s="1"/>
  <c r="C137" i="1"/>
  <c r="C199" i="1" s="1"/>
  <c r="C210" i="1" s="1"/>
  <c r="I9" i="10"/>
  <c r="M26" i="10"/>
  <c r="N534" i="2"/>
  <c r="F26" i="10"/>
  <c r="N535" i="2"/>
  <c r="K61" i="1" s="1"/>
  <c r="M19" i="1"/>
  <c r="M124" i="1" s="1"/>
  <c r="M186" i="1" s="1"/>
  <c r="D397" i="2"/>
  <c r="D388" i="2" s="1"/>
  <c r="Z388" i="2" s="1"/>
  <c r="M388" i="2"/>
  <c r="K16" i="2"/>
  <c r="H21" i="1" s="1"/>
  <c r="H126" i="1" s="1"/>
  <c r="H187" i="1" s="1"/>
  <c r="D503" i="2"/>
  <c r="D501" i="2" s="1"/>
  <c r="D496" i="2" s="1"/>
  <c r="E16" i="2"/>
  <c r="B21" i="1" s="1"/>
  <c r="B126" i="1" s="1"/>
  <c r="B187" i="1" s="1"/>
  <c r="P535" i="2"/>
  <c r="E26" i="10"/>
  <c r="E118" i="2"/>
  <c r="D26" i="10"/>
  <c r="E535" i="2"/>
  <c r="E112" i="2"/>
  <c r="M501" i="2"/>
  <c r="E239" i="2"/>
  <c r="J534" i="2"/>
  <c r="D559" i="2"/>
  <c r="D558" i="2" s="1"/>
  <c r="D557" i="2" s="1"/>
  <c r="M538" i="2"/>
  <c r="O534" i="2"/>
  <c r="K534" i="2"/>
  <c r="H60" i="1" s="1"/>
  <c r="N103" i="1"/>
  <c r="N101" i="1" s="1"/>
  <c r="O103" i="1"/>
  <c r="O101" i="1" s="1"/>
  <c r="O100" i="1" s="1"/>
  <c r="X11" i="2"/>
  <c r="D205" i="2"/>
  <c r="M52" i="2"/>
  <c r="N98" i="1"/>
  <c r="M98" i="1"/>
  <c r="V22" i="1"/>
  <c r="D370" i="2"/>
  <c r="M357" i="2"/>
  <c r="D357" i="2" s="1"/>
  <c r="D356" i="2" s="1"/>
  <c r="X17" i="2"/>
  <c r="M20" i="3"/>
  <c r="M19" i="3" s="1"/>
  <c r="M13" i="3"/>
  <c r="R10" i="2"/>
  <c r="R9" i="2" s="1"/>
  <c r="Q10" i="2"/>
  <c r="L145" i="1"/>
  <c r="L207" i="1" s="1"/>
  <c r="E23" i="8"/>
  <c r="R23" i="8"/>
  <c r="C16" i="10"/>
  <c r="M16" i="10"/>
  <c r="D79" i="6"/>
  <c r="D23" i="6" s="1"/>
  <c r="D22" i="6" s="1"/>
  <c r="M23" i="6"/>
  <c r="D74" i="6"/>
  <c r="D16" i="6" s="1"/>
  <c r="M16" i="6"/>
  <c r="F30" i="10"/>
  <c r="M16" i="13"/>
  <c r="X17" i="13"/>
  <c r="X16" i="13" s="1"/>
  <c r="X12" i="13" s="1"/>
  <c r="E11" i="5"/>
  <c r="E10" i="5" s="1"/>
  <c r="K22" i="1"/>
  <c r="K127" i="1" s="1"/>
  <c r="K188" i="1" s="1"/>
  <c r="N20" i="10"/>
  <c r="N19" i="10"/>
  <c r="V18" i="1"/>
  <c r="X70" i="1"/>
  <c r="X69" i="1"/>
  <c r="X20" i="1"/>
  <c r="X72" i="1"/>
  <c r="J136" i="1"/>
  <c r="J198" i="1" s="1"/>
  <c r="U35" i="1"/>
  <c r="U136" i="1" s="1"/>
  <c r="U198" i="1" s="1"/>
  <c r="N64" i="1"/>
  <c r="N63" i="1" s="1"/>
  <c r="N85" i="1" s="1"/>
  <c r="U66" i="1"/>
  <c r="X66" i="1"/>
  <c r="D126" i="2"/>
  <c r="D125" i="2" s="1"/>
  <c r="O31" i="10"/>
  <c r="O26" i="10" s="1"/>
  <c r="D366" i="2"/>
  <c r="M365" i="2"/>
  <c r="O33" i="1"/>
  <c r="L11" i="3"/>
  <c r="D374" i="2"/>
  <c r="D372" i="2" s="1"/>
  <c r="J24" i="2"/>
  <c r="E133" i="2"/>
  <c r="L124" i="2"/>
  <c r="O506" i="2"/>
  <c r="O10" i="2" s="1"/>
  <c r="R13" i="2"/>
  <c r="O33" i="2"/>
  <c r="O30" i="2" s="1"/>
  <c r="E340" i="2"/>
  <c r="G22" i="12"/>
  <c r="E22" i="12" s="1"/>
  <c r="E506" i="2"/>
  <c r="E10" i="2" s="1"/>
  <c r="M497" i="2"/>
  <c r="M158" i="2"/>
  <c r="I24" i="2"/>
  <c r="F24" i="2"/>
  <c r="G28" i="10"/>
  <c r="M483" i="2"/>
  <c r="M27" i="2" s="1"/>
  <c r="J38" i="1" s="1"/>
  <c r="U38" i="1" s="1"/>
  <c r="O36" i="2"/>
  <c r="M7" i="10" s="1"/>
  <c r="J533" i="2"/>
  <c r="M337" i="2"/>
  <c r="M334" i="2" s="1"/>
  <c r="K82" i="2"/>
  <c r="E68" i="2"/>
  <c r="L496" i="2"/>
  <c r="H472" i="2"/>
  <c r="F11" i="10" s="1"/>
  <c r="M102" i="2"/>
  <c r="P515" i="2"/>
  <c r="N38" i="10" s="1"/>
  <c r="K37" i="2"/>
  <c r="P36" i="2"/>
  <c r="X477" i="2"/>
  <c r="Z68" i="2"/>
  <c r="Z82" i="2"/>
  <c r="R24" i="2"/>
  <c r="D509" i="2"/>
  <c r="M169" i="2"/>
  <c r="P24" i="2"/>
  <c r="E248" i="2"/>
  <c r="N33" i="2"/>
  <c r="K51" i="1" s="1"/>
  <c r="C28" i="10"/>
  <c r="F13" i="2"/>
  <c r="G13" i="2"/>
  <c r="G37" i="2"/>
  <c r="O127" i="1"/>
  <c r="O188" i="1" s="1"/>
  <c r="D342" i="2"/>
  <c r="D341" i="2" s="1"/>
  <c r="M341" i="2"/>
  <c r="E162" i="2"/>
  <c r="K24" i="2"/>
  <c r="J472" i="2"/>
  <c r="H11" i="10" s="1"/>
  <c r="G24" i="2"/>
  <c r="M64" i="2"/>
  <c r="M61" i="2" s="1"/>
  <c r="O24" i="2"/>
  <c r="H24" i="2"/>
  <c r="D525" i="2"/>
  <c r="D524" i="2" s="1"/>
  <c r="N480" i="2"/>
  <c r="L12" i="10" s="1"/>
  <c r="P30" i="2"/>
  <c r="M509" i="2"/>
  <c r="N76" i="1"/>
  <c r="N75" i="1" s="1"/>
  <c r="N86" i="1" s="1"/>
  <c r="G137" i="1"/>
  <c r="G199" i="1" s="1"/>
  <c r="C76" i="1"/>
  <c r="C75" i="1" s="1"/>
  <c r="C86" i="1" s="1"/>
  <c r="U69" i="1"/>
  <c r="D64" i="1"/>
  <c r="D63" i="1" s="1"/>
  <c r="D85" i="1" s="1"/>
  <c r="N31" i="1"/>
  <c r="N132" i="1" s="1"/>
  <c r="N194" i="1" s="1"/>
  <c r="O31" i="1"/>
  <c r="O26" i="1" s="1"/>
  <c r="M31" i="1"/>
  <c r="M132" i="1" s="1"/>
  <c r="M194" i="1" s="1"/>
  <c r="O537" i="2"/>
  <c r="O536" i="2" s="1"/>
  <c r="L20" i="10"/>
  <c r="E33" i="1"/>
  <c r="D15" i="6"/>
  <c r="D14" i="6" s="1"/>
  <c r="F34" i="1"/>
  <c r="F137" i="1" s="1"/>
  <c r="I19" i="10"/>
  <c r="M78" i="6"/>
  <c r="M238" i="6"/>
  <c r="M237" i="6" s="1"/>
  <c r="M223" i="6" s="1"/>
  <c r="M222" i="6" s="1"/>
  <c r="E137" i="1"/>
  <c r="E199" i="1" s="1"/>
  <c r="E210" i="1" s="1"/>
  <c r="M139" i="1"/>
  <c r="M201" i="1" s="1"/>
  <c r="M33" i="1"/>
  <c r="D139" i="1"/>
  <c r="D201" i="1" s="1"/>
  <c r="D33" i="1"/>
  <c r="D485" i="2"/>
  <c r="N127" i="1"/>
  <c r="N188" i="1" s="1"/>
  <c r="I50" i="2"/>
  <c r="I44" i="2" s="1"/>
  <c r="G8" i="10" s="1"/>
  <c r="B37" i="1"/>
  <c r="B33" i="1" s="1"/>
  <c r="E45" i="2"/>
  <c r="I37" i="2"/>
  <c r="I36" i="2" s="1"/>
  <c r="G7" i="10" s="1"/>
  <c r="X37" i="2"/>
  <c r="N45" i="2"/>
  <c r="N27" i="2"/>
  <c r="K38" i="1" s="1"/>
  <c r="K139" i="1" s="1"/>
  <c r="K201" i="1" s="1"/>
  <c r="L27" i="2"/>
  <c r="I38" i="1" s="1"/>
  <c r="I139" i="1" s="1"/>
  <c r="I201" i="1" s="1"/>
  <c r="I37" i="1"/>
  <c r="I138" i="1" s="1"/>
  <c r="I200" i="1" s="1"/>
  <c r="L45" i="2"/>
  <c r="L44" i="2" s="1"/>
  <c r="J8" i="10" s="1"/>
  <c r="H37" i="2"/>
  <c r="E139" i="2"/>
  <c r="H26" i="10"/>
  <c r="E58" i="2"/>
  <c r="M60" i="2"/>
  <c r="D60" i="2" s="1"/>
  <c r="D58" i="2" s="1"/>
  <c r="D531" i="2"/>
  <c r="Z531" i="2" s="1"/>
  <c r="M522" i="2"/>
  <c r="M521" i="2" s="1"/>
  <c r="M520" i="2" s="1"/>
  <c r="K39" i="10" s="1"/>
  <c r="M530" i="2"/>
  <c r="M529" i="2" s="1"/>
  <c r="D508" i="2"/>
  <c r="M474" i="2"/>
  <c r="M46" i="2"/>
  <c r="M26" i="2" s="1"/>
  <c r="M253" i="2"/>
  <c r="M248" i="2" s="1"/>
  <c r="D255" i="2"/>
  <c r="D253" i="2" s="1"/>
  <c r="D248" i="2" s="1"/>
  <c r="D237" i="2"/>
  <c r="D235" i="2" s="1"/>
  <c r="D231" i="2" s="1"/>
  <c r="M235" i="2"/>
  <c r="M231" i="2" s="1"/>
  <c r="D230" i="2"/>
  <c r="D229" i="2" s="1"/>
  <c r="M229" i="2"/>
  <c r="M224" i="2" s="1"/>
  <c r="N51" i="1"/>
  <c r="N52" i="1" s="1"/>
  <c r="O51" i="1"/>
  <c r="O52" i="1" s="1"/>
  <c r="M51" i="1"/>
  <c r="M52" i="1" s="1"/>
  <c r="D392" i="2"/>
  <c r="D380" i="2" s="1"/>
  <c r="D379" i="2" s="1"/>
  <c r="D333" i="2"/>
  <c r="D332" i="2" s="1"/>
  <c r="D328" i="2" s="1"/>
  <c r="M332" i="2"/>
  <c r="M328" i="2" s="1"/>
  <c r="M47" i="2"/>
  <c r="M28" i="2" s="1"/>
  <c r="J39" i="1" s="1"/>
  <c r="N60" i="1"/>
  <c r="N59" i="1" s="1"/>
  <c r="E32" i="2"/>
  <c r="B45" i="1" s="1"/>
  <c r="B145" i="1" s="1"/>
  <c r="B207" i="1" s="1"/>
  <c r="E387" i="2"/>
  <c r="G21" i="12"/>
  <c r="E21" i="12" s="1"/>
  <c r="G13" i="12"/>
  <c r="M14" i="3"/>
  <c r="J19" i="1" s="1"/>
  <c r="X9" i="3"/>
  <c r="E17" i="3"/>
  <c r="E15" i="3" s="1"/>
  <c r="E11" i="3" s="1"/>
  <c r="M17" i="3"/>
  <c r="M15" i="3" s="1"/>
  <c r="N9" i="9"/>
  <c r="D47" i="9"/>
  <c r="D42" i="9"/>
  <c r="D13" i="9" s="1"/>
  <c r="D79" i="9"/>
  <c r="D67" i="9"/>
  <c r="D66" i="9" s="1"/>
  <c r="D65" i="9" s="1"/>
  <c r="M66" i="9"/>
  <c r="M65" i="9" s="1"/>
  <c r="G61" i="1"/>
  <c r="C61" i="1"/>
  <c r="C59" i="1" s="1"/>
  <c r="C87" i="1" s="1"/>
  <c r="E61" i="1"/>
  <c r="M68" i="7"/>
  <c r="D235" i="6"/>
  <c r="D227" i="6" s="1"/>
  <c r="D226" i="6" s="1"/>
  <c r="D225" i="6" s="1"/>
  <c r="M227" i="6"/>
  <c r="K65" i="1"/>
  <c r="K64" i="1" s="1"/>
  <c r="K63" i="1" s="1"/>
  <c r="K85" i="1" s="1"/>
  <c r="M65" i="1"/>
  <c r="N11" i="5"/>
  <c r="N10" i="5" s="1"/>
  <c r="O36" i="10"/>
  <c r="J11" i="5"/>
  <c r="F11" i="5"/>
  <c r="N36" i="10"/>
  <c r="H11" i="5"/>
  <c r="D20" i="5"/>
  <c r="M19" i="5"/>
  <c r="M18" i="5" s="1"/>
  <c r="M22" i="4"/>
  <c r="L28" i="1"/>
  <c r="L26" i="1" s="1"/>
  <c r="E46" i="1"/>
  <c r="E147" i="1" s="1"/>
  <c r="E209" i="1" s="1"/>
  <c r="L126" i="1"/>
  <c r="L187" i="1" s="1"/>
  <c r="O92" i="1"/>
  <c r="E134" i="3"/>
  <c r="E131" i="3" s="1"/>
  <c r="E23" i="3"/>
  <c r="E21" i="3" s="1"/>
  <c r="E18" i="3" s="1"/>
  <c r="D141" i="3"/>
  <c r="P76" i="5"/>
  <c r="I80" i="1"/>
  <c r="I140" i="1" s="1"/>
  <c r="I202" i="1" s="1"/>
  <c r="N147" i="1"/>
  <c r="N209" i="1" s="1"/>
  <c r="M147" i="1"/>
  <c r="M209" i="1" s="1"/>
  <c r="O147" i="1"/>
  <c r="O209" i="1" s="1"/>
  <c r="U70" i="1"/>
  <c r="W77" i="1" s="1"/>
  <c r="X20" i="2"/>
  <c r="D112" i="5"/>
  <c r="D75" i="5"/>
  <c r="D73" i="5" s="1"/>
  <c r="L36" i="10"/>
  <c r="M36" i="10"/>
  <c r="L84" i="5"/>
  <c r="L83" i="5" s="1"/>
  <c r="P36" i="10"/>
  <c r="W36" i="10" s="1"/>
  <c r="M76" i="1"/>
  <c r="M75" i="1" s="1"/>
  <c r="M86" i="1" s="1"/>
  <c r="E76" i="1"/>
  <c r="E75" i="1" s="1"/>
  <c r="E86" i="1" s="1"/>
  <c r="D76" i="1"/>
  <c r="D75" i="1" s="1"/>
  <c r="D86" i="1" s="1"/>
  <c r="L128" i="1"/>
  <c r="L189" i="1" s="1"/>
  <c r="L68" i="1"/>
  <c r="N33" i="1"/>
  <c r="D87" i="3"/>
  <c r="D86" i="3" s="1"/>
  <c r="M86" i="3"/>
  <c r="D127" i="3"/>
  <c r="L125" i="1"/>
  <c r="L191" i="1" s="1"/>
  <c r="G46" i="1"/>
  <c r="G147" i="1" s="1"/>
  <c r="G209" i="1" s="1"/>
  <c r="E103" i="1"/>
  <c r="E101" i="1" s="1"/>
  <c r="M18" i="7"/>
  <c r="J80" i="1"/>
  <c r="H76" i="1"/>
  <c r="L74" i="1"/>
  <c r="L76" i="1"/>
  <c r="G76" i="1"/>
  <c r="G75" i="1" s="1"/>
  <c r="G86" i="1" s="1"/>
  <c r="G100" i="1" s="1"/>
  <c r="H61" i="1"/>
  <c r="C103" i="1"/>
  <c r="C101" i="1" s="1"/>
  <c r="F76" i="1"/>
  <c r="F75" i="1" s="1"/>
  <c r="F86" i="1" s="1"/>
  <c r="H83" i="1"/>
  <c r="H82" i="1" s="1"/>
  <c r="M30" i="10"/>
  <c r="X30" i="10"/>
  <c r="I65" i="1"/>
  <c r="I64" i="1" s="1"/>
  <c r="I63" i="1" s="1"/>
  <c r="I85" i="1" s="1"/>
  <c r="E59" i="1"/>
  <c r="E87" i="1" s="1"/>
  <c r="U72" i="1"/>
  <c r="M125" i="1"/>
  <c r="M191" i="1" s="1"/>
  <c r="H19" i="1"/>
  <c r="H124" i="1" s="1"/>
  <c r="H186" i="1" s="1"/>
  <c r="X19" i="10"/>
  <c r="E98" i="1"/>
  <c r="E92" i="1" s="1"/>
  <c r="C98" i="1"/>
  <c r="C92" i="1" s="1"/>
  <c r="W19" i="10"/>
  <c r="H34" i="1"/>
  <c r="F65" i="1"/>
  <c r="F64" i="1" s="1"/>
  <c r="F63" i="1" s="1"/>
  <c r="F85" i="1" s="1"/>
  <c r="AA16" i="4"/>
  <c r="B67" i="1"/>
  <c r="B64" i="1" s="1"/>
  <c r="M21" i="4"/>
  <c r="B74" i="1"/>
  <c r="B73" i="1" s="1"/>
  <c r="L82" i="1"/>
  <c r="N21" i="4"/>
  <c r="N13" i="4" s="1"/>
  <c r="M101" i="1"/>
  <c r="F103" i="1"/>
  <c r="F101" i="1" s="1"/>
  <c r="K76" i="1"/>
  <c r="K75" i="1" s="1"/>
  <c r="K86" i="1" s="1"/>
  <c r="AA17" i="4"/>
  <c r="H68" i="1"/>
  <c r="H123" i="1" s="1"/>
  <c r="H185" i="1" s="1"/>
  <c r="B185" i="1"/>
  <c r="A133" i="1"/>
  <c r="P123" i="1"/>
  <c r="P63" i="1"/>
  <c r="P85" i="1" s="1"/>
  <c r="H103" i="1"/>
  <c r="H101" i="1" s="1"/>
  <c r="D103" i="1"/>
  <c r="D101" i="1" s="1"/>
  <c r="C18" i="1"/>
  <c r="C122" i="1" s="1"/>
  <c r="Z89" i="3"/>
  <c r="F31" i="1"/>
  <c r="F132" i="1" s="1"/>
  <c r="F194" i="1" s="1"/>
  <c r="E18" i="1"/>
  <c r="E122" i="1" s="1"/>
  <c r="K34" i="1"/>
  <c r="K137" i="1" s="1"/>
  <c r="K199" i="1" s="1"/>
  <c r="I34" i="1"/>
  <c r="I137" i="1" s="1"/>
  <c r="I199" i="1" s="1"/>
  <c r="N145" i="1"/>
  <c r="N207" i="1" s="1"/>
  <c r="N41" i="1"/>
  <c r="O122" i="1"/>
  <c r="O17" i="1"/>
  <c r="G128" i="1"/>
  <c r="G189" i="1" s="1"/>
  <c r="M145" i="1"/>
  <c r="M207" i="1" s="1"/>
  <c r="M41" i="1"/>
  <c r="I533" i="2"/>
  <c r="F61" i="1"/>
  <c r="F59" i="1" s="1"/>
  <c r="E543" i="2"/>
  <c r="E542" i="2" s="1"/>
  <c r="B103" i="1" s="1"/>
  <c r="B101" i="1" s="1"/>
  <c r="B78" i="1"/>
  <c r="B76" i="1" s="1"/>
  <c r="B75" i="1" s="1"/>
  <c r="B86" i="1" s="1"/>
  <c r="U42" i="1"/>
  <c r="B143" i="1"/>
  <c r="B205" i="1" s="1"/>
  <c r="K30" i="2"/>
  <c r="H46" i="1"/>
  <c r="H147" i="1" s="1"/>
  <c r="H209" i="1" s="1"/>
  <c r="F19" i="2"/>
  <c r="C31" i="1"/>
  <c r="J537" i="2"/>
  <c r="J536" i="2" s="1"/>
  <c r="G65" i="1"/>
  <c r="G64" i="1" s="1"/>
  <c r="G63" i="1" s="1"/>
  <c r="G85" i="1" s="1"/>
  <c r="M127" i="1"/>
  <c r="M188" i="1" s="1"/>
  <c r="M28" i="1"/>
  <c r="M128" i="1"/>
  <c r="M189" i="1" s="1"/>
  <c r="K138" i="1"/>
  <c r="K200" i="1" s="1"/>
  <c r="I30" i="2"/>
  <c r="F46" i="1"/>
  <c r="F147" i="1" s="1"/>
  <c r="F209" i="1" s="1"/>
  <c r="K537" i="2"/>
  <c r="K536" i="2" s="1"/>
  <c r="H65" i="1"/>
  <c r="G533" i="2"/>
  <c r="D61" i="1"/>
  <c r="D59" i="1" s="1"/>
  <c r="D87" i="1" s="1"/>
  <c r="L127" i="1"/>
  <c r="L188" i="1" s="1"/>
  <c r="D18" i="1"/>
  <c r="D122" i="1" s="1"/>
  <c r="O41" i="1"/>
  <c r="D41" i="1"/>
  <c r="G142" i="1"/>
  <c r="G204" i="1" s="1"/>
  <c r="R10" i="8"/>
  <c r="P13" i="10"/>
  <c r="U20" i="1"/>
  <c r="J125" i="1"/>
  <c r="J191" i="1" s="1"/>
  <c r="C141" i="1"/>
  <c r="C203" i="1" s="1"/>
  <c r="C33" i="1"/>
  <c r="L33" i="1"/>
  <c r="O207" i="1"/>
  <c r="O90" i="1"/>
  <c r="O116" i="1"/>
  <c r="O112" i="1"/>
  <c r="I141" i="1"/>
  <c r="I203" i="1" s="1"/>
  <c r="G141" i="1"/>
  <c r="G203" i="1" s="1"/>
  <c r="G33" i="1"/>
  <c r="N112" i="1"/>
  <c r="N90" i="1"/>
  <c r="N116" i="1"/>
  <c r="P10" i="8"/>
  <c r="N13" i="10"/>
  <c r="Q10" i="8"/>
  <c r="Q9" i="8" s="1"/>
  <c r="O13" i="10"/>
  <c r="U30" i="1"/>
  <c r="U130" i="1" s="1"/>
  <c r="U192" i="1" s="1"/>
  <c r="J130" i="1"/>
  <c r="J192" i="1" s="1"/>
  <c r="M13" i="10"/>
  <c r="E142" i="1"/>
  <c r="E204" i="1" s="1"/>
  <c r="C142" i="1"/>
  <c r="C204" i="1" s="1"/>
  <c r="C41" i="1"/>
  <c r="L199" i="1"/>
  <c r="A148" i="1"/>
  <c r="R11" i="5"/>
  <c r="M14" i="5"/>
  <c r="N122" i="1"/>
  <c r="N17" i="1"/>
  <c r="I128" i="1"/>
  <c r="I189" i="1" s="1"/>
  <c r="AA20" i="4"/>
  <c r="D110" i="4"/>
  <c r="D109" i="4" s="1"/>
  <c r="D104" i="4" s="1"/>
  <c r="M109" i="4"/>
  <c r="M104" i="4" s="1"/>
  <c r="D99" i="4"/>
  <c r="D98" i="4" s="1"/>
  <c r="D94" i="4" s="1"/>
  <c r="M98" i="4"/>
  <c r="M94" i="4" s="1"/>
  <c r="D47" i="4"/>
  <c r="D46" i="4" s="1"/>
  <c r="M46" i="4"/>
  <c r="M67" i="4"/>
  <c r="M12" i="13"/>
  <c r="K9" i="9"/>
  <c r="K8" i="9" s="1"/>
  <c r="D31" i="9"/>
  <c r="X11" i="9"/>
  <c r="E9" i="9"/>
  <c r="E8" i="9" s="1"/>
  <c r="J11" i="9"/>
  <c r="P8" i="9"/>
  <c r="X9" i="9"/>
  <c r="X8" i="9" s="1"/>
  <c r="M33" i="7"/>
  <c r="M36" i="7"/>
  <c r="M16" i="7"/>
  <c r="D89" i="7"/>
  <c r="M89" i="7"/>
  <c r="D84" i="7"/>
  <c r="M84" i="7"/>
  <c r="D48" i="7"/>
  <c r="M48" i="7"/>
  <c r="M44" i="7" s="1"/>
  <c r="D39" i="7"/>
  <c r="D38" i="7" s="1"/>
  <c r="M39" i="7"/>
  <c r="M38" i="7" s="1"/>
  <c r="J67" i="1"/>
  <c r="M24" i="7"/>
  <c r="M23" i="7" s="1"/>
  <c r="M10" i="7"/>
  <c r="M8" i="7" s="1"/>
  <c r="M14" i="7"/>
  <c r="J68" i="1" s="1"/>
  <c r="J123" i="1" s="1"/>
  <c r="J185" i="1" s="1"/>
  <c r="M87" i="7"/>
  <c r="D80" i="7"/>
  <c r="M80" i="7"/>
  <c r="D53" i="7"/>
  <c r="D50" i="7" s="1"/>
  <c r="M53" i="7"/>
  <c r="M50" i="7" s="1"/>
  <c r="M21" i="7"/>
  <c r="H20" i="10"/>
  <c r="F222" i="6"/>
  <c r="G20" i="10"/>
  <c r="M77" i="6"/>
  <c r="K31" i="10" s="1"/>
  <c r="D18" i="4"/>
  <c r="D217" i="3"/>
  <c r="D216" i="3" s="1"/>
  <c r="M216" i="3"/>
  <c r="M215" i="3" s="1"/>
  <c r="D205" i="3"/>
  <c r="D204" i="3" s="1"/>
  <c r="M204" i="3"/>
  <c r="E203" i="3"/>
  <c r="D116" i="8"/>
  <c r="M32" i="8"/>
  <c r="J44" i="1" s="1"/>
  <c r="D59" i="8"/>
  <c r="D58" i="8" s="1"/>
  <c r="M58" i="8"/>
  <c r="D47" i="8"/>
  <c r="M26" i="8"/>
  <c r="J36" i="1" s="1"/>
  <c r="U36" i="1" s="1"/>
  <c r="M61" i="8"/>
  <c r="M54" i="8"/>
  <c r="M20" i="8"/>
  <c r="D46" i="8"/>
  <c r="M25" i="8"/>
  <c r="M119" i="8"/>
  <c r="D22" i="8"/>
  <c r="E11" i="10"/>
  <c r="I472" i="2"/>
  <c r="G11" i="10" s="1"/>
  <c r="O19" i="2"/>
  <c r="Z197" i="3"/>
  <c r="H13" i="6"/>
  <c r="J223" i="6"/>
  <c r="I14" i="6"/>
  <c r="I13" i="6" s="1"/>
  <c r="M84" i="6"/>
  <c r="M83" i="6" s="1"/>
  <c r="M12" i="6" s="1"/>
  <c r="Q10" i="6"/>
  <c r="M226" i="6"/>
  <c r="M225" i="6" s="1"/>
  <c r="H222" i="6"/>
  <c r="J20" i="10"/>
  <c r="I20" i="10"/>
  <c r="K77" i="6"/>
  <c r="H98" i="1" s="1"/>
  <c r="H92" i="1" s="1"/>
  <c r="G222" i="6"/>
  <c r="X222" i="6"/>
  <c r="E20" i="10"/>
  <c r="C19" i="10"/>
  <c r="O30" i="10"/>
  <c r="O25" i="10" s="1"/>
  <c r="V125" i="1"/>
  <c r="X226" i="6"/>
  <c r="X225" i="6" s="1"/>
  <c r="K37" i="10"/>
  <c r="E41" i="4"/>
  <c r="AB43" i="4" s="1"/>
  <c r="X473" i="2"/>
  <c r="X472" i="2" s="1"/>
  <c r="X515" i="2"/>
  <c r="X14" i="2"/>
  <c r="X21" i="2"/>
  <c r="X42" i="2"/>
  <c r="X15" i="2"/>
  <c r="V24" i="1"/>
  <c r="X18" i="2"/>
  <c r="X16" i="2"/>
  <c r="E209" i="3"/>
  <c r="L125" i="3"/>
  <c r="L9" i="3" s="1"/>
  <c r="L8" i="3" s="1"/>
  <c r="M190" i="8"/>
  <c r="M189" i="8" s="1"/>
  <c r="M183" i="8"/>
  <c r="M182" i="8" s="1"/>
  <c r="I9" i="3"/>
  <c r="I8" i="3" s="1"/>
  <c r="H10" i="10"/>
  <c r="H28" i="10"/>
  <c r="E14" i="1"/>
  <c r="M61" i="1"/>
  <c r="M59" i="1" s="1"/>
  <c r="I20" i="2"/>
  <c r="F29" i="1" s="1"/>
  <c r="F128" i="1" s="1"/>
  <c r="F189" i="1" s="1"/>
  <c r="D622" i="2"/>
  <c r="D621" i="2" s="1"/>
  <c r="M622" i="2"/>
  <c r="M621" i="2" s="1"/>
  <c r="J480" i="2"/>
  <c r="H12" i="10" s="1"/>
  <c r="F9" i="2"/>
  <c r="O19" i="6"/>
  <c r="O13" i="6" s="1"/>
  <c r="AA16" i="7"/>
  <c r="E480" i="2"/>
  <c r="C12" i="10" s="1"/>
  <c r="R30" i="2"/>
  <c r="F11" i="9"/>
  <c r="Z207" i="2"/>
  <c r="E20" i="2"/>
  <c r="B29" i="1" s="1"/>
  <c r="O515" i="2"/>
  <c r="M38" i="10" s="1"/>
  <c r="P472" i="2"/>
  <c r="N11" i="10" s="1"/>
  <c r="M201" i="2"/>
  <c r="D102" i="2"/>
  <c r="G30" i="2"/>
  <c r="E334" i="2"/>
  <c r="E256" i="2"/>
  <c r="F30" i="2"/>
  <c r="F23" i="2" s="1"/>
  <c r="C99" i="1" s="1"/>
  <c r="O14" i="2"/>
  <c r="Q23" i="8"/>
  <c r="R19" i="2"/>
  <c r="R480" i="2"/>
  <c r="P12" i="10" s="1"/>
  <c r="Z557" i="2"/>
  <c r="E55" i="2"/>
  <c r="Z524" i="2"/>
  <c r="E198" i="2"/>
  <c r="R533" i="2"/>
  <c r="Q30" i="2"/>
  <c r="Q23" i="2" s="1"/>
  <c r="N99" i="1" s="1"/>
  <c r="N515" i="2"/>
  <c r="L38" i="10" s="1"/>
  <c r="D516" i="2"/>
  <c r="L33" i="2"/>
  <c r="I46" i="1" s="1"/>
  <c r="I147" i="1" s="1"/>
  <c r="I209" i="1" s="1"/>
  <c r="P13" i="2"/>
  <c r="L481" i="2"/>
  <c r="L472" i="2"/>
  <c r="J11" i="10" s="1"/>
  <c r="Q472" i="2"/>
  <c r="O11" i="10" s="1"/>
  <c r="E537" i="2"/>
  <c r="E536" i="2" s="1"/>
  <c r="D489" i="2"/>
  <c r="D488" i="2" s="1"/>
  <c r="E356" i="2"/>
  <c r="N14" i="2"/>
  <c r="N13" i="2" s="1"/>
  <c r="R44" i="2"/>
  <c r="L484" i="2"/>
  <c r="Z214" i="2"/>
  <c r="H480" i="2"/>
  <c r="F12" i="10" s="1"/>
  <c r="Q480" i="2"/>
  <c r="O12" i="10" s="1"/>
  <c r="P480" i="2"/>
  <c r="N12" i="10" s="1"/>
  <c r="K472" i="2"/>
  <c r="I11" i="10" s="1"/>
  <c r="P44" i="2"/>
  <c r="Z54" i="2"/>
  <c r="O378" i="2"/>
  <c r="M28" i="10" s="1"/>
  <c r="N124" i="2"/>
  <c r="R472" i="2"/>
  <c r="O472" i="2"/>
  <c r="F472" i="2"/>
  <c r="D11" i="10" s="1"/>
  <c r="L537" i="2"/>
  <c r="L536" i="2" s="1"/>
  <c r="J30" i="2"/>
  <c r="E50" i="2"/>
  <c r="D61" i="2"/>
  <c r="I61" i="1"/>
  <c r="Z189" i="2"/>
  <c r="H24" i="12"/>
  <c r="E24" i="12" s="1"/>
  <c r="D23" i="12" s="1"/>
  <c r="Q13" i="2"/>
  <c r="H30" i="2"/>
  <c r="J50" i="2"/>
  <c r="J44" i="2" s="1"/>
  <c r="H8" i="10" s="1"/>
  <c r="G25" i="10"/>
  <c r="E24" i="2"/>
  <c r="J65" i="1"/>
  <c r="S14" i="4"/>
  <c r="S13" i="4" s="1"/>
  <c r="M24" i="4"/>
  <c r="M14" i="4"/>
  <c r="M13" i="4" s="1"/>
  <c r="M10" i="4"/>
  <c r="E33" i="2"/>
  <c r="L21" i="2"/>
  <c r="L42" i="2"/>
  <c r="L36" i="2" s="1"/>
  <c r="J7" i="10" s="1"/>
  <c r="K21" i="2"/>
  <c r="K42" i="2"/>
  <c r="G21" i="2"/>
  <c r="D31" i="1" s="1"/>
  <c r="G42" i="2"/>
  <c r="J21" i="2"/>
  <c r="G31" i="1" s="1"/>
  <c r="G132" i="1" s="1"/>
  <c r="G194" i="1" s="1"/>
  <c r="J42" i="2"/>
  <c r="J36" i="2" s="1"/>
  <c r="H7" i="10" s="1"/>
  <c r="H21" i="2"/>
  <c r="E31" i="1" s="1"/>
  <c r="H42" i="2"/>
  <c r="H36" i="2" s="1"/>
  <c r="F7" i="10" s="1"/>
  <c r="O125" i="9"/>
  <c r="D91" i="5"/>
  <c r="D85" i="5"/>
  <c r="M85" i="5"/>
  <c r="M84" i="5" s="1"/>
  <c r="M36" i="5"/>
  <c r="M33" i="5" s="1"/>
  <c r="M16" i="5"/>
  <c r="M13" i="5" s="1"/>
  <c r="C37" i="10"/>
  <c r="M111" i="5"/>
  <c r="D111" i="5"/>
  <c r="M87" i="5"/>
  <c r="M105" i="5"/>
  <c r="M104" i="5" s="1"/>
  <c r="M81" i="5"/>
  <c r="M99" i="5"/>
  <c r="M98" i="5" s="1"/>
  <c r="M78" i="5"/>
  <c r="L16" i="5"/>
  <c r="L13" i="5" s="1"/>
  <c r="H44" i="2"/>
  <c r="F8" i="10" s="1"/>
  <c r="O44" i="2"/>
  <c r="M8" i="10" s="1"/>
  <c r="Q44" i="2"/>
  <c r="F44" i="2"/>
  <c r="D8" i="10" s="1"/>
  <c r="N21" i="2"/>
  <c r="AA21" i="2" s="1"/>
  <c r="Q19" i="2"/>
  <c r="P19" i="2"/>
  <c r="I60" i="1"/>
  <c r="E42" i="2"/>
  <c r="Q533" i="2"/>
  <c r="N477" i="2"/>
  <c r="N472" i="2" s="1"/>
  <c r="L11" i="10" s="1"/>
  <c r="N50" i="2"/>
  <c r="N44" i="2" s="1"/>
  <c r="L8" i="10" s="1"/>
  <c r="F480" i="2"/>
  <c r="D12" i="10" s="1"/>
  <c r="K50" i="2"/>
  <c r="K44" i="2" s="1"/>
  <c r="I8" i="10" s="1"/>
  <c r="L28" i="2"/>
  <c r="I39" i="1" s="1"/>
  <c r="I143" i="1" s="1"/>
  <c r="I205" i="1" s="1"/>
  <c r="O484" i="2"/>
  <c r="O480" i="2" s="1"/>
  <c r="M12" i="10" s="1"/>
  <c r="D387" i="2"/>
  <c r="D384" i="2" s="1"/>
  <c r="L387" i="2"/>
  <c r="L32" i="2"/>
  <c r="I45" i="1" s="1"/>
  <c r="J14" i="2"/>
  <c r="J13" i="2" s="1"/>
  <c r="M613" i="2"/>
  <c r="M612" i="2" s="1"/>
  <c r="J102" i="1" s="1"/>
  <c r="U102" i="1" s="1"/>
  <c r="I28" i="10"/>
  <c r="K14" i="2"/>
  <c r="K13" i="2" s="1"/>
  <c r="I14" i="2"/>
  <c r="L14" i="2"/>
  <c r="N25" i="10"/>
  <c r="E8" i="10"/>
  <c r="M31" i="9"/>
  <c r="F8" i="9"/>
  <c r="M62" i="9"/>
  <c r="M61" i="9" s="1"/>
  <c r="D62" i="9"/>
  <c r="D61" i="9" s="1"/>
  <c r="Z61" i="9" s="1"/>
  <c r="M59" i="9"/>
  <c r="M56" i="9" s="1"/>
  <c r="D46" i="9"/>
  <c r="D45" i="9" s="1"/>
  <c r="M46" i="9"/>
  <c r="M45" i="9" s="1"/>
  <c r="M28" i="9"/>
  <c r="M27" i="9" s="1"/>
  <c r="D28" i="9"/>
  <c r="D27" i="9" s="1"/>
  <c r="H8" i="9"/>
  <c r="G8" i="9"/>
  <c r="D25" i="9"/>
  <c r="M25" i="9"/>
  <c r="M23" i="9"/>
  <c r="D23" i="9"/>
  <c r="D22" i="9" s="1"/>
  <c r="M50" i="9"/>
  <c r="M49" i="9" s="1"/>
  <c r="D50" i="9"/>
  <c r="D49" i="9" s="1"/>
  <c r="M43" i="9"/>
  <c r="M40" i="9" s="1"/>
  <c r="D43" i="9"/>
  <c r="J35" i="10"/>
  <c r="D32" i="3"/>
  <c r="F25" i="10"/>
  <c r="N18" i="7"/>
  <c r="N17" i="7" s="1"/>
  <c r="N12" i="7"/>
  <c r="N11" i="7" s="1"/>
  <c r="M26" i="13"/>
  <c r="M10" i="13" s="1"/>
  <c r="P11" i="8"/>
  <c r="P9" i="8" s="1"/>
  <c r="I11" i="8"/>
  <c r="Q12" i="8"/>
  <c r="O12" i="8"/>
  <c r="R12" i="8"/>
  <c r="M115" i="8"/>
  <c r="D31" i="8"/>
  <c r="M100" i="8"/>
  <c r="M98" i="8"/>
  <c r="D92" i="8"/>
  <c r="M92" i="8"/>
  <c r="D49" i="8"/>
  <c r="M74" i="8"/>
  <c r="K18" i="10" s="1"/>
  <c r="V18" i="10" s="1"/>
  <c r="D70" i="8"/>
  <c r="M70" i="8"/>
  <c r="M69" i="8" s="1"/>
  <c r="K17" i="10" s="1"/>
  <c r="M17" i="8"/>
  <c r="M40" i="8"/>
  <c r="D14" i="8"/>
  <c r="M105" i="8"/>
  <c r="M104" i="8" s="1"/>
  <c r="M94" i="8"/>
  <c r="D94" i="8"/>
  <c r="D25" i="8"/>
  <c r="M45" i="8"/>
  <c r="M44" i="8" s="1"/>
  <c r="K16" i="10" s="1"/>
  <c r="V16" i="10" s="1"/>
  <c r="M125" i="8"/>
  <c r="M112" i="8"/>
  <c r="Z107" i="8"/>
  <c r="M19" i="8"/>
  <c r="J27" i="1" s="1"/>
  <c r="M77" i="8"/>
  <c r="M33" i="8"/>
  <c r="D27" i="8"/>
  <c r="D75" i="8"/>
  <c r="D74" i="8" s="1"/>
  <c r="D21" i="8"/>
  <c r="M36" i="8"/>
  <c r="M14" i="8"/>
  <c r="M13" i="8" s="1"/>
  <c r="N27" i="4"/>
  <c r="M42" i="4"/>
  <c r="M41" i="4" s="1"/>
  <c r="M22" i="6"/>
  <c r="K20" i="10"/>
  <c r="D19" i="10"/>
  <c r="M72" i="6"/>
  <c r="K30" i="10" s="1"/>
  <c r="J9" i="3"/>
  <c r="J8" i="3" s="1"/>
  <c r="F9" i="3"/>
  <c r="F8" i="3" s="1"/>
  <c r="P9" i="3"/>
  <c r="P8" i="3" s="1"/>
  <c r="K9" i="3"/>
  <c r="K8" i="3" s="1"/>
  <c r="Z113" i="3"/>
  <c r="H9" i="3"/>
  <c r="G9" i="3"/>
  <c r="G8" i="3" s="1"/>
  <c r="D9" i="10"/>
  <c r="J10" i="10"/>
  <c r="D201" i="3"/>
  <c r="D197" i="3" s="1"/>
  <c r="M201" i="3"/>
  <c r="M197" i="3" s="1"/>
  <c r="M134" i="3"/>
  <c r="M129" i="3"/>
  <c r="E9" i="10"/>
  <c r="M114" i="3"/>
  <c r="D116" i="3"/>
  <c r="D114" i="3" s="1"/>
  <c r="M93" i="3"/>
  <c r="D93" i="3"/>
  <c r="D89" i="3" s="1"/>
  <c r="M84" i="3"/>
  <c r="M83" i="3" s="1"/>
  <c r="D84" i="3"/>
  <c r="D83" i="3" s="1"/>
  <c r="D75" i="3"/>
  <c r="D74" i="3" s="1"/>
  <c r="M74" i="3"/>
  <c r="M209" i="3"/>
  <c r="M206" i="3"/>
  <c r="M203" i="3" s="1"/>
  <c r="M132" i="3"/>
  <c r="D121" i="3"/>
  <c r="D120" i="3" s="1"/>
  <c r="M120" i="3"/>
  <c r="D81" i="3"/>
  <c r="D77" i="3" s="1"/>
  <c r="M81" i="3"/>
  <c r="M77" i="3" s="1"/>
  <c r="M66" i="3"/>
  <c r="D67" i="3"/>
  <c r="D66" i="3" s="1"/>
  <c r="D55" i="3"/>
  <c r="D54" i="3"/>
  <c r="D14" i="3" s="1"/>
  <c r="Q9" i="3"/>
  <c r="I10" i="10"/>
  <c r="F9" i="10"/>
  <c r="M122" i="3"/>
  <c r="D123" i="3"/>
  <c r="D122" i="3" s="1"/>
  <c r="D218" i="3"/>
  <c r="D215" i="3" s="1"/>
  <c r="D266" i="6" s="1"/>
  <c r="M146" i="3"/>
  <c r="M143" i="3" s="1"/>
  <c r="D147" i="3"/>
  <c r="D146" i="3" s="1"/>
  <c r="D143" i="3" s="1"/>
  <c r="M138" i="3"/>
  <c r="M137" i="3" s="1"/>
  <c r="M10" i="3" s="1"/>
  <c r="D139" i="3"/>
  <c r="M117" i="3"/>
  <c r="D118" i="3"/>
  <c r="D117" i="3" s="1"/>
  <c r="M89" i="3"/>
  <c r="M72" i="3"/>
  <c r="D73" i="3"/>
  <c r="D72" i="3" s="1"/>
  <c r="M69" i="3"/>
  <c r="D70" i="3"/>
  <c r="D69" i="3" s="1"/>
  <c r="G9" i="10"/>
  <c r="D29" i="3"/>
  <c r="D28" i="3" s="1"/>
  <c r="M29" i="3"/>
  <c r="M28" i="3" s="1"/>
  <c r="D10" i="10"/>
  <c r="D63" i="3"/>
  <c r="H9" i="10"/>
  <c r="F10" i="10"/>
  <c r="D118" i="2"/>
  <c r="M638" i="2"/>
  <c r="M637" i="2" s="1"/>
  <c r="M55" i="2"/>
  <c r="M40" i="2"/>
  <c r="M18" i="2" s="1"/>
  <c r="J24" i="1" s="1"/>
  <c r="U24" i="1" s="1"/>
  <c r="D55" i="2"/>
  <c r="M512" i="2"/>
  <c r="M511" i="2" s="1"/>
  <c r="D512" i="2"/>
  <c r="D511" i="2" s="1"/>
  <c r="M242" i="2"/>
  <c r="D242" i="2"/>
  <c r="M240" i="2"/>
  <c r="M239" i="2" s="1"/>
  <c r="M184" i="2"/>
  <c r="D184" i="2"/>
  <c r="M178" i="2"/>
  <c r="D178" i="2"/>
  <c r="M171" i="2"/>
  <c r="D171" i="2"/>
  <c r="D168" i="2" s="1"/>
  <c r="M152" i="2"/>
  <c r="M369" i="2"/>
  <c r="D369" i="2"/>
  <c r="M364" i="2"/>
  <c r="D368" i="2"/>
  <c r="M39" i="2"/>
  <c r="M605" i="2"/>
  <c r="M604" i="2" s="1"/>
  <c r="D605" i="2"/>
  <c r="D604" i="2" s="1"/>
  <c r="D578" i="2"/>
  <c r="D577" i="2" s="1"/>
  <c r="M562" i="2"/>
  <c r="M561" i="2" s="1"/>
  <c r="M245" i="2"/>
  <c r="M244" i="2" s="1"/>
  <c r="D245" i="2"/>
  <c r="D244" i="2" s="1"/>
  <c r="M204" i="2"/>
  <c r="M203" i="2" s="1"/>
  <c r="D204" i="2"/>
  <c r="D203" i="2" s="1"/>
  <c r="M199" i="2"/>
  <c r="D199" i="2"/>
  <c r="D198" i="2" s="1"/>
  <c r="M195" i="2"/>
  <c r="M194" i="2" s="1"/>
  <c r="D195" i="2"/>
  <c r="D194" i="2" s="1"/>
  <c r="M181" i="2"/>
  <c r="D181" i="2"/>
  <c r="M344" i="2"/>
  <c r="D344" i="2"/>
  <c r="M130" i="2"/>
  <c r="M129" i="2" s="1"/>
  <c r="D130" i="2"/>
  <c r="D129" i="2" s="1"/>
  <c r="M83" i="2"/>
  <c r="D83" i="2"/>
  <c r="M76" i="2"/>
  <c r="D77" i="2"/>
  <c r="M106" i="2"/>
  <c r="D106" i="2"/>
  <c r="M91" i="2"/>
  <c r="D91" i="2"/>
  <c r="M78" i="2"/>
  <c r="D80" i="2"/>
  <c r="M186" i="2"/>
  <c r="D186" i="2"/>
  <c r="D25" i="10"/>
  <c r="E25" i="10"/>
  <c r="E40" i="2"/>
  <c r="E18" i="2" s="1"/>
  <c r="B24" i="1" s="1"/>
  <c r="B129" i="1" s="1"/>
  <c r="B190" i="1" s="1"/>
  <c r="N521" i="2"/>
  <c r="N520" i="2" s="1"/>
  <c r="L39" i="10" s="1"/>
  <c r="D224" i="2"/>
  <c r="M393" i="2"/>
  <c r="M217" i="2"/>
  <c r="D217" i="2"/>
  <c r="M174" i="2"/>
  <c r="M173" i="2" s="1"/>
  <c r="D174" i="2"/>
  <c r="D173" i="2" s="1"/>
  <c r="M165" i="2"/>
  <c r="D165" i="2"/>
  <c r="M163" i="2"/>
  <c r="M48" i="2"/>
  <c r="M29" i="2" s="1"/>
  <c r="J40" i="1" s="1"/>
  <c r="M154" i="2"/>
  <c r="D154" i="2"/>
  <c r="M146" i="2"/>
  <c r="D146" i="2"/>
  <c r="M125" i="2"/>
  <c r="M361" i="2"/>
  <c r="M358" i="2" s="1"/>
  <c r="M629" i="2"/>
  <c r="M586" i="2"/>
  <c r="M585" i="2" s="1"/>
  <c r="D586" i="2"/>
  <c r="D585" i="2" s="1"/>
  <c r="M570" i="2"/>
  <c r="M569" i="2" s="1"/>
  <c r="D570" i="2"/>
  <c r="D569" i="2" s="1"/>
  <c r="M211" i="2"/>
  <c r="M210" i="2" s="1"/>
  <c r="D211" i="2"/>
  <c r="D210" i="2" s="1"/>
  <c r="M160" i="2"/>
  <c r="D160" i="2"/>
  <c r="D157" i="2" s="1"/>
  <c r="M149" i="2"/>
  <c r="D149" i="2"/>
  <c r="M127" i="2"/>
  <c r="D127" i="2"/>
  <c r="M87" i="2"/>
  <c r="D87" i="2"/>
  <c r="M69" i="2"/>
  <c r="M68" i="2" s="1"/>
  <c r="D71" i="2"/>
  <c r="D69" i="2" s="1"/>
  <c r="D68" i="2" s="1"/>
  <c r="M116" i="2"/>
  <c r="D116" i="2"/>
  <c r="M108" i="2"/>
  <c r="D108" i="2"/>
  <c r="M99" i="2"/>
  <c r="D99" i="2"/>
  <c r="M94" i="2"/>
  <c r="D94" i="2"/>
  <c r="D481" i="2"/>
  <c r="M215" i="2"/>
  <c r="D215" i="2"/>
  <c r="M375" i="2"/>
  <c r="M371" i="2" s="1"/>
  <c r="D376" i="2"/>
  <c r="D375" i="2" s="1"/>
  <c r="N387" i="2"/>
  <c r="N32" i="2"/>
  <c r="K45" i="1" s="1"/>
  <c r="M349" i="2"/>
  <c r="M346" i="2" s="1"/>
  <c r="D349" i="2"/>
  <c r="D346" i="2" s="1"/>
  <c r="M118" i="2"/>
  <c r="E390" i="2"/>
  <c r="E270" i="2"/>
  <c r="M546" i="2"/>
  <c r="J78" i="1" s="1"/>
  <c r="M485" i="2"/>
  <c r="M493" i="2"/>
  <c r="M478" i="2"/>
  <c r="M476" i="2"/>
  <c r="M17" i="2" s="1"/>
  <c r="M489" i="2"/>
  <c r="G352" i="2"/>
  <c r="D638" i="2"/>
  <c r="D637" i="2" s="1"/>
  <c r="M396" i="2"/>
  <c r="M395" i="2" s="1"/>
  <c r="M507" i="2"/>
  <c r="M391" i="2"/>
  <c r="M113" i="2"/>
  <c r="J19" i="10"/>
  <c r="D231" i="6"/>
  <c r="D230" i="6" s="1"/>
  <c r="D229" i="6" s="1"/>
  <c r="D246" i="6"/>
  <c r="D245" i="6" s="1"/>
  <c r="O9" i="3"/>
  <c r="L13" i="6"/>
  <c r="G19" i="10"/>
  <c r="D78" i="6"/>
  <c r="D77" i="6" s="1"/>
  <c r="D7" i="10"/>
  <c r="P13" i="6"/>
  <c r="P226" i="6"/>
  <c r="P225" i="6" s="1"/>
  <c r="Q13" i="6"/>
  <c r="D206" i="3"/>
  <c r="D203" i="3" s="1"/>
  <c r="L18" i="9"/>
  <c r="L17" i="9" s="1"/>
  <c r="I98" i="1" s="1"/>
  <c r="I92" i="1" s="1"/>
  <c r="L10" i="5"/>
  <c r="N36" i="2"/>
  <c r="D45" i="7"/>
  <c r="D44" i="7" s="1"/>
  <c r="D10" i="7"/>
  <c r="J10" i="8"/>
  <c r="H15" i="10"/>
  <c r="M15" i="10"/>
  <c r="O10" i="8"/>
  <c r="I14" i="10"/>
  <c r="G26" i="10"/>
  <c r="L226" i="6"/>
  <c r="L225" i="6" s="1"/>
  <c r="Z185" i="3"/>
  <c r="F20" i="10"/>
  <c r="K23" i="4"/>
  <c r="G23" i="4"/>
  <c r="E472" i="2"/>
  <c r="C11" i="10" s="1"/>
  <c r="N177" i="2"/>
  <c r="F16" i="12" s="1"/>
  <c r="N157" i="2"/>
  <c r="F12" i="12" s="1"/>
  <c r="K14" i="4"/>
  <c r="K13" i="4" s="1"/>
  <c r="D61" i="8"/>
  <c r="N32" i="3"/>
  <c r="J16" i="10"/>
  <c r="L15" i="7"/>
  <c r="I222" i="6"/>
  <c r="E222" i="6"/>
  <c r="J226" i="6"/>
  <c r="J225" i="6" s="1"/>
  <c r="D20" i="10"/>
  <c r="I23" i="4"/>
  <c r="E23" i="4"/>
  <c r="C30" i="10"/>
  <c r="Q8" i="9"/>
  <c r="J18" i="9"/>
  <c r="J17" i="9" s="1"/>
  <c r="N179" i="8"/>
  <c r="L190" i="8"/>
  <c r="L189" i="8" s="1"/>
  <c r="N11" i="9"/>
  <c r="L11" i="8"/>
  <c r="L9" i="8" s="1"/>
  <c r="D72" i="8"/>
  <c r="D69" i="8" s="1"/>
  <c r="J24" i="8"/>
  <c r="N18" i="8"/>
  <c r="C15" i="10"/>
  <c r="N13" i="8"/>
  <c r="L18" i="7"/>
  <c r="I103" i="1" s="1"/>
  <c r="I101" i="1" s="1"/>
  <c r="H17" i="7"/>
  <c r="O12" i="7"/>
  <c r="O11" i="7" s="1"/>
  <c r="J12" i="7"/>
  <c r="J11" i="7" s="1"/>
  <c r="O224" i="6"/>
  <c r="O222" i="6" s="1"/>
  <c r="E226" i="6"/>
  <c r="E225" i="6" s="1"/>
  <c r="O25" i="6"/>
  <c r="O21" i="6" s="1"/>
  <c r="K87" i="5"/>
  <c r="K83" i="5" s="1"/>
  <c r="E19" i="5"/>
  <c r="E18" i="5" s="1"/>
  <c r="N16" i="5"/>
  <c r="N14" i="5"/>
  <c r="E14" i="5"/>
  <c r="N24" i="4"/>
  <c r="N23" i="4" s="1"/>
  <c r="E21" i="4"/>
  <c r="E14" i="4"/>
  <c r="D210" i="3"/>
  <c r="D209" i="3" s="1"/>
  <c r="D267" i="6" s="1"/>
  <c r="L12" i="9"/>
  <c r="L11" i="9" s="1"/>
  <c r="D135" i="8"/>
  <c r="D134" i="8" s="1"/>
  <c r="J111" i="8"/>
  <c r="D13" i="10"/>
  <c r="F9" i="8"/>
  <c r="K61" i="8"/>
  <c r="I16" i="10" s="1"/>
  <c r="D36" i="8"/>
  <c r="I13" i="8"/>
  <c r="K12" i="7"/>
  <c r="K11" i="7" s="1"/>
  <c r="E8" i="7"/>
  <c r="D14" i="7"/>
  <c r="D12" i="7" s="1"/>
  <c r="D24" i="7"/>
  <c r="D23" i="7" s="1"/>
  <c r="D8" i="7"/>
  <c r="N222" i="6"/>
  <c r="L22" i="6"/>
  <c r="N27" i="5"/>
  <c r="L37" i="10" s="1"/>
  <c r="D30" i="5"/>
  <c r="O21" i="4"/>
  <c r="O13" i="4" s="1"/>
  <c r="AA28" i="4"/>
  <c r="N17" i="10"/>
  <c r="W17" i="10" s="1"/>
  <c r="K11" i="8"/>
  <c r="G15" i="10"/>
  <c r="I10" i="8"/>
  <c r="I9" i="8" s="1"/>
  <c r="L12" i="7"/>
  <c r="L11" i="7" s="1"/>
  <c r="E12" i="7"/>
  <c r="E11" i="7" s="1"/>
  <c r="L20" i="7"/>
  <c r="J19" i="6"/>
  <c r="J13" i="6" s="1"/>
  <c r="E16" i="5"/>
  <c r="C36" i="10"/>
  <c r="D24" i="4"/>
  <c r="AA25" i="4"/>
  <c r="D132" i="3"/>
  <c r="M21" i="10"/>
  <c r="Z173" i="3"/>
  <c r="D550" i="2"/>
  <c r="D549" i="2" s="1"/>
  <c r="L207" i="2"/>
  <c r="D207" i="2"/>
  <c r="E18" i="12"/>
  <c r="L177" i="2"/>
  <c r="Z125" i="3"/>
  <c r="K60" i="1"/>
  <c r="E17" i="12"/>
  <c r="H533" i="2"/>
  <c r="E14" i="2"/>
  <c r="Z8" i="9"/>
  <c r="I34" i="10"/>
  <c r="D212" i="8"/>
  <c r="D211" i="8" s="1"/>
  <c r="D190" i="8"/>
  <c r="D189" i="8" s="1"/>
  <c r="F178" i="8" s="1"/>
  <c r="N11" i="8"/>
  <c r="L17" i="10"/>
  <c r="G9" i="8"/>
  <c r="P13" i="8"/>
  <c r="P12" i="8" s="1"/>
  <c r="D81" i="8"/>
  <c r="D80" i="8" s="1"/>
  <c r="D17" i="8"/>
  <c r="O11" i="8"/>
  <c r="H17" i="10"/>
  <c r="J11" i="8"/>
  <c r="J17" i="10"/>
  <c r="D45" i="8"/>
  <c r="D44" i="8" s="1"/>
  <c r="L15" i="10"/>
  <c r="N10" i="8"/>
  <c r="I15" i="10"/>
  <c r="K10" i="8"/>
  <c r="K13" i="8"/>
  <c r="K12" i="8" s="1"/>
  <c r="O18" i="7"/>
  <c r="L103" i="1" s="1"/>
  <c r="F17" i="7"/>
  <c r="AA14" i="7"/>
  <c r="J222" i="6"/>
  <c r="D234" i="6"/>
  <c r="D233" i="6" s="1"/>
  <c r="D224" i="6" s="1"/>
  <c r="N31" i="10"/>
  <c r="N26" i="10" s="1"/>
  <c r="D73" i="6"/>
  <c r="D72" i="6" s="1"/>
  <c r="L25" i="6"/>
  <c r="D88" i="5"/>
  <c r="D87" i="5" s="1"/>
  <c r="D108" i="5"/>
  <c r="D34" i="5"/>
  <c r="D14" i="5"/>
  <c r="D76" i="4"/>
  <c r="D73" i="4" s="1"/>
  <c r="D27" i="4"/>
  <c r="D42" i="4"/>
  <c r="AB17" i="4"/>
  <c r="P23" i="4"/>
  <c r="L9" i="9"/>
  <c r="L8" i="9" s="1"/>
  <c r="J34" i="10"/>
  <c r="J25" i="10" s="1"/>
  <c r="H34" i="10"/>
  <c r="J9" i="9"/>
  <c r="J8" i="9" s="1"/>
  <c r="R9" i="8"/>
  <c r="I115" i="8"/>
  <c r="I111" i="8" s="1"/>
  <c r="I32" i="8"/>
  <c r="F44" i="1" s="1"/>
  <c r="J30" i="8"/>
  <c r="O24" i="8"/>
  <c r="O23" i="8" s="1"/>
  <c r="L24" i="8"/>
  <c r="L23" i="8" s="1"/>
  <c r="F13" i="8"/>
  <c r="F12" i="8" s="1"/>
  <c r="E105" i="8"/>
  <c r="E104" i="8" s="1"/>
  <c r="C13" i="10" s="1"/>
  <c r="E14" i="8"/>
  <c r="E13" i="8" s="1"/>
  <c r="E12" i="8" s="1"/>
  <c r="K24" i="8"/>
  <c r="J13" i="8"/>
  <c r="J12" i="8" s="1"/>
  <c r="K30" i="8"/>
  <c r="K8" i="7"/>
  <c r="J31" i="10"/>
  <c r="D80" i="5"/>
  <c r="N19" i="5"/>
  <c r="N18" i="5" s="1"/>
  <c r="I18" i="8"/>
  <c r="H9" i="8"/>
  <c r="AA13" i="7"/>
  <c r="D29" i="7"/>
  <c r="D28" i="7" s="1"/>
  <c r="D21" i="7"/>
  <c r="D20" i="7" s="1"/>
  <c r="AA15" i="7"/>
  <c r="N226" i="6"/>
  <c r="N225" i="6" s="1"/>
  <c r="D242" i="6"/>
  <c r="D241" i="6" s="1"/>
  <c r="E13" i="6"/>
  <c r="D86" i="5"/>
  <c r="D84" i="5" s="1"/>
  <c r="O10" i="5"/>
  <c r="D55" i="4"/>
  <c r="D54" i="4" s="1"/>
  <c r="J13" i="4"/>
  <c r="AA14" i="4"/>
  <c r="Z629" i="2"/>
  <c r="L210" i="2"/>
  <c r="N168" i="2"/>
  <c r="L157" i="2"/>
  <c r="I98" i="2"/>
  <c r="D98" i="1"/>
  <c r="D92" i="1" s="1"/>
  <c r="D518" i="2"/>
  <c r="D31" i="2"/>
  <c r="F533" i="2"/>
  <c r="D270" i="2"/>
  <c r="H10" i="12" l="1"/>
  <c r="H9" i="12" s="1"/>
  <c r="J363" i="12"/>
  <c r="J362" i="12" s="1"/>
  <c r="J367" i="12"/>
  <c r="J366" i="12" s="1"/>
  <c r="J371" i="12" s="1"/>
  <c r="J370" i="12" s="1"/>
  <c r="O16" i="1"/>
  <c r="E13" i="12"/>
  <c r="D10" i="4"/>
  <c r="U61" i="1"/>
  <c r="K35" i="10"/>
  <c r="V35" i="10" s="1"/>
  <c r="D16" i="2"/>
  <c r="M162" i="2"/>
  <c r="M535" i="2"/>
  <c r="M356" i="2"/>
  <c r="M352" i="2" s="1"/>
  <c r="D396" i="2"/>
  <c r="D395" i="2" s="1"/>
  <c r="Z506" i="2"/>
  <c r="K533" i="2"/>
  <c r="L51" i="1"/>
  <c r="L46" i="1"/>
  <c r="L41" i="1" s="1"/>
  <c r="L32" i="1" s="1"/>
  <c r="L49" i="1" s="1"/>
  <c r="W25" i="10"/>
  <c r="M43" i="2"/>
  <c r="M42" i="2" s="1"/>
  <c r="H59" i="1"/>
  <c r="D26" i="6"/>
  <c r="D89" i="6"/>
  <c r="D88" i="6" s="1"/>
  <c r="D86" i="6"/>
  <c r="D20" i="6"/>
  <c r="D13" i="3"/>
  <c r="L98" i="1"/>
  <c r="L92" i="1" s="1"/>
  <c r="M131" i="3"/>
  <c r="D52" i="2"/>
  <c r="M16" i="2"/>
  <c r="J21" i="1" s="1"/>
  <c r="L384" i="2"/>
  <c r="J29" i="10" s="1"/>
  <c r="J26" i="10" s="1"/>
  <c r="E384" i="2"/>
  <c r="C29" i="10" s="1"/>
  <c r="C26" i="10" s="1"/>
  <c r="K9" i="2"/>
  <c r="M496" i="2"/>
  <c r="D43" i="2"/>
  <c r="D14" i="1"/>
  <c r="D90" i="1" s="1"/>
  <c r="N384" i="2"/>
  <c r="L29" i="10" s="1"/>
  <c r="L26" i="10" s="1"/>
  <c r="M534" i="2"/>
  <c r="J60" i="1" s="1"/>
  <c r="D535" i="2"/>
  <c r="D538" i="2"/>
  <c r="D537" i="2" s="1"/>
  <c r="D536" i="2" s="1"/>
  <c r="N100" i="1"/>
  <c r="K46" i="1"/>
  <c r="K52" i="1" s="1"/>
  <c r="R12" i="2"/>
  <c r="X10" i="2"/>
  <c r="X9" i="2" s="1"/>
  <c r="I76" i="1"/>
  <c r="I75" i="1" s="1"/>
  <c r="I86" i="1" s="1"/>
  <c r="I100" i="1" s="1"/>
  <c r="X13" i="2"/>
  <c r="V60" i="1"/>
  <c r="P41" i="10"/>
  <c r="M13" i="1"/>
  <c r="Q9" i="2"/>
  <c r="W38" i="10"/>
  <c r="Z515" i="2"/>
  <c r="V38" i="10"/>
  <c r="V39" i="10"/>
  <c r="K9" i="8"/>
  <c r="D19" i="9"/>
  <c r="Z47" i="9"/>
  <c r="D83" i="5"/>
  <c r="J50" i="1"/>
  <c r="J22" i="1"/>
  <c r="D41" i="4"/>
  <c r="L21" i="6"/>
  <c r="D365" i="2"/>
  <c r="D364" i="2" s="1"/>
  <c r="O32" i="1"/>
  <c r="O49" i="1" s="1"/>
  <c r="O135" i="1" s="1"/>
  <c r="O212" i="1" s="1"/>
  <c r="D148" i="1"/>
  <c r="Y69" i="1"/>
  <c r="Y66" i="1"/>
  <c r="U65" i="1"/>
  <c r="D32" i="1"/>
  <c r="D49" i="1" s="1"/>
  <c r="E45" i="10" s="1"/>
  <c r="M100" i="1"/>
  <c r="X68" i="1"/>
  <c r="U67" i="1"/>
  <c r="X67" i="1"/>
  <c r="V28" i="1"/>
  <c r="X28" i="1"/>
  <c r="X19" i="1"/>
  <c r="L73" i="1"/>
  <c r="V65" i="1"/>
  <c r="X65" i="1"/>
  <c r="X24" i="1"/>
  <c r="Y24" i="1" s="1"/>
  <c r="Y30" i="1"/>
  <c r="U27" i="1"/>
  <c r="X27" i="1"/>
  <c r="X71" i="1"/>
  <c r="Y71" i="1" s="1"/>
  <c r="Y70" i="1"/>
  <c r="Y20" i="1"/>
  <c r="O59" i="1"/>
  <c r="O106" i="1" s="1"/>
  <c r="W81" i="1"/>
  <c r="Y72" i="1"/>
  <c r="O23" i="2"/>
  <c r="L99" i="1" s="1"/>
  <c r="L101" i="1"/>
  <c r="O132" i="1"/>
  <c r="O194" i="1" s="1"/>
  <c r="F10" i="6"/>
  <c r="P23" i="2"/>
  <c r="D371" i="2"/>
  <c r="H23" i="2"/>
  <c r="E99" i="1" s="1"/>
  <c r="E97" i="1" s="1"/>
  <c r="J23" i="2"/>
  <c r="G36" i="2"/>
  <c r="E7" i="10" s="1"/>
  <c r="K36" i="2"/>
  <c r="I7" i="10" s="1"/>
  <c r="G23" i="2"/>
  <c r="D99" i="1" s="1"/>
  <c r="D93" i="1" s="1"/>
  <c r="M481" i="2"/>
  <c r="P9" i="2"/>
  <c r="E54" i="2"/>
  <c r="O9" i="2"/>
  <c r="G60" i="1"/>
  <c r="G59" i="1" s="1"/>
  <c r="G87" i="1" s="1"/>
  <c r="I23" i="2"/>
  <c r="F12" i="2"/>
  <c r="K23" i="2"/>
  <c r="R23" i="2"/>
  <c r="O99" i="1" s="1"/>
  <c r="M390" i="2"/>
  <c r="M506" i="2"/>
  <c r="M10" i="2" s="1"/>
  <c r="M98" i="2"/>
  <c r="M157" i="2"/>
  <c r="G12" i="12" s="1"/>
  <c r="D183" i="2"/>
  <c r="M168" i="2"/>
  <c r="G20" i="12" s="1"/>
  <c r="Z36" i="2"/>
  <c r="H14" i="1"/>
  <c r="H90" i="1" s="1"/>
  <c r="D98" i="2"/>
  <c r="M58" i="2"/>
  <c r="M198" i="2"/>
  <c r="N24" i="2"/>
  <c r="X36" i="2"/>
  <c r="C100" i="1"/>
  <c r="F87" i="1"/>
  <c r="L131" i="1"/>
  <c r="L193" i="1" s="1"/>
  <c r="N26" i="1"/>
  <c r="N16" i="1" s="1"/>
  <c r="V29" i="1"/>
  <c r="X19" i="2"/>
  <c r="M19" i="6"/>
  <c r="N93" i="1"/>
  <c r="C14" i="1"/>
  <c r="C90" i="1" s="1"/>
  <c r="O184" i="1"/>
  <c r="M148" i="1"/>
  <c r="M210" i="1"/>
  <c r="N32" i="1"/>
  <c r="N49" i="1" s="1"/>
  <c r="N135" i="1" s="1"/>
  <c r="N212" i="1" s="1"/>
  <c r="M14" i="6"/>
  <c r="F33" i="1"/>
  <c r="H13" i="1"/>
  <c r="I31" i="10"/>
  <c r="I26" i="10" s="1"/>
  <c r="I42" i="10" s="1"/>
  <c r="H19" i="10"/>
  <c r="K31" i="1"/>
  <c r="K132" i="1" s="1"/>
  <c r="K194" i="1" s="1"/>
  <c r="M25" i="10"/>
  <c r="O148" i="1"/>
  <c r="D84" i="6"/>
  <c r="D83" i="6" s="1"/>
  <c r="D12" i="6" s="1"/>
  <c r="G41" i="1"/>
  <c r="G32" i="1" s="1"/>
  <c r="G49" i="1" s="1"/>
  <c r="N148" i="1"/>
  <c r="M122" i="1"/>
  <c r="M184" i="1" s="1"/>
  <c r="N210" i="1"/>
  <c r="U125" i="1"/>
  <c r="U191" i="1" s="1"/>
  <c r="M32" i="1"/>
  <c r="M49" i="1" s="1"/>
  <c r="M91" i="1" s="1"/>
  <c r="N42" i="10"/>
  <c r="V30" i="10"/>
  <c r="P533" i="2"/>
  <c r="L480" i="2"/>
  <c r="J12" i="10" s="1"/>
  <c r="K33" i="1"/>
  <c r="E37" i="2"/>
  <c r="E36" i="2" s="1"/>
  <c r="C7" i="10" s="1"/>
  <c r="M45" i="2"/>
  <c r="M37" i="2"/>
  <c r="I59" i="1"/>
  <c r="I87" i="1" s="1"/>
  <c r="O42" i="10"/>
  <c r="E90" i="1"/>
  <c r="W9" i="10"/>
  <c r="C17" i="1"/>
  <c r="E41" i="1"/>
  <c r="E32" i="1" s="1"/>
  <c r="E49" i="1" s="1"/>
  <c r="E135" i="1" s="1"/>
  <c r="J139" i="1"/>
  <c r="J201" i="1" s="1"/>
  <c r="U139" i="1"/>
  <c r="U201" i="1" s="1"/>
  <c r="N106" i="1"/>
  <c r="J144" i="1"/>
  <c r="J206" i="1" s="1"/>
  <c r="U40" i="1"/>
  <c r="U144" i="1" s="1"/>
  <c r="U206" i="1" s="1"/>
  <c r="D474" i="2"/>
  <c r="D473" i="2" s="1"/>
  <c r="D507" i="2"/>
  <c r="D506" i="2" s="1"/>
  <c r="D10" i="2" s="1"/>
  <c r="D522" i="2"/>
  <c r="D521" i="2" s="1"/>
  <c r="D520" i="2" s="1"/>
  <c r="D530" i="2"/>
  <c r="D529" i="2" s="1"/>
  <c r="L60" i="1"/>
  <c r="D130" i="3"/>
  <c r="D129" i="3" s="1"/>
  <c r="M12" i="3"/>
  <c r="M11" i="3" s="1"/>
  <c r="D62" i="3"/>
  <c r="D59" i="3" s="1"/>
  <c r="D20" i="3"/>
  <c r="D19" i="3" s="1"/>
  <c r="D12" i="9"/>
  <c r="D41" i="9"/>
  <c r="D40" i="9" s="1"/>
  <c r="D8" i="9" s="1"/>
  <c r="D14" i="9"/>
  <c r="K36" i="10"/>
  <c r="D41" i="5"/>
  <c r="D38" i="5" s="1"/>
  <c r="M25" i="6"/>
  <c r="M21" i="6" s="1"/>
  <c r="E17" i="1"/>
  <c r="H41" i="1"/>
  <c r="O210" i="1"/>
  <c r="K59" i="1"/>
  <c r="K106" i="1" s="1"/>
  <c r="H64" i="1"/>
  <c r="H63" i="1" s="1"/>
  <c r="H85" i="1" s="1"/>
  <c r="F100" i="1"/>
  <c r="M64" i="1"/>
  <c r="M63" i="1" s="1"/>
  <c r="M85" i="1" s="1"/>
  <c r="E100" i="1"/>
  <c r="G148" i="1"/>
  <c r="C148" i="1"/>
  <c r="P42" i="10"/>
  <c r="C32" i="1"/>
  <c r="C49" i="1" s="1"/>
  <c r="C119" i="1" s="1"/>
  <c r="E148" i="1"/>
  <c r="G210" i="1"/>
  <c r="J143" i="1"/>
  <c r="J205" i="1" s="1"/>
  <c r="U39" i="1"/>
  <c r="U143" i="1" s="1"/>
  <c r="U205" i="1" s="1"/>
  <c r="D138" i="3"/>
  <c r="D137" i="3" s="1"/>
  <c r="D10" i="3" s="1"/>
  <c r="D12" i="3"/>
  <c r="D135" i="3"/>
  <c r="D23" i="3" s="1"/>
  <c r="D21" i="3" s="1"/>
  <c r="M23" i="3"/>
  <c r="M77" i="5"/>
  <c r="M76" i="5" s="1"/>
  <c r="L147" i="1"/>
  <c r="L209" i="1" s="1"/>
  <c r="L210" i="1" s="1"/>
  <c r="V122" i="1"/>
  <c r="L61" i="1"/>
  <c r="L64" i="1"/>
  <c r="D22" i="4"/>
  <c r="D21" i="4" s="1"/>
  <c r="D17" i="1"/>
  <c r="D100" i="1"/>
  <c r="H87" i="1"/>
  <c r="H75" i="1"/>
  <c r="H86" i="1" s="1"/>
  <c r="H100" i="1" s="1"/>
  <c r="B63" i="1"/>
  <c r="B85" i="1" s="1"/>
  <c r="G98" i="1"/>
  <c r="G92" i="1" s="1"/>
  <c r="L123" i="1"/>
  <c r="L185" i="1" s="1"/>
  <c r="K98" i="1"/>
  <c r="K92" i="1" s="1"/>
  <c r="L124" i="1"/>
  <c r="L186" i="1" s="1"/>
  <c r="L14" i="1"/>
  <c r="L18" i="1"/>
  <c r="L132" i="1"/>
  <c r="L194" i="1" s="1"/>
  <c r="U68" i="1"/>
  <c r="V131" i="1"/>
  <c r="V17" i="10"/>
  <c r="M42" i="10"/>
  <c r="W13" i="10"/>
  <c r="U28" i="1"/>
  <c r="U131" i="1" s="1"/>
  <c r="U193" i="1" s="1"/>
  <c r="M15" i="7"/>
  <c r="J74" i="1"/>
  <c r="X74" i="1" s="1"/>
  <c r="M20" i="7"/>
  <c r="M17" i="7" s="1"/>
  <c r="J83" i="1"/>
  <c r="L75" i="1"/>
  <c r="L86" i="1" s="1"/>
  <c r="J140" i="1"/>
  <c r="J202" i="1" s="1"/>
  <c r="U80" i="1"/>
  <c r="U140" i="1" s="1"/>
  <c r="U202" i="1" s="1"/>
  <c r="V31" i="10"/>
  <c r="H137" i="1"/>
  <c r="H33" i="1"/>
  <c r="L7" i="10"/>
  <c r="V20" i="10"/>
  <c r="P185" i="1"/>
  <c r="P195" i="1" s="1"/>
  <c r="P133" i="1"/>
  <c r="P134" i="1" s="1"/>
  <c r="K103" i="1"/>
  <c r="K101" i="1" s="1"/>
  <c r="K100" i="1" s="1"/>
  <c r="B138" i="1"/>
  <c r="B200" i="1" s="1"/>
  <c r="P106" i="1"/>
  <c r="P121" i="1"/>
  <c r="J124" i="1"/>
  <c r="J186" i="1" s="1"/>
  <c r="U19" i="1"/>
  <c r="N9" i="3"/>
  <c r="N8" i="3" s="1"/>
  <c r="J34" i="1"/>
  <c r="D13" i="1"/>
  <c r="D89" i="1" s="1"/>
  <c r="F199" i="1"/>
  <c r="C93" i="1"/>
  <c r="C97" i="1"/>
  <c r="I145" i="1"/>
  <c r="I207" i="1" s="1"/>
  <c r="I210" i="1" s="1"/>
  <c r="I41" i="1"/>
  <c r="K145" i="1"/>
  <c r="K41" i="1"/>
  <c r="F14" i="1"/>
  <c r="F90" i="1" s="1"/>
  <c r="L13" i="2"/>
  <c r="I18" i="1"/>
  <c r="E132" i="1"/>
  <c r="E194" i="1" s="1"/>
  <c r="E26" i="1"/>
  <c r="D132" i="1"/>
  <c r="D194" i="1" s="1"/>
  <c r="D26" i="1"/>
  <c r="K19" i="2"/>
  <c r="K12" i="2" s="1"/>
  <c r="H31" i="1"/>
  <c r="L19" i="2"/>
  <c r="I31" i="1"/>
  <c r="J64" i="1"/>
  <c r="O41" i="10"/>
  <c r="F26" i="1"/>
  <c r="I33" i="1"/>
  <c r="H18" i="1"/>
  <c r="G26" i="1"/>
  <c r="U78" i="1"/>
  <c r="J76" i="1"/>
  <c r="J129" i="1"/>
  <c r="J190" i="1" s="1"/>
  <c r="U129" i="1"/>
  <c r="U190" i="1" s="1"/>
  <c r="I13" i="2"/>
  <c r="F18" i="1"/>
  <c r="E30" i="2"/>
  <c r="E23" i="2" s="1"/>
  <c r="B99" i="1" s="1"/>
  <c r="B93" i="1" s="1"/>
  <c r="B46" i="1"/>
  <c r="E533" i="2"/>
  <c r="B61" i="1"/>
  <c r="B59" i="1" s="1"/>
  <c r="B87" i="1" s="1"/>
  <c r="O13" i="2"/>
  <c r="O12" i="2" s="1"/>
  <c r="W11" i="10"/>
  <c r="B128" i="1"/>
  <c r="B189" i="1" s="1"/>
  <c r="K18" i="1"/>
  <c r="G18" i="1"/>
  <c r="M131" i="1"/>
  <c r="M193" i="1" s="1"/>
  <c r="M26" i="1"/>
  <c r="C132" i="1"/>
  <c r="C194" i="1" s="1"/>
  <c r="C26" i="1"/>
  <c r="B100" i="1"/>
  <c r="F142" i="1"/>
  <c r="F204" i="1" s="1"/>
  <c r="F41" i="1"/>
  <c r="M111" i="8"/>
  <c r="M14" i="1"/>
  <c r="V14" i="1" s="1"/>
  <c r="X11" i="8"/>
  <c r="B18" i="1"/>
  <c r="G14" i="10"/>
  <c r="J9" i="8"/>
  <c r="G14" i="1"/>
  <c r="G90" i="1" s="1"/>
  <c r="Z9" i="8"/>
  <c r="L13" i="1"/>
  <c r="J141" i="1"/>
  <c r="J203" i="1" s="1"/>
  <c r="U141" i="1"/>
  <c r="U203" i="1" s="1"/>
  <c r="U44" i="1"/>
  <c r="U142" i="1" s="1"/>
  <c r="U204" i="1" s="1"/>
  <c r="J142" i="1"/>
  <c r="J204" i="1" s="1"/>
  <c r="N92" i="1"/>
  <c r="X10" i="8"/>
  <c r="M92" i="1"/>
  <c r="F13" i="1"/>
  <c r="V37" i="10"/>
  <c r="C13" i="1"/>
  <c r="F10" i="5"/>
  <c r="H10" i="5"/>
  <c r="G13" i="1"/>
  <c r="J10" i="5"/>
  <c r="N13" i="1"/>
  <c r="Q10" i="5"/>
  <c r="P10" i="5"/>
  <c r="D184" i="1"/>
  <c r="D195" i="1" s="1"/>
  <c r="N184" i="1"/>
  <c r="N195" i="1" s="1"/>
  <c r="N133" i="1"/>
  <c r="C184" i="1"/>
  <c r="C195" i="1" s="1"/>
  <c r="E184" i="1"/>
  <c r="E195" i="1" s="1"/>
  <c r="R10" i="5"/>
  <c r="O13" i="1"/>
  <c r="M23" i="4"/>
  <c r="W79" i="1"/>
  <c r="V21" i="1"/>
  <c r="V126" i="1" s="1"/>
  <c r="V68" i="1"/>
  <c r="V123" i="1" s="1"/>
  <c r="V19" i="1"/>
  <c r="M9" i="13"/>
  <c r="V32" i="10"/>
  <c r="M22" i="9"/>
  <c r="M12" i="7"/>
  <c r="M11" i="7" s="1"/>
  <c r="D36" i="7"/>
  <c r="D16" i="7"/>
  <c r="D15" i="7" s="1"/>
  <c r="D11" i="7" s="1"/>
  <c r="D33" i="7"/>
  <c r="D32" i="7" s="1"/>
  <c r="AB11" i="7" s="1"/>
  <c r="D19" i="7"/>
  <c r="D18" i="7" s="1"/>
  <c r="D17" i="7" s="1"/>
  <c r="D87" i="7"/>
  <c r="D86" i="7" s="1"/>
  <c r="M86" i="7"/>
  <c r="M32" i="7"/>
  <c r="M97" i="8"/>
  <c r="D20" i="8"/>
  <c r="Z31" i="8" s="1"/>
  <c r="D16" i="8"/>
  <c r="D55" i="8"/>
  <c r="D54" i="8" s="1"/>
  <c r="D15" i="8"/>
  <c r="Z25" i="8" s="1"/>
  <c r="M35" i="8"/>
  <c r="M10" i="8" s="1"/>
  <c r="Q8" i="3"/>
  <c r="F98" i="1"/>
  <c r="V132" i="1"/>
  <c r="H10" i="6"/>
  <c r="L10" i="6"/>
  <c r="I10" i="6"/>
  <c r="G10" i="6"/>
  <c r="P10" i="6"/>
  <c r="X11" i="5"/>
  <c r="X10" i="5" s="1"/>
  <c r="E9" i="3"/>
  <c r="E8" i="3" s="1"/>
  <c r="X8" i="3"/>
  <c r="Q12" i="2"/>
  <c r="V129" i="1"/>
  <c r="D105" i="2"/>
  <c r="Z105" i="2" s="1"/>
  <c r="M151" i="2"/>
  <c r="H8" i="3"/>
  <c r="M71" i="3"/>
  <c r="C9" i="10"/>
  <c r="K14" i="1"/>
  <c r="D115" i="8"/>
  <c r="D32" i="8"/>
  <c r="Z32" i="8" s="1"/>
  <c r="D112" i="8"/>
  <c r="D26" i="8"/>
  <c r="D24" i="8" s="1"/>
  <c r="D71" i="3"/>
  <c r="E10" i="10"/>
  <c r="E42" i="10" s="1"/>
  <c r="Z27" i="8"/>
  <c r="Z17" i="8"/>
  <c r="I14" i="1"/>
  <c r="M543" i="2"/>
  <c r="M542" i="2" s="1"/>
  <c r="J103" i="1" s="1"/>
  <c r="U103" i="1" s="1"/>
  <c r="I19" i="2"/>
  <c r="D630" i="2"/>
  <c r="D629" i="2" s="1"/>
  <c r="D534" i="2" s="1"/>
  <c r="D391" i="2"/>
  <c r="N12" i="8"/>
  <c r="Z378" i="2"/>
  <c r="E352" i="2"/>
  <c r="E44" i="2"/>
  <c r="C8" i="10" s="1"/>
  <c r="D112" i="2"/>
  <c r="D515" i="2"/>
  <c r="L533" i="2"/>
  <c r="P12" i="2"/>
  <c r="M112" i="2"/>
  <c r="D40" i="2"/>
  <c r="D18" i="2" s="1"/>
  <c r="J61" i="1"/>
  <c r="M11" i="10"/>
  <c r="Z472" i="2"/>
  <c r="F20" i="12"/>
  <c r="E21" i="2"/>
  <c r="S10" i="4"/>
  <c r="AA10" i="4" s="1"/>
  <c r="AB10" i="4" s="1"/>
  <c r="H19" i="2"/>
  <c r="H12" i="2" s="1"/>
  <c r="G19" i="2"/>
  <c r="G12" i="2" s="1"/>
  <c r="J19" i="2"/>
  <c r="J12" i="2" s="1"/>
  <c r="D78" i="2"/>
  <c r="D105" i="5"/>
  <c r="N13" i="5"/>
  <c r="D104" i="5"/>
  <c r="D78" i="5"/>
  <c r="D77" i="5" s="1"/>
  <c r="D76" i="5" s="1"/>
  <c r="D99" i="5"/>
  <c r="D98" i="5" s="1"/>
  <c r="M10" i="5"/>
  <c r="D36" i="5"/>
  <c r="D33" i="5" s="1"/>
  <c r="D16" i="5"/>
  <c r="D13" i="5" s="1"/>
  <c r="M83" i="5"/>
  <c r="F42" i="10"/>
  <c r="D42" i="10"/>
  <c r="N19" i="2"/>
  <c r="N12" i="2" s="1"/>
  <c r="D177" i="2"/>
  <c r="M90" i="2"/>
  <c r="M82" i="2"/>
  <c r="D54" i="2"/>
  <c r="D42" i="2"/>
  <c r="I25" i="10"/>
  <c r="H9" i="2"/>
  <c r="M105" i="2"/>
  <c r="L24" i="2"/>
  <c r="D352" i="2"/>
  <c r="D613" i="2"/>
  <c r="D612" i="2" s="1"/>
  <c r="L30" i="2"/>
  <c r="M18" i="9"/>
  <c r="M17" i="9" s="1"/>
  <c r="D18" i="9"/>
  <c r="D17" i="9" s="1"/>
  <c r="M12" i="9"/>
  <c r="M14" i="9"/>
  <c r="M24" i="8"/>
  <c r="M18" i="8"/>
  <c r="M12" i="8" s="1"/>
  <c r="M537" i="2"/>
  <c r="M536" i="2" s="1"/>
  <c r="E41" i="10"/>
  <c r="D33" i="8"/>
  <c r="D77" i="8"/>
  <c r="D19" i="8"/>
  <c r="D108" i="8"/>
  <c r="M91" i="8"/>
  <c r="K13" i="10" s="1"/>
  <c r="V13" i="10" s="1"/>
  <c r="M30" i="8"/>
  <c r="D100" i="8"/>
  <c r="K23" i="8"/>
  <c r="Z18" i="8"/>
  <c r="D40" i="8"/>
  <c r="D35" i="8" s="1"/>
  <c r="M11" i="8"/>
  <c r="D91" i="8"/>
  <c r="D98" i="8"/>
  <c r="D50" i="3"/>
  <c r="D49" i="3" s="1"/>
  <c r="D65" i="3"/>
  <c r="M119" i="3"/>
  <c r="M126" i="3"/>
  <c r="M125" i="3" s="1"/>
  <c r="M113" i="3"/>
  <c r="K21" i="10"/>
  <c r="V21" i="10" s="1"/>
  <c r="K22" i="10"/>
  <c r="V22" i="10" s="1"/>
  <c r="M65" i="3"/>
  <c r="D119" i="3"/>
  <c r="D113" i="3"/>
  <c r="M124" i="2"/>
  <c r="M145" i="2"/>
  <c r="M473" i="2"/>
  <c r="M484" i="2"/>
  <c r="D484" i="2"/>
  <c r="D480" i="2" s="1"/>
  <c r="N30" i="2"/>
  <c r="M33" i="2"/>
  <c r="M50" i="2"/>
  <c r="D163" i="2"/>
  <c r="D48" i="2"/>
  <c r="D29" i="2" s="1"/>
  <c r="D162" i="2"/>
  <c r="M20" i="2"/>
  <c r="J29" i="1" s="1"/>
  <c r="M382" i="2"/>
  <c r="M378" i="2" s="1"/>
  <c r="J37" i="1"/>
  <c r="U37" i="1" s="1"/>
  <c r="M75" i="2"/>
  <c r="D340" i="2"/>
  <c r="D152" i="2"/>
  <c r="D151" i="2" s="1"/>
  <c r="D46" i="2"/>
  <c r="D26" i="2" s="1"/>
  <c r="D239" i="2"/>
  <c r="M54" i="2"/>
  <c r="D41" i="10"/>
  <c r="M488" i="2"/>
  <c r="M477" i="2"/>
  <c r="D477" i="2"/>
  <c r="D214" i="2"/>
  <c r="D361" i="2"/>
  <c r="D358" i="2" s="1"/>
  <c r="D124" i="2"/>
  <c r="D145" i="2"/>
  <c r="M214" i="2"/>
  <c r="D393" i="2"/>
  <c r="D90" i="2"/>
  <c r="Z90" i="2" s="1"/>
  <c r="D76" i="2"/>
  <c r="D47" i="2"/>
  <c r="D28" i="2" s="1"/>
  <c r="D82" i="2"/>
  <c r="D543" i="2"/>
  <c r="D562" i="2"/>
  <c r="M340" i="2"/>
  <c r="M177" i="2"/>
  <c r="G16" i="12" s="1"/>
  <c r="E16" i="12" s="1"/>
  <c r="D15" i="12" s="1"/>
  <c r="M183" i="2"/>
  <c r="M387" i="2"/>
  <c r="M32" i="2"/>
  <c r="M14" i="2"/>
  <c r="J18" i="1" s="1"/>
  <c r="D223" i="6"/>
  <c r="J10" i="6"/>
  <c r="D25" i="6"/>
  <c r="D21" i="6" s="1"/>
  <c r="E25" i="6"/>
  <c r="E21" i="6" s="1"/>
  <c r="F19" i="10"/>
  <c r="F41" i="10" s="1"/>
  <c r="E10" i="6"/>
  <c r="J9" i="10"/>
  <c r="J41" i="10" s="1"/>
  <c r="G41" i="10"/>
  <c r="J9" i="2"/>
  <c r="E13" i="2"/>
  <c r="AB15" i="4"/>
  <c r="AB16" i="4" s="1"/>
  <c r="C10" i="10"/>
  <c r="D19" i="6"/>
  <c r="D13" i="6" s="1"/>
  <c r="D105" i="8"/>
  <c r="Z106" i="8"/>
  <c r="H25" i="10"/>
  <c r="H41" i="10" s="1"/>
  <c r="D14" i="4"/>
  <c r="N9" i="8"/>
  <c r="O9" i="8"/>
  <c r="N19" i="6"/>
  <c r="N13" i="6" s="1"/>
  <c r="D27" i="5"/>
  <c r="I12" i="8"/>
  <c r="E13" i="4"/>
  <c r="AA12" i="7"/>
  <c r="L17" i="7"/>
  <c r="E10" i="8"/>
  <c r="E9" i="8" s="1"/>
  <c r="J23" i="8"/>
  <c r="C25" i="10"/>
  <c r="L25" i="10"/>
  <c r="O533" i="2"/>
  <c r="O8" i="3"/>
  <c r="AA20" i="7"/>
  <c r="I30" i="8"/>
  <c r="I23" i="8" s="1"/>
  <c r="O17" i="7"/>
  <c r="AA17" i="7" s="1"/>
  <c r="N533" i="2"/>
  <c r="D23" i="4"/>
  <c r="O10" i="6"/>
  <c r="D13" i="8"/>
  <c r="H14" i="10"/>
  <c r="H42" i="10" s="1"/>
  <c r="E13" i="5"/>
  <c r="K19" i="6"/>
  <c r="K13" i="6" s="1"/>
  <c r="E20" i="12" l="1"/>
  <c r="D19" i="12" s="1"/>
  <c r="G10" i="12"/>
  <c r="F10" i="12"/>
  <c r="K363" i="12"/>
  <c r="K362" i="12" s="1"/>
  <c r="K367" i="12"/>
  <c r="K366" i="12" s="1"/>
  <c r="K371" i="12" s="1"/>
  <c r="K370" i="12" s="1"/>
  <c r="G9" i="12"/>
  <c r="F9" i="12"/>
  <c r="E12" i="12"/>
  <c r="M16" i="1"/>
  <c r="M48" i="1" s="1"/>
  <c r="L97" i="1"/>
  <c r="M8" i="9"/>
  <c r="K34" i="10"/>
  <c r="V34" i="10" s="1"/>
  <c r="K13" i="1"/>
  <c r="K89" i="1" s="1"/>
  <c r="L52" i="1"/>
  <c r="M21" i="2"/>
  <c r="G9" i="2"/>
  <c r="L100" i="1"/>
  <c r="U21" i="1"/>
  <c r="U126" i="1" s="1"/>
  <c r="U187" i="1" s="1"/>
  <c r="X21" i="1"/>
  <c r="Y21" i="1" s="1"/>
  <c r="J126" i="1"/>
  <c r="J187" i="1" s="1"/>
  <c r="X12" i="2"/>
  <c r="K147" i="1"/>
  <c r="K209" i="1" s="1"/>
  <c r="M384" i="2"/>
  <c r="K29" i="10" s="1"/>
  <c r="Z23" i="2"/>
  <c r="Y68" i="1"/>
  <c r="Z9" i="2"/>
  <c r="F99" i="1"/>
  <c r="F93" i="1" s="1"/>
  <c r="D135" i="1"/>
  <c r="D197" i="1" s="1"/>
  <c r="O133" i="1"/>
  <c r="U18" i="1"/>
  <c r="E48" i="10"/>
  <c r="X64" i="1"/>
  <c r="E93" i="1"/>
  <c r="D97" i="1"/>
  <c r="D96" i="1" s="1"/>
  <c r="L63" i="1"/>
  <c r="L85" i="1" s="1"/>
  <c r="N41" i="10"/>
  <c r="W41" i="10" s="1"/>
  <c r="D104" i="8"/>
  <c r="X29" i="1"/>
  <c r="D11" i="8"/>
  <c r="X9" i="8"/>
  <c r="D30" i="8"/>
  <c r="Z23" i="8"/>
  <c r="M99" i="1"/>
  <c r="M93" i="1" s="1"/>
  <c r="M94" i="1" s="1"/>
  <c r="Z26" i="6"/>
  <c r="O197" i="1"/>
  <c r="D119" i="1"/>
  <c r="D91" i="1"/>
  <c r="D149" i="1" s="1"/>
  <c r="X22" i="1"/>
  <c r="U22" i="1"/>
  <c r="J14" i="1"/>
  <c r="J90" i="1" s="1"/>
  <c r="D19" i="5"/>
  <c r="D18" i="5" s="1"/>
  <c r="Z20" i="5"/>
  <c r="G99" i="1"/>
  <c r="G93" i="1" s="1"/>
  <c r="P45" i="10"/>
  <c r="P48" i="10" s="1"/>
  <c r="J42" i="10"/>
  <c r="O119" i="1"/>
  <c r="O91" i="1"/>
  <c r="O149" i="1" s="1"/>
  <c r="Y65" i="1"/>
  <c r="N197" i="1"/>
  <c r="F32" i="1"/>
  <c r="F49" i="1" s="1"/>
  <c r="F135" i="1" s="1"/>
  <c r="O195" i="1"/>
  <c r="Y27" i="1"/>
  <c r="X60" i="1"/>
  <c r="Y28" i="1"/>
  <c r="Y67" i="1"/>
  <c r="V85" i="1"/>
  <c r="W85" i="1" s="1"/>
  <c r="X61" i="1"/>
  <c r="Y61" i="1" s="1"/>
  <c r="J46" i="1"/>
  <c r="U46" i="1" s="1"/>
  <c r="J51" i="1"/>
  <c r="O93" i="1"/>
  <c r="L17" i="1"/>
  <c r="X18" i="1"/>
  <c r="V13" i="1"/>
  <c r="V12" i="1" s="1"/>
  <c r="W44" i="10" s="1"/>
  <c r="O48" i="1"/>
  <c r="O121" i="1" s="1"/>
  <c r="Y19" i="1"/>
  <c r="N48" i="1"/>
  <c r="N121" i="1" s="1"/>
  <c r="N196" i="1" s="1"/>
  <c r="J137" i="1"/>
  <c r="J199" i="1" s="1"/>
  <c r="U34" i="1"/>
  <c r="U33" i="1" s="1"/>
  <c r="D17" i="3"/>
  <c r="D15" i="3" s="1"/>
  <c r="N23" i="2"/>
  <c r="K99" i="1" s="1"/>
  <c r="K93" i="1" s="1"/>
  <c r="H99" i="1"/>
  <c r="H97" i="1" s="1"/>
  <c r="M135" i="1"/>
  <c r="M212" i="1" s="1"/>
  <c r="M213" i="1" s="1"/>
  <c r="I12" i="2"/>
  <c r="K28" i="10"/>
  <c r="K25" i="10" s="1"/>
  <c r="V25" i="10" s="1"/>
  <c r="M480" i="2"/>
  <c r="K12" i="10" s="1"/>
  <c r="V12" i="10" s="1"/>
  <c r="M44" i="2"/>
  <c r="N91" i="1"/>
  <c r="N149" i="1" s="1"/>
  <c r="O45" i="10"/>
  <c r="O48" i="10" s="1"/>
  <c r="J31" i="1"/>
  <c r="M149" i="1"/>
  <c r="N119" i="1"/>
  <c r="D10" i="6"/>
  <c r="Z20" i="6" s="1"/>
  <c r="D11" i="3"/>
  <c r="K26" i="1"/>
  <c r="V19" i="10"/>
  <c r="M10" i="6"/>
  <c r="Z7" i="6" s="1"/>
  <c r="N45" i="10"/>
  <c r="N48" i="10" s="1"/>
  <c r="N213" i="1"/>
  <c r="M106" i="1"/>
  <c r="M119" i="1"/>
  <c r="L12" i="2"/>
  <c r="D390" i="2"/>
  <c r="D88" i="1"/>
  <c r="L112" i="1"/>
  <c r="D45" i="2"/>
  <c r="D32" i="2"/>
  <c r="M195" i="1"/>
  <c r="C16" i="1"/>
  <c r="C48" i="1" s="1"/>
  <c r="C117" i="1" s="1"/>
  <c r="C118" i="1" s="1"/>
  <c r="K32" i="1"/>
  <c r="K49" i="1" s="1"/>
  <c r="K135" i="1" s="1"/>
  <c r="L116" i="1"/>
  <c r="L41" i="10"/>
  <c r="W43" i="1"/>
  <c r="I148" i="1"/>
  <c r="E96" i="1"/>
  <c r="E119" i="1"/>
  <c r="L93" i="1"/>
  <c r="D16" i="1"/>
  <c r="D48" i="1" s="1"/>
  <c r="D117" i="1" s="1"/>
  <c r="D118" i="1" s="1"/>
  <c r="L119" i="1"/>
  <c r="L90" i="1"/>
  <c r="M41" i="10"/>
  <c r="F45" i="10"/>
  <c r="F48" i="10" s="1"/>
  <c r="M133" i="1"/>
  <c r="C91" i="1"/>
  <c r="C149" i="1" s="1"/>
  <c r="D14" i="2"/>
  <c r="D13" i="2" s="1"/>
  <c r="E133" i="1"/>
  <c r="C133" i="1"/>
  <c r="C96" i="1"/>
  <c r="E91" i="1"/>
  <c r="E149" i="1" s="1"/>
  <c r="E16" i="1"/>
  <c r="E48" i="1" s="1"/>
  <c r="E117" i="1" s="1"/>
  <c r="E118" i="1" s="1"/>
  <c r="H32" i="1"/>
  <c r="H49" i="1" s="1"/>
  <c r="H135" i="1" s="1"/>
  <c r="J127" i="1"/>
  <c r="J188" i="1" s="1"/>
  <c r="L148" i="1"/>
  <c r="Z19" i="9"/>
  <c r="Z16" i="8"/>
  <c r="D222" i="6"/>
  <c r="U59" i="1"/>
  <c r="L91" i="1"/>
  <c r="D45" i="10"/>
  <c r="D48" i="10" s="1"/>
  <c r="D133" i="1"/>
  <c r="D94" i="1"/>
  <c r="O213" i="1"/>
  <c r="L135" i="1"/>
  <c r="L197" i="1" s="1"/>
  <c r="C135" i="1"/>
  <c r="C197" i="1" s="1"/>
  <c r="D12" i="1"/>
  <c r="D107" i="1" s="1"/>
  <c r="F148" i="1"/>
  <c r="F210" i="1"/>
  <c r="L59" i="1"/>
  <c r="J33" i="1"/>
  <c r="J138" i="1"/>
  <c r="J200" i="1" s="1"/>
  <c r="M21" i="3"/>
  <c r="M18" i="3" s="1"/>
  <c r="D18" i="3"/>
  <c r="D134" i="3"/>
  <c r="D131" i="3" s="1"/>
  <c r="N97" i="1"/>
  <c r="E13" i="1"/>
  <c r="E12" i="1" s="1"/>
  <c r="E107" i="1" s="1"/>
  <c r="D13" i="4"/>
  <c r="U123" i="1"/>
  <c r="U185" i="1" s="1"/>
  <c r="L89" i="1"/>
  <c r="L42" i="10"/>
  <c r="U124" i="1"/>
  <c r="U186" i="1" s="1"/>
  <c r="Z26" i="8"/>
  <c r="L122" i="1"/>
  <c r="K115" i="1"/>
  <c r="L12" i="1"/>
  <c r="J82" i="1"/>
  <c r="U83" i="1"/>
  <c r="U82" i="1" s="1"/>
  <c r="J75" i="1"/>
  <c r="J86" i="1" s="1"/>
  <c r="U86" i="1" s="1"/>
  <c r="J73" i="1"/>
  <c r="J63" i="1" s="1"/>
  <c r="U74" i="1"/>
  <c r="U73" i="1" s="1"/>
  <c r="J59" i="1"/>
  <c r="L111" i="1"/>
  <c r="I13" i="1"/>
  <c r="I12" i="1" s="1"/>
  <c r="I107" i="1" s="1"/>
  <c r="H148" i="1"/>
  <c r="H199" i="1"/>
  <c r="H210" i="1" s="1"/>
  <c r="V64" i="1"/>
  <c r="V63" i="1" s="1"/>
  <c r="L115" i="1"/>
  <c r="P183" i="1"/>
  <c r="P196" i="1"/>
  <c r="G10" i="10"/>
  <c r="G42" i="10" s="1"/>
  <c r="B98" i="1"/>
  <c r="B92" i="1" s="1"/>
  <c r="J145" i="1"/>
  <c r="K90" i="1"/>
  <c r="K116" i="1"/>
  <c r="K112" i="1"/>
  <c r="J122" i="1"/>
  <c r="J184" i="1" s="1"/>
  <c r="U122" i="1"/>
  <c r="U184" i="1" s="1"/>
  <c r="J17" i="1"/>
  <c r="I116" i="1"/>
  <c r="I112" i="1"/>
  <c r="I90" i="1"/>
  <c r="G17" i="1"/>
  <c r="G16" i="1" s="1"/>
  <c r="G48" i="1" s="1"/>
  <c r="G122" i="1"/>
  <c r="B147" i="1"/>
  <c r="B41" i="1"/>
  <c r="B32" i="1" s="1"/>
  <c r="B49" i="1" s="1"/>
  <c r="F122" i="1"/>
  <c r="F17" i="1"/>
  <c r="F16" i="1" s="1"/>
  <c r="F48" i="1" s="1"/>
  <c r="U76" i="1"/>
  <c r="U138" i="1"/>
  <c r="U200" i="1" s="1"/>
  <c r="I132" i="1"/>
  <c r="I194" i="1" s="1"/>
  <c r="I26" i="1"/>
  <c r="H132" i="1"/>
  <c r="H194" i="1" s="1"/>
  <c r="H26" i="1"/>
  <c r="I17" i="1"/>
  <c r="I122" i="1"/>
  <c r="K207" i="1"/>
  <c r="K210" i="1" s="1"/>
  <c r="I32" i="1"/>
  <c r="V28" i="10"/>
  <c r="E19" i="2"/>
  <c r="E12" i="2" s="1"/>
  <c r="B31" i="1"/>
  <c r="K17" i="1"/>
  <c r="K16" i="1" s="1"/>
  <c r="K122" i="1"/>
  <c r="H122" i="1"/>
  <c r="H17" i="1"/>
  <c r="U64" i="1"/>
  <c r="F12" i="1"/>
  <c r="F107" i="1" s="1"/>
  <c r="F89" i="1"/>
  <c r="F88" i="1" s="1"/>
  <c r="H12" i="1"/>
  <c r="H107" i="1" s="1"/>
  <c r="H89" i="1"/>
  <c r="H88" i="1" s="1"/>
  <c r="B13" i="1"/>
  <c r="W14" i="1"/>
  <c r="M90" i="1"/>
  <c r="M116" i="1"/>
  <c r="M112" i="1"/>
  <c r="G135" i="1"/>
  <c r="G119" i="1"/>
  <c r="G91" i="1"/>
  <c r="G149" i="1" s="1"/>
  <c r="F97" i="1"/>
  <c r="F92" i="1"/>
  <c r="B17" i="1"/>
  <c r="B122" i="1"/>
  <c r="E197" i="1"/>
  <c r="E212" i="1"/>
  <c r="K14" i="10"/>
  <c r="V14" i="10" s="1"/>
  <c r="L96" i="1"/>
  <c r="M89" i="1"/>
  <c r="M111" i="1"/>
  <c r="M115" i="1"/>
  <c r="M12" i="1"/>
  <c r="I333" i="12" s="1"/>
  <c r="N89" i="1"/>
  <c r="N88" i="1" s="1"/>
  <c r="N111" i="1"/>
  <c r="N115" i="1"/>
  <c r="N114" i="1" s="1"/>
  <c r="N12" i="1"/>
  <c r="J333" i="12" s="1"/>
  <c r="G89" i="1"/>
  <c r="G88" i="1" s="1"/>
  <c r="G12" i="1"/>
  <c r="G107" i="1" s="1"/>
  <c r="V36" i="10"/>
  <c r="O89" i="1"/>
  <c r="O88" i="1" s="1"/>
  <c r="O111" i="1"/>
  <c r="O115" i="1"/>
  <c r="O114" i="1" s="1"/>
  <c r="O12" i="1"/>
  <c r="K333" i="12" s="1"/>
  <c r="N183" i="1"/>
  <c r="C89" i="1"/>
  <c r="C88" i="1" s="1"/>
  <c r="C12" i="1"/>
  <c r="C107" i="1" s="1"/>
  <c r="J101" i="1"/>
  <c r="V124" i="1"/>
  <c r="V127" i="1"/>
  <c r="V61" i="1"/>
  <c r="V59" i="1" s="1"/>
  <c r="Z23" i="3"/>
  <c r="AB12" i="7"/>
  <c r="D126" i="3"/>
  <c r="D125" i="3" s="1"/>
  <c r="D9" i="3" s="1"/>
  <c r="K15" i="10"/>
  <c r="V15" i="10" s="1"/>
  <c r="D111" i="8"/>
  <c r="D23" i="8"/>
  <c r="Z15" i="8"/>
  <c r="M13" i="6"/>
  <c r="Z13" i="6" s="1"/>
  <c r="Z8" i="3"/>
  <c r="O44" i="10"/>
  <c r="O47" i="10" s="1"/>
  <c r="V17" i="1"/>
  <c r="V128" i="1"/>
  <c r="V26" i="1"/>
  <c r="Z33" i="8"/>
  <c r="B14" i="1"/>
  <c r="B90" i="1" s="1"/>
  <c r="W39" i="1"/>
  <c r="W36" i="1"/>
  <c r="D11" i="9"/>
  <c r="M23" i="8"/>
  <c r="D75" i="2"/>
  <c r="D561" i="2"/>
  <c r="L23" i="2"/>
  <c r="I99" i="1" s="1"/>
  <c r="D533" i="2"/>
  <c r="I41" i="10"/>
  <c r="Z43" i="2"/>
  <c r="M19" i="2"/>
  <c r="D21" i="2"/>
  <c r="I9" i="2"/>
  <c r="Z40" i="2"/>
  <c r="M36" i="2"/>
  <c r="K7" i="10" s="1"/>
  <c r="V7" i="10" s="1"/>
  <c r="M533" i="2"/>
  <c r="D542" i="2"/>
  <c r="M30" i="2"/>
  <c r="M11" i="9"/>
  <c r="M9" i="8"/>
  <c r="M13" i="2"/>
  <c r="M12" i="2" s="1"/>
  <c r="M24" i="2"/>
  <c r="D10" i="8"/>
  <c r="D18" i="8"/>
  <c r="D12" i="8" s="1"/>
  <c r="D97" i="8"/>
  <c r="M9" i="3"/>
  <c r="Z39" i="2"/>
  <c r="D24" i="2"/>
  <c r="M472" i="2"/>
  <c r="K11" i="10" s="1"/>
  <c r="V11" i="10" s="1"/>
  <c r="D382" i="2"/>
  <c r="D378" i="2" s="1"/>
  <c r="D20" i="2"/>
  <c r="D33" i="2"/>
  <c r="D50" i="2"/>
  <c r="D472" i="2"/>
  <c r="J2" i="6"/>
  <c r="L9" i="2"/>
  <c r="N8" i="9"/>
  <c r="N9" i="2"/>
  <c r="N10" i="6"/>
  <c r="C20" i="10"/>
  <c r="K10" i="6"/>
  <c r="C41" i="10"/>
  <c r="E10" i="12" l="1"/>
  <c r="E9" i="12" s="1"/>
  <c r="D11" i="12"/>
  <c r="K12" i="1"/>
  <c r="K88" i="1"/>
  <c r="K111" i="1"/>
  <c r="D212" i="1"/>
  <c r="L16" i="1"/>
  <c r="L48" i="1" s="1"/>
  <c r="L88" i="1"/>
  <c r="W47" i="10"/>
  <c r="X14" i="1"/>
  <c r="K148" i="1"/>
  <c r="K26" i="10"/>
  <c r="V26" i="10" s="1"/>
  <c r="V29" i="10"/>
  <c r="U41" i="1"/>
  <c r="U32" i="1" s="1"/>
  <c r="U49" i="1" s="1"/>
  <c r="U91" i="1" s="1"/>
  <c r="U14" i="1"/>
  <c r="H93" i="1"/>
  <c r="U29" i="1"/>
  <c r="W45" i="1" s="1"/>
  <c r="Z32" i="2"/>
  <c r="D30" i="2"/>
  <c r="D23" i="2" s="1"/>
  <c r="U75" i="1"/>
  <c r="N44" i="10"/>
  <c r="N47" i="10" s="1"/>
  <c r="M121" i="1"/>
  <c r="M196" i="1" s="1"/>
  <c r="M117" i="1"/>
  <c r="Z30" i="2"/>
  <c r="J128" i="1"/>
  <c r="J189" i="1" s="1"/>
  <c r="Y18" i="1"/>
  <c r="F119" i="1"/>
  <c r="U17" i="1"/>
  <c r="M97" i="1"/>
  <c r="M96" i="1" s="1"/>
  <c r="G97" i="1"/>
  <c r="G96" i="1" s="1"/>
  <c r="N94" i="1"/>
  <c r="J41" i="1"/>
  <c r="J32" i="1" s="1"/>
  <c r="J49" i="1" s="1"/>
  <c r="U127" i="1"/>
  <c r="U188" i="1" s="1"/>
  <c r="F96" i="1"/>
  <c r="O117" i="1"/>
  <c r="O118" i="1" s="1"/>
  <c r="J98" i="1"/>
  <c r="U98" i="1" s="1"/>
  <c r="U92" i="1" s="1"/>
  <c r="K97" i="1"/>
  <c r="K96" i="1" s="1"/>
  <c r="X17" i="1"/>
  <c r="Y17" i="1" s="1"/>
  <c r="O94" i="1"/>
  <c r="D9" i="8"/>
  <c r="U13" i="1"/>
  <c r="K8" i="10"/>
  <c r="V8" i="10" s="1"/>
  <c r="V42" i="10" s="1"/>
  <c r="Y22" i="1"/>
  <c r="X59" i="1"/>
  <c r="Y59" i="1" s="1"/>
  <c r="O134" i="1"/>
  <c r="N134" i="1"/>
  <c r="F91" i="1"/>
  <c r="F94" i="1" s="1"/>
  <c r="D121" i="1"/>
  <c r="D183" i="1" s="1"/>
  <c r="J52" i="1"/>
  <c r="U51" i="1"/>
  <c r="N117" i="1"/>
  <c r="N118" i="1" s="1"/>
  <c r="X73" i="1"/>
  <c r="Y73" i="1" s="1"/>
  <c r="Y74" i="1"/>
  <c r="Y60" i="1"/>
  <c r="J85" i="1"/>
  <c r="U85" i="1" s="1"/>
  <c r="X85" i="1" s="1"/>
  <c r="X63" i="1"/>
  <c r="V41" i="10"/>
  <c r="O97" i="1"/>
  <c r="J132" i="1"/>
  <c r="J194" i="1" s="1"/>
  <c r="U31" i="1"/>
  <c r="W46" i="1" s="1"/>
  <c r="X31" i="1"/>
  <c r="V48" i="1"/>
  <c r="V121" i="1" s="1"/>
  <c r="D134" i="1"/>
  <c r="W13" i="1"/>
  <c r="O107" i="1"/>
  <c r="L107" i="1"/>
  <c r="N107" i="1"/>
  <c r="M107" i="1"/>
  <c r="K107" i="1"/>
  <c r="U63" i="1"/>
  <c r="Y63" i="1" s="1"/>
  <c r="Y64" i="1"/>
  <c r="M197" i="1"/>
  <c r="K91" i="1"/>
  <c r="K94" i="1" s="1"/>
  <c r="C121" i="1"/>
  <c r="C183" i="1" s="1"/>
  <c r="N104" i="1"/>
  <c r="J26" i="1"/>
  <c r="J16" i="1" s="1"/>
  <c r="Z15" i="6"/>
  <c r="U137" i="1"/>
  <c r="U199" i="1" s="1"/>
  <c r="H96" i="1"/>
  <c r="K119" i="1"/>
  <c r="F149" i="1"/>
  <c r="C94" i="1"/>
  <c r="L212" i="1"/>
  <c r="L213" i="1" s="1"/>
  <c r="N96" i="1"/>
  <c r="L114" i="1"/>
  <c r="E121" i="1"/>
  <c r="E183" i="1" s="1"/>
  <c r="E94" i="1"/>
  <c r="H91" i="1"/>
  <c r="H149" i="1" s="1"/>
  <c r="H212" i="1"/>
  <c r="H213" i="1" s="1"/>
  <c r="H197" i="1"/>
  <c r="C134" i="1"/>
  <c r="E89" i="1"/>
  <c r="E88" i="1" s="1"/>
  <c r="E134" i="1" s="1"/>
  <c r="C212" i="1"/>
  <c r="K114" i="1"/>
  <c r="H119" i="1"/>
  <c r="L149" i="1"/>
  <c r="J13" i="1"/>
  <c r="L104" i="1"/>
  <c r="L94" i="1"/>
  <c r="J147" i="1"/>
  <c r="J209" i="1" s="1"/>
  <c r="L106" i="1"/>
  <c r="H16" i="1"/>
  <c r="H48" i="1" s="1"/>
  <c r="I44" i="10" s="1"/>
  <c r="I47" i="10" s="1"/>
  <c r="M88" i="1"/>
  <c r="B209" i="1"/>
  <c r="B210" i="1" s="1"/>
  <c r="B148" i="1"/>
  <c r="U147" i="1"/>
  <c r="U209" i="1" s="1"/>
  <c r="M114" i="1"/>
  <c r="B97" i="1"/>
  <c r="B96" i="1" s="1"/>
  <c r="L133" i="1"/>
  <c r="L134" i="1" s="1"/>
  <c r="L184" i="1"/>
  <c r="L195" i="1" s="1"/>
  <c r="I89" i="1"/>
  <c r="I88" i="1" s="1"/>
  <c r="I115" i="1"/>
  <c r="I114" i="1" s="1"/>
  <c r="I111" i="1"/>
  <c r="V133" i="1"/>
  <c r="K212" i="1"/>
  <c r="K213" i="1" s="1"/>
  <c r="K197" i="1"/>
  <c r="H133" i="1"/>
  <c r="H134" i="1" s="1"/>
  <c r="H184" i="1"/>
  <c r="H195" i="1" s="1"/>
  <c r="B132" i="1"/>
  <c r="B194" i="1" s="1"/>
  <c r="B26" i="1"/>
  <c r="B16" i="1" s="1"/>
  <c r="B48" i="1" s="1"/>
  <c r="I133" i="1"/>
  <c r="I184" i="1"/>
  <c r="I195" i="1" s="1"/>
  <c r="O183" i="1"/>
  <c r="O196" i="1"/>
  <c r="F121" i="1"/>
  <c r="F117" i="1"/>
  <c r="B135" i="1"/>
  <c r="B119" i="1"/>
  <c r="B91" i="1"/>
  <c r="G133" i="1"/>
  <c r="G134" i="1" s="1"/>
  <c r="G184" i="1"/>
  <c r="G195" i="1" s="1"/>
  <c r="I93" i="1"/>
  <c r="I97" i="1"/>
  <c r="I96" i="1" s="1"/>
  <c r="K133" i="1"/>
  <c r="K134" i="1" s="1"/>
  <c r="K184" i="1"/>
  <c r="K195" i="1" s="1"/>
  <c r="I49" i="1"/>
  <c r="J45" i="10" s="1"/>
  <c r="J48" i="10" s="1"/>
  <c r="I16" i="1"/>
  <c r="I48" i="1" s="1"/>
  <c r="J44" i="10" s="1"/>
  <c r="J47" i="10" s="1"/>
  <c r="F184" i="1"/>
  <c r="F195" i="1" s="1"/>
  <c r="F133" i="1"/>
  <c r="F134" i="1" s="1"/>
  <c r="G121" i="1"/>
  <c r="G117" i="1"/>
  <c r="U145" i="1"/>
  <c r="J207" i="1"/>
  <c r="B184" i="1"/>
  <c r="G197" i="1"/>
  <c r="G212" i="1"/>
  <c r="G213" i="1" s="1"/>
  <c r="K41" i="10"/>
  <c r="F212" i="1"/>
  <c r="F197" i="1"/>
  <c r="B12" i="1"/>
  <c r="B107" i="1" s="1"/>
  <c r="B89" i="1"/>
  <c r="B88" i="1" s="1"/>
  <c r="G94" i="1"/>
  <c r="D10" i="5"/>
  <c r="J100" i="1"/>
  <c r="U101" i="1"/>
  <c r="V16" i="1"/>
  <c r="V90" i="1"/>
  <c r="V89" i="1"/>
  <c r="P44" i="10"/>
  <c r="P47" i="10" s="1"/>
  <c r="D8" i="3"/>
  <c r="E9" i="2"/>
  <c r="W34" i="1"/>
  <c r="W78" i="1"/>
  <c r="W38" i="1"/>
  <c r="W44" i="1"/>
  <c r="W125" i="1"/>
  <c r="H44" i="10"/>
  <c r="H47" i="10" s="1"/>
  <c r="E44" i="10"/>
  <c r="E47" i="10" s="1"/>
  <c r="D19" i="2"/>
  <c r="D12" i="2" s="1"/>
  <c r="M23" i="2"/>
  <c r="G44" i="10"/>
  <c r="G47" i="10" s="1"/>
  <c r="D44" i="10"/>
  <c r="D47" i="10" s="1"/>
  <c r="M9" i="2"/>
  <c r="F44" i="10"/>
  <c r="F47" i="10" s="1"/>
  <c r="W37" i="1"/>
  <c r="M8" i="3"/>
  <c r="D44" i="2"/>
  <c r="C42" i="10"/>
  <c r="I45" i="10"/>
  <c r="I48" i="10" s="1"/>
  <c r="L45" i="10"/>
  <c r="L48" i="10" s="1"/>
  <c r="C45" i="10"/>
  <c r="H45" i="10"/>
  <c r="H48" i="10" s="1"/>
  <c r="L117" i="1" l="1"/>
  <c r="L121" i="1"/>
  <c r="L183" i="1" s="1"/>
  <c r="M44" i="10"/>
  <c r="U106" i="1"/>
  <c r="Z18" i="3"/>
  <c r="K48" i="1"/>
  <c r="K121" i="1" s="1"/>
  <c r="K196" i="1" s="1"/>
  <c r="D9" i="2"/>
  <c r="M104" i="1"/>
  <c r="U128" i="1"/>
  <c r="U189" i="1" s="1"/>
  <c r="K149" i="1"/>
  <c r="U116" i="1"/>
  <c r="Y14" i="1"/>
  <c r="U90" i="1"/>
  <c r="U12" i="1"/>
  <c r="U107" i="1" s="1"/>
  <c r="U26" i="1"/>
  <c r="U16" i="1" s="1"/>
  <c r="U48" i="1" s="1"/>
  <c r="M118" i="1"/>
  <c r="J195" i="1"/>
  <c r="Y29" i="1"/>
  <c r="J133" i="1"/>
  <c r="M183" i="1"/>
  <c r="W91" i="1"/>
  <c r="W92" i="1" s="1"/>
  <c r="L118" i="1"/>
  <c r="K42" i="10"/>
  <c r="J92" i="1"/>
  <c r="J99" i="1"/>
  <c r="U99" i="1" s="1"/>
  <c r="U93" i="1" s="1"/>
  <c r="D196" i="1"/>
  <c r="M134" i="1"/>
  <c r="J106" i="1"/>
  <c r="K104" i="1"/>
  <c r="E196" i="1"/>
  <c r="H94" i="1"/>
  <c r="O104" i="1"/>
  <c r="O96" i="1"/>
  <c r="X16" i="1"/>
  <c r="X26" i="1"/>
  <c r="U132" i="1"/>
  <c r="U194" i="1" s="1"/>
  <c r="Y31" i="1"/>
  <c r="J89" i="1"/>
  <c r="J88" i="1" s="1"/>
  <c r="X13" i="1"/>
  <c r="Y13" i="1" s="1"/>
  <c r="C196" i="1"/>
  <c r="B121" i="1"/>
  <c r="B183" i="1" s="1"/>
  <c r="B117" i="1"/>
  <c r="J12" i="1"/>
  <c r="J210" i="1"/>
  <c r="H117" i="1"/>
  <c r="B195" i="1"/>
  <c r="J148" i="1"/>
  <c r="H121" i="1"/>
  <c r="H183" i="1" s="1"/>
  <c r="B133" i="1"/>
  <c r="B134" i="1" s="1"/>
  <c r="V88" i="1"/>
  <c r="I134" i="1"/>
  <c r="I121" i="1"/>
  <c r="I117" i="1"/>
  <c r="I118" i="1" s="1"/>
  <c r="I91" i="1"/>
  <c r="I135" i="1"/>
  <c r="I119" i="1"/>
  <c r="B149" i="1"/>
  <c r="B94" i="1"/>
  <c r="B212" i="1"/>
  <c r="B197" i="1"/>
  <c r="F196" i="1"/>
  <c r="F183" i="1"/>
  <c r="U148" i="1"/>
  <c r="U207" i="1"/>
  <c r="G196" i="1"/>
  <c r="G183" i="1"/>
  <c r="K183" i="1"/>
  <c r="J135" i="1"/>
  <c r="J91" i="1"/>
  <c r="U89" i="1"/>
  <c r="U88" i="1" s="1"/>
  <c r="U115" i="1"/>
  <c r="U100" i="1"/>
  <c r="M47" i="10"/>
  <c r="C44" i="10"/>
  <c r="G45" i="10"/>
  <c r="G48" i="10" s="1"/>
  <c r="M45" i="10"/>
  <c r="M48" i="10" s="1"/>
  <c r="C48" i="10"/>
  <c r="C47" i="10"/>
  <c r="L196" i="1" l="1"/>
  <c r="L44" i="10"/>
  <c r="L47" i="10" s="1"/>
  <c r="K117" i="1"/>
  <c r="K118" i="1" s="1"/>
  <c r="U114" i="1"/>
  <c r="Y26" i="1"/>
  <c r="J134" i="1"/>
  <c r="J93" i="1"/>
  <c r="J97" i="1"/>
  <c r="J96" i="1" s="1"/>
  <c r="J48" i="1"/>
  <c r="W48" i="1" s="1"/>
  <c r="W50" i="1" s="1"/>
  <c r="U195" i="1"/>
  <c r="V194" i="1"/>
  <c r="B196" i="1"/>
  <c r="J121" i="1"/>
  <c r="J196" i="1" s="1"/>
  <c r="Y16" i="1"/>
  <c r="U133" i="1"/>
  <c r="U134" i="1" s="1"/>
  <c r="J107" i="1"/>
  <c r="X15" i="1"/>
  <c r="Y15" i="1" s="1"/>
  <c r="X12" i="1"/>
  <c r="Y12" i="1" s="1"/>
  <c r="V44" i="10"/>
  <c r="U119" i="1"/>
  <c r="H196" i="1"/>
  <c r="U135" i="1"/>
  <c r="U212" i="1" s="1"/>
  <c r="J94" i="1"/>
  <c r="U97" i="1"/>
  <c r="W93" i="1" s="1"/>
  <c r="U197" i="1"/>
  <c r="U210" i="1"/>
  <c r="I94" i="1"/>
  <c r="I149" i="1"/>
  <c r="I196" i="1"/>
  <c r="I183" i="1"/>
  <c r="I212" i="1"/>
  <c r="I213" i="1" s="1"/>
  <c r="I197" i="1"/>
  <c r="J197" i="1"/>
  <c r="J212" i="1"/>
  <c r="J213" i="1" s="1"/>
  <c r="J149" i="1"/>
  <c r="J104" i="1"/>
  <c r="K45" i="10"/>
  <c r="K48" i="10" s="1"/>
  <c r="X48" i="1" l="1"/>
  <c r="K44" i="10"/>
  <c r="K47" i="10" s="1"/>
  <c r="J183" i="1"/>
  <c r="U121" i="1"/>
  <c r="U196" i="1" s="1"/>
  <c r="U117" i="1"/>
  <c r="U118" i="1" s="1"/>
  <c r="U96" i="1"/>
  <c r="U94" i="1"/>
  <c r="U149" i="1"/>
  <c r="U213" i="1"/>
  <c r="AA194" i="1"/>
  <c r="V47" i="10"/>
  <c r="U183" i="1" l="1"/>
  <c r="X50" i="1"/>
  <c r="V45" i="10"/>
  <c r="V48" i="10" s="1"/>
  <c r="D201" i="6" l="1"/>
  <c r="E105" i="12"/>
  <c r="D102" i="12" s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5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5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37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37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9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1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>Monika Tomaszewska</author>
    <author xml:space="preserve"> Wioletta Stachera</author>
  </authors>
  <commentList>
    <comment ref="P108" authorId="0">
      <text>
        <r>
          <rPr>
            <b/>
            <sz val="9"/>
            <color indexed="81"/>
            <rFont val="Tahoma"/>
            <family val="2"/>
            <charset val="238"/>
          </rPr>
          <t>Monika Tomaszewska:</t>
        </r>
        <r>
          <rPr>
            <sz val="9"/>
            <color indexed="81"/>
            <rFont val="Tahoma"/>
            <family val="2"/>
            <charset val="238"/>
          </rPr>
          <t xml:space="preserve">
ZMW Nr 50/16 z dnia 29.04.2016</t>
        </r>
      </text>
    </comment>
    <comment ref="P235" authorId="1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<sst xmlns="http://schemas.openxmlformats.org/spreadsheetml/2006/main" count="4039" uniqueCount="699">
  <si>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</si>
  <si>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</si>
  <si>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</si>
  <si>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</si>
  <si>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</si>
  <si>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</si>
  <si>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</si>
  <si>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</si>
  <si>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</si>
  <si>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</si>
  <si>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</si>
  <si>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</si>
  <si>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</si>
  <si>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</si>
  <si>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</si>
  <si>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</si>
  <si>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</si>
  <si>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</si>
  <si>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</si>
  <si>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</si>
  <si>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</si>
  <si>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</si>
  <si>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</si>
  <si>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</si>
  <si>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</si>
  <si>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</si>
  <si>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</si>
  <si>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</si>
  <si>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</si>
  <si>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</si>
  <si>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</si>
  <si>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</si>
  <si>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</si>
  <si>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</si>
  <si>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</si>
  <si>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</si>
  <si>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</si>
  <si>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</si>
  <si>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</si>
  <si>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</si>
  <si>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</si>
  <si>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</si>
  <si>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</si>
  <si>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</si>
  <si>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</si>
  <si>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</si>
  <si>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</si>
  <si>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</si>
  <si>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</si>
  <si>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</si>
  <si>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</si>
  <si>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</si>
  <si>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</si>
  <si>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</si>
  <si>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</si>
  <si>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</si>
  <si>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</si>
  <si>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</si>
  <si>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</si>
  <si>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</si>
  <si>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</si>
  <si>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</si>
  <si>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</si>
  <si>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</si>
  <si>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</si>
  <si>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</si>
  <si>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</si>
  <si>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</si>
  <si>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</si>
  <si>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</si>
  <si>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</si>
  <si>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</si>
  <si>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</si>
  <si>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</si>
  <si>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</si>
  <si>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</si>
  <si>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</si>
  <si>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</si>
  <si>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</si>
  <si>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</si>
  <si>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</si>
  <si>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</si>
  <si>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</si>
  <si>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</si>
  <si>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</si>
  <si>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</si>
  <si>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</si>
  <si>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</si>
  <si>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</si>
  <si>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</si>
  <si>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</si>
  <si>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</si>
  <si>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</si>
  <si>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</si>
  <si>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</si>
  <si>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</si>
  <si>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</si>
  <si>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I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</si>
  <si>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</si>
  <si>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</si>
  <si>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</si>
  <si>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</si>
  <si>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</si>
  <si>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</si>
  <si>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</si>
  <si>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</si>
  <si>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</si>
  <si>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</si>
  <si>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</si>
  <si>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</si>
  <si>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</si>
  <si>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</si>
  <si>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</si>
  <si>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Przebudowa drogi woj. nr 163 na odcinku Czaplinek - Wałcz  (etap II i III) w ramach Osi II RPO (2008-2015)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</si>
  <si>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</si>
  <si>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</si>
  <si>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</si>
  <si>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</si>
  <si>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</si>
  <si>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</si>
  <si>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</si>
  <si>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</si>
  <si>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</si>
  <si>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</si>
  <si>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</si>
  <si>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</si>
  <si>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</si>
  <si>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</si>
  <si>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</si>
  <si>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</si>
  <si>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</si>
  <si>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</si>
  <si>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</si>
  <si>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</si>
  <si>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</si>
  <si>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</si>
  <si>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</si>
  <si>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Przebudowa i rozbudowa przejścia drogowego przez m. Gryfino na drodze woj. Nr 120  (2011-2013)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</si>
  <si>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</si>
  <si>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</si>
  <si>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</si>
  <si>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</si>
  <si>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</si>
  <si>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</si>
  <si>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</si>
  <si>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</si>
  <si>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</si>
  <si>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</si>
  <si>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</si>
  <si>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</si>
  <si>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</si>
  <si>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</si>
  <si>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</si>
  <si>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</si>
  <si>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</si>
  <si>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</si>
  <si>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</si>
  <si>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Rozbudowa Szpitala Dziecięcego SPS ZOZ "Zdroje" w Szczecinie - utworzenie Zachodniopomorskiego Centrum Opieki Nad Kobietą i Dzieckiem (2010-2016)</t>
  </si>
  <si>
    <t>dotacja z budżetu wojewodztwa dla jos</t>
  </si>
  <si>
    <t>rozdz. 75704</t>
  </si>
  <si>
    <t>środki  z budżetu województwa</t>
  </si>
  <si>
    <t>Poręczenie kredytu dla Szpitala Wojewódzkiego w Koszalinie (2009-2017)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</si>
  <si>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</si>
  <si>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</si>
  <si>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</si>
  <si>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</si>
  <si>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</si>
  <si>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</si>
  <si>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</si>
  <si>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</si>
  <si>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</si>
  <si>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</si>
  <si>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</si>
  <si>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</si>
  <si>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</si>
  <si>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</si>
  <si>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</si>
  <si>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</si>
  <si>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</si>
  <si>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</si>
  <si>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</si>
  <si>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</si>
  <si>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</si>
  <si>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</si>
  <si>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</si>
  <si>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</si>
  <si>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</si>
  <si>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</si>
  <si>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</si>
  <si>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</si>
  <si>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</si>
  <si>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</si>
  <si>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</si>
  <si>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</si>
  <si>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</si>
  <si>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</si>
  <si>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</si>
  <si>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</si>
  <si>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</si>
  <si>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</si>
  <si>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</si>
  <si>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</si>
  <si>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</si>
  <si>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</si>
  <si>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</si>
  <si>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</si>
  <si>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</si>
  <si>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</si>
  <si>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</si>
  <si>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</si>
  <si>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</si>
  <si>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</si>
  <si>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</si>
  <si>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</si>
  <si>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</si>
  <si>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</si>
  <si>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</si>
  <si>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</si>
  <si>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</si>
  <si>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</si>
  <si>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</si>
  <si>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</si>
  <si>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</si>
  <si>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</si>
  <si>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</si>
  <si>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</si>
  <si>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</si>
  <si>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</si>
  <si>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</si>
  <si>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</si>
  <si>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</si>
  <si>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</si>
  <si>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</si>
  <si>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</si>
  <si>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</si>
  <si>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</si>
  <si>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</si>
  <si>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</si>
  <si>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</si>
  <si>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</si>
  <si>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</si>
  <si>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</si>
  <si>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</si>
  <si>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</si>
  <si>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</si>
  <si>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</si>
  <si>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</si>
  <si>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</si>
  <si>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</si>
  <si>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</si>
  <si>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</si>
  <si>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</si>
  <si>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</si>
  <si>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IW INTERREG IVA Pomoc Tech.  - wydatki</t>
  </si>
  <si>
    <t>IW  INTERREG IVA Pomoc Tech.  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</si>
  <si>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</si>
  <si>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</si>
  <si>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</si>
  <si>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</si>
  <si>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</si>
  <si>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</si>
  <si>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</si>
  <si>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 xml:space="preserve"> PROJEKTY  INWESTYCYJNE</t>
  </si>
  <si>
    <t>Udział środków UE w realizacji projektu (min. 60%)</t>
  </si>
  <si>
    <t>Nr decyzji</t>
  </si>
  <si>
    <t xml:space="preserve">Planowana wartość kosztorysowa zadania </t>
  </si>
  <si>
    <t>Uwagi</t>
  </si>
  <si>
    <t>Przebudowa drogi woj. nr 114 na odcinku Trzebież - Police w ramach Osi II RPO (2008-2014)</t>
  </si>
  <si>
    <t>Wydatki ogółem, w tym:</t>
  </si>
  <si>
    <t xml:space="preserve">środki z budżetu krajowego (środki z budżetu województwa - WW) </t>
  </si>
  <si>
    <t>środki z budżetu UE (płatności z UE)</t>
  </si>
  <si>
    <t>Przebudowa drogi woj. nr 167 na odcinku Koszalin - droga nr 168 w ramach Osi II RPO (2008-2014)</t>
  </si>
  <si>
    <t>Nr UDA-RPZP.02.01.01-32-004/13 
z dnia 19 grudnia 2013 r.</t>
  </si>
  <si>
    <t>Przebudowa drogi woj. nr 163 na odcinku Czaplinek - Wałcz  (I etap Glinki - Wałcz) w ramach Osi II RPO (2007-2015)</t>
  </si>
  <si>
    <t>Nr UDA-RPZP.02.01.01-32-003/13 
z dnia 28 października 2013 r.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</si>
  <si>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</si>
  <si>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</si>
  <si>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</si>
  <si>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</si>
  <si>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</si>
  <si>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rodz. 71003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</si>
  <si>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</si>
  <si>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</si>
  <si>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</si>
  <si>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</si>
  <si>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t>Rozbudowa części środkowej budynku głównego wraz z dostosowaniem oddziałów chirurgicznych do wymogów fachowo-sanitarnych  w Specjalistycznym Szpitalu im. A.Sokołowskiego w Szczecinie-Zdunowie w ramach osi VII RPO (2006-2015)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</si>
  <si>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</si>
  <si>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</si>
  <si>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</si>
  <si>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</si>
  <si>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</si>
  <si>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</si>
  <si>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</si>
  <si>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</si>
  <si>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do 2013 r.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</si>
  <si>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</si>
  <si>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</si>
  <si>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</si>
  <si>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</si>
  <si>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</si>
  <si>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</si>
  <si>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</si>
  <si>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</si>
  <si>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Główny Punkt Informacyjny Funduszy Europejskich (GPI)  przy ul.Kuśnierskiej 12b w ramach PO Pomoc Techniczna  (2009-2015)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</si>
  <si>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</si>
  <si>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</si>
  <si>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</si>
  <si>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</si>
  <si>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</si>
  <si>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</si>
  <si>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</si>
  <si>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</si>
  <si>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</si>
  <si>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</si>
  <si>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</si>
  <si>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</si>
  <si>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</si>
  <si>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</si>
  <si>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</si>
  <si>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</si>
  <si>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</si>
  <si>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</si>
  <si>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</si>
  <si>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</si>
  <si>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</si>
  <si>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Nr UDA-RPZP.02.01.01-32-001/15-00 
Nr UDA-RPZP.02.01.01-32-002/15-00 
z dnia 22 lipca 2015 r.</t>
  </si>
  <si>
    <t>ZZDW / WIiT
w ramach RPO 2007-2013</t>
  </si>
  <si>
    <t>Wielkość nakładów poniesiona do końca 2014 r.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</si>
  <si>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</si>
  <si>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</si>
  <si>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</si>
  <si>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</si>
  <si>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</si>
  <si>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</si>
  <si>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</si>
  <si>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</si>
  <si>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dotacjecelowe/płatności z UE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</si>
  <si>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</si>
  <si>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</si>
  <si>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</si>
  <si>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</si>
  <si>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</si>
  <si>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</si>
  <si>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</si>
  <si>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</si>
  <si>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◄ kwota poręczeń w latach 2021-2027</t>
  </si>
  <si>
    <r>
      <t xml:space="preserve">Przedsięwzięcia na które nie zostały zawarte umowy z IZ </t>
    </r>
    <r>
      <rPr>
        <b/>
        <sz val="10"/>
        <rFont val="Arial"/>
        <family val="2"/>
        <charset val="238"/>
      </rPr>
      <t>(wkład krajowy 9)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</si>
  <si>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</si>
  <si>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(2012-2015)</t>
    </r>
  </si>
  <si>
    <t xml:space="preserve">rozdz.
 </t>
  </si>
  <si>
    <t xml:space="preserve">rozdz. 
</t>
  </si>
  <si>
    <t>rozdz.</t>
  </si>
  <si>
    <t>Budowa Centrum Nauki w Szczecinie (2011-2016)</t>
  </si>
  <si>
    <t>czekam na pismo do uzunięcia</t>
  </si>
  <si>
    <t>PROJEKTY  REALIZOWANE  W  RAMACH RPO WZ 2007-2013 oraz RPO WZ 2014 - 2020</t>
  </si>
  <si>
    <t>Limity zobowiązań 2016-2020 i lata następne</t>
  </si>
  <si>
    <t>Limit` 16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</si>
  <si>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</si>
  <si>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</si>
  <si>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</si>
  <si>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</si>
  <si>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</si>
  <si>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</si>
  <si>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</si>
  <si>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</si>
  <si>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Sprawdzenie dochody</t>
  </si>
  <si>
    <t>rozdz. 75018
75095
90011</t>
  </si>
  <si>
    <t>Sprawdzenie wydatki</t>
  </si>
  <si>
    <t>Studium wykonalności Zachodniego Drogowego Obejścia Miasta Szczecina wraz z Raportem oddziaływania na środowisko (2009-2016)</t>
  </si>
  <si>
    <t>PT Oś X UM - bieżące</t>
  </si>
  <si>
    <t>PT Oś X UM - majatkowe</t>
  </si>
  <si>
    <t>do 2014 r.</t>
  </si>
  <si>
    <t>2023 r.</t>
  </si>
  <si>
    <t>2021 r.</t>
  </si>
  <si>
    <t>2022 r.</t>
  </si>
  <si>
    <t>do ukrycia</t>
  </si>
  <si>
    <t>Limity zobowiązań 2016-2023 i lata następne</t>
  </si>
  <si>
    <t>do  2014 r.</t>
  </si>
  <si>
    <t xml:space="preserve">2021 r. </t>
  </si>
  <si>
    <t xml:space="preserve">2022 r. </t>
  </si>
  <si>
    <t xml:space="preserve">2023 r. </t>
  </si>
  <si>
    <t>Limity zobowiązań 2016-2023  i lata następne</t>
  </si>
  <si>
    <t>do 2014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</si>
  <si>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</si>
  <si>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</si>
  <si>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</si>
  <si>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Poręczenie kredytu inwestycyjnego dla Samodzielnego Publicznego Wojewódzkiego Szpitala Zespolonego w Szczecinie (2015-2027)**</t>
  </si>
  <si>
    <r>
      <t xml:space="preserve">** W latach 2024- 2027 kwota poręczenia dla Samodzielnego Publicznego Wojewódzkiego Szpitala zespolonego w Szczecinie wynosi </t>
    </r>
    <r>
      <rPr>
        <b/>
        <i/>
        <sz val="8"/>
        <rFont val="Arial CE"/>
        <charset val="238"/>
      </rPr>
      <t>2.514.288 zł.</t>
    </r>
  </si>
  <si>
    <r>
      <t>Limit zobowiązań na lata 2016-20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</si>
  <si>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t>Limit zobowiązań 
w latach 
2016-2023</t>
  </si>
  <si>
    <t>Prognozowane nakłady  /dochody w latach 2016 - 2023</t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</si>
  <si>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</si>
  <si>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</si>
  <si>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</si>
  <si>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t>Zachodniopomorskie Centrum Kształcenia Zawodowego i Ustawicznego w Szczecinie - nadzór WEiS</t>
  </si>
  <si>
    <t>rozdz. 80130</t>
  </si>
  <si>
    <t>Poręczenie pożyczki dla Regionalnego Szpitala w Kołobrzegu na dofinansowanie realizacji zadania inwestycyjnego pn. Poprawa efektywności energetycznej budynków Szpitala Regionalnego w Kołobrzegu (2016 - 2028)****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</si>
  <si>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</si>
  <si>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</si>
  <si>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</si>
  <si>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 xml:space="preserve">Zrealizowane nakłady/
uzyskane dochody </t>
  </si>
  <si>
    <t>Wydatki bieżące z budżetu</t>
  </si>
  <si>
    <t>Wydatki majątkowe z budżetu</t>
  </si>
  <si>
    <t xml:space="preserve"> - Gmina i Miasto Koszalin/ AZR</t>
  </si>
  <si>
    <t xml:space="preserve"> - WFOŚiGW/AZR</t>
  </si>
  <si>
    <t>Gospodarowanie nieruchomościami należącymi do zasobu Województwa Zachodniopomorskiego (2010-2016)</t>
  </si>
  <si>
    <r>
      <t xml:space="preserve">****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</si>
  <si>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</si>
  <si>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t>Sieć Punktów Informacyjnych Funduszy Europejskich (PIFE) w Województwie Zachodniopomorskim w ramach PO Pomoc Techniczna (2015-2020)</t>
  </si>
  <si>
    <t>Prognozowane nakłady inwestycyjne /dochody 
w latach 2016 - 2023</t>
  </si>
  <si>
    <t>Prognozowane nakłady inwestycyjne / dochody z tytułu realizacji projektów 
w latach 2016-2023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</si>
  <si>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</si>
  <si>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</si>
  <si>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</si>
  <si>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</si>
  <si>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</si>
  <si>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</si>
  <si>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</si>
  <si>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</si>
  <si>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</si>
  <si>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</si>
  <si>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</si>
  <si>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</si>
  <si>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</si>
  <si>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</si>
  <si>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</si>
  <si>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</si>
  <si>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</si>
  <si>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</si>
  <si>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</si>
  <si>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</si>
  <si>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</si>
  <si>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TENTacle – wykorzystanie korytarzy sieci bazowej TEN-T w ramach IW INTERREG VB (2016-2019)</t>
  </si>
  <si>
    <t>m</t>
  </si>
  <si>
    <t>b</t>
  </si>
  <si>
    <t>Konsolidacja UM dochody</t>
  </si>
  <si>
    <t>rozdz. 75863
75864</t>
  </si>
  <si>
    <t>► różnica na turystyce</t>
  </si>
  <si>
    <t>PROJEKTY WYŁĄCZANE Z WPF</t>
  </si>
  <si>
    <t>Lp.</t>
  </si>
  <si>
    <t>Wydatki</t>
  </si>
  <si>
    <t>Dochody</t>
  </si>
  <si>
    <t>19.</t>
  </si>
  <si>
    <t>21.</t>
  </si>
  <si>
    <t>► różnica na drodze Wełtyń i oświacie (37 zł)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</si>
  <si>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</si>
  <si>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</si>
  <si>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</si>
  <si>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wydatki bieżące</t>
  </si>
  <si>
    <t>wydatki majątkowe</t>
  </si>
  <si>
    <t>9a</t>
  </si>
  <si>
    <t>9b</t>
  </si>
  <si>
    <t>9c</t>
  </si>
  <si>
    <t>Oś Priorytetowa VI, Pomoc Techniczna w ramach  PO WER 2014 - 2020 (2015-2018)</t>
  </si>
  <si>
    <t>Oś Priorytetowa VI, Pomoc Techniczna w ramach  PO WER 2014-2020 - wydatki majątkowe (2015-2018)</t>
  </si>
  <si>
    <r>
      <t xml:space="preserve">Przebudowa drogi woj. nr 203 na odcinku Koszalin - Iwięcino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</si>
  <si>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(2008-2016)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</si>
  <si>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(2007-2016)</t>
    </r>
  </si>
  <si>
    <r>
      <t xml:space="preserve">Przebudowa drogi woj. nr 114 na odcinku Trzebież - Police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</si>
  <si>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</si>
  <si>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Zakup kolejowego taboru pasażerskiego o napędzie spalinowym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</si>
  <si>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Zakup kolejowego taboru pasażerskiego o napędzie elektrycznym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</si>
  <si>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</si>
  <si>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</si>
  <si>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r>
      <t xml:space="preserve">Przebudowa Opery na Zamku w Szczecinie </t>
    </r>
    <r>
      <rPr>
        <sz val="9"/>
        <rFont val="Arial CE"/>
        <charset val="238"/>
      </rPr>
      <t>w ramach RPO WZ, Osi VI: Rozwój  Funkcji Metropolitalnych</t>
    </r>
    <r>
      <rPr>
        <b/>
        <sz val="9"/>
        <rFont val="Arial CE"/>
        <charset val="238"/>
      </rPr>
      <t xml:space="preserve"> (2009 - 2015)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</si>
  <si>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</si>
  <si>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</si>
  <si>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t>Poręczenie kredytu dla Szpitala Specjalistycznego 
w Szczecinie Zdunowie na pokrycie wkładu własnego (2016-2018)*</t>
  </si>
  <si>
    <t>rodz. 75018</t>
  </si>
  <si>
    <t>Wsparcie techniczne Interreg VA Południowy Bałtyk (2015-2020)</t>
  </si>
  <si>
    <t>Pomoc Techniczna  w ramach PROW (2015-2023)</t>
  </si>
  <si>
    <t xml:space="preserve">rozdz.
</t>
  </si>
  <si>
    <t>25.</t>
  </si>
  <si>
    <t>26.</t>
  </si>
  <si>
    <t>27.</t>
  </si>
  <si>
    <t>środki z budżetu województwa (subwencja)</t>
  </si>
  <si>
    <t>28.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</si>
  <si>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</si>
  <si>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</si>
  <si>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</si>
  <si>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</si>
  <si>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</si>
  <si>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</si>
  <si>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29.</t>
  </si>
  <si>
    <t>30.</t>
  </si>
  <si>
    <t>Wymiana i rozbudowa parku maszyn i urządzeń ZZDW w Koszalinie (2016-2017)</t>
  </si>
  <si>
    <t>31.</t>
  </si>
  <si>
    <t>32.</t>
  </si>
  <si>
    <t>33.</t>
  </si>
  <si>
    <t>IW INTERREG drogi - wydatki</t>
  </si>
  <si>
    <t>IW  INTERREG   drogi - dochody</t>
  </si>
  <si>
    <t>DOCHODY ŁĄCZNIE - 
stan na 21 czerwca 2016 r.</t>
  </si>
  <si>
    <t>RAZEM  ZMNIEJSZENIE DOCHODÓW/WYDATKÓW</t>
  </si>
  <si>
    <t>Oś X, Pomoc techniczna RPO WZ 2014-2020 (2015-2023)</t>
  </si>
  <si>
    <t>Monitoring i analizy porealizacyjne inwestycji (2013-2016)</t>
  </si>
  <si>
    <t>Dokumentacje techniczne na zadania drogowe (2011-2019)</t>
  </si>
  <si>
    <t>Zimowe utrzymanie dróg (2011-2019)</t>
  </si>
  <si>
    <t>Obsługa i utrzymanie mostów zwodzonych i mostu granicznego (2011-2019)</t>
  </si>
  <si>
    <t>Analizy porealizacyjne i monitoring inwestycji (2016-2019)</t>
  </si>
  <si>
    <t>Pomoc Techniczna w ramach  Programu EWT  INTERREG IVA (2008 - 2015)</t>
  </si>
  <si>
    <t>Konsolidacja siedziby Urzędu Marszałkowskiego Województwa Zachodniopomorskiego - razem etap A i B  (2016-2020)</t>
  </si>
  <si>
    <t>Wypłata odszkodowań za nieruchomości pod planowane inwestycje drogowe  (2012-2016)</t>
  </si>
  <si>
    <t>rozdz. 
60001
75863</t>
  </si>
  <si>
    <r>
      <t xml:space="preserve">Przebudowa drogi wojewódzkiej nr 102 na odcinku Międzywodzie -Dziwnów </t>
    </r>
    <r>
      <rPr>
        <sz val="9"/>
        <rFont val="Arial CE"/>
        <charset val="238"/>
      </rPr>
      <t xml:space="preserve">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(2016-2017)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</si>
  <si>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</si>
  <si>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151 na odcinku Świdwin - Łobez </t>
    </r>
    <r>
      <rPr>
        <sz val="9"/>
        <rFont val="Arial CE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charset val="238"/>
      </rPr>
      <t>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</si>
  <si>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Zakup pasażerskiego taboru kolejowego do obsługi połączeń międzywojewódzkich przez Województwa: Lubuskie i Zachodniopomorskie </t>
    </r>
    <r>
      <rPr>
        <sz val="9"/>
        <rFont val="Arial CE"/>
        <family val="2"/>
        <charset val="238"/>
      </rPr>
      <t>w ramach PO Infrastruktura i Środowisko</t>
    </r>
    <r>
      <rPr>
        <b/>
        <sz val="9"/>
        <rFont val="Arial CE"/>
        <family val="2"/>
        <charset val="238"/>
      </rPr>
      <t xml:space="preserve"> (2013-2015)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</si>
  <si>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</si>
  <si>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</si>
  <si>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</si>
  <si>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WYDATKI ŁĄCZNIE - 
stan na  20 września  2016 r.</t>
  </si>
  <si>
    <t>DOCHODY ŁĄCZNIE - 
stan na 20 września 2016 r.</t>
  </si>
  <si>
    <t>WYDATKI ŁĄCZNIE - 
stan na 21 czerwca 2016 r.</t>
  </si>
  <si>
    <t>Wykonanie</t>
  </si>
  <si>
    <t>Decyzja o dofinansowaniu projektu Nr RPZP.05.06.00-32-0001/16-00 z 1.08.2016</t>
  </si>
  <si>
    <t>Brak decyzji</t>
  </si>
  <si>
    <t>dochody z UE (poz. 12.2.1.1.) do odjęcia z poz 12.2.1</t>
  </si>
  <si>
    <t>DANE DO WPF</t>
  </si>
  <si>
    <t>DOCHODY Z POZ. 12.2.1 - do wpisania z WPF</t>
  </si>
  <si>
    <t>DOCHODY DO WPISANIA - POZ. 12.2.1.1.</t>
  </si>
  <si>
    <t>WYDATKI  Z POZ. 12.4 - do wpisania z WPF</t>
  </si>
  <si>
    <t>WYDATKI DO WPISANIA - POZ. 12.4.2.</t>
  </si>
  <si>
    <t>wydatki fin z UE  do odjęcia z poz. 12.4.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</si>
  <si>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</si>
  <si>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</si>
  <si>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</si>
  <si>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</si>
  <si>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</si>
  <si>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</si>
  <si>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</si>
  <si>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</si>
  <si>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</si>
  <si>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</si>
  <si>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</si>
  <si>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IW INTERREG VC - wydatki</t>
  </si>
  <si>
    <t>IW  INTERREG VC - dochody</t>
  </si>
  <si>
    <t>k</t>
  </si>
  <si>
    <t>rozdz. 85149</t>
  </si>
  <si>
    <t>Doposażenie klinik i oddziałów torakochirurgii  w sprzęt do leczenia raka płuca (2016 - 2017)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</si>
  <si>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</si>
  <si>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</si>
  <si>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</si>
  <si>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</si>
  <si>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</si>
  <si>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</si>
  <si>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</si>
  <si>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</si>
  <si>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</si>
  <si>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</si>
  <si>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</si>
  <si>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</si>
  <si>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</si>
  <si>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</si>
  <si>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</si>
  <si>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WZS, WWRPO, WOiRZL, GM</t>
  </si>
  <si>
    <t>WZS, WWRPO</t>
  </si>
  <si>
    <t>WIiN, WZS</t>
  </si>
  <si>
    <t>WIiN</t>
  </si>
  <si>
    <t>WA, WSIiI</t>
  </si>
  <si>
    <t>Ekonomia społeczna kluczem do sukcesu w ramach działania 7.5 RPO WZ (2016 - 2017)</t>
  </si>
  <si>
    <t>wydatki din WK do odjęcia z poz. 12.5.1.</t>
  </si>
  <si>
    <t>Drogi + ścieżki rowerowe z tab 6H</t>
  </si>
  <si>
    <t>Wspieranie realizacji zadań publicznych Województwa Zachodniopomorskiego w zakresie upowszechniania kultury fizycznej (2014-2019)</t>
  </si>
  <si>
    <t>Dochody z UE</t>
  </si>
  <si>
    <t>BRAK</t>
  </si>
  <si>
    <t>ZZDW / WIiT
w ramach RPO 2014-2020</t>
  </si>
  <si>
    <t>MAJĄTKOWE</t>
  </si>
  <si>
    <t xml:space="preserve">środki z budżetu krajowego (środki z budżetu województwa - WW, PF) </t>
  </si>
  <si>
    <t>środki z budżetu krajowego (środki z budżetu województwa - WW</t>
  </si>
  <si>
    <t>WIiT
w ramach RPO 2014-2020</t>
  </si>
  <si>
    <t>środki z budżetu krajowego (środki z budżetu województwa - WW i FK</t>
  </si>
  <si>
    <t>BIEŻĄCE</t>
  </si>
  <si>
    <t>WUP</t>
  </si>
  <si>
    <t>PRZEDSIĘWZIĘCIA NA KTÓRE PODPISANO DECYZJE / POROZUMIENIA</t>
  </si>
  <si>
    <t>Nr projektu RPZP.07.05.00-32-P001/16 (uchwała Nr 1356/16 ZWZ z dnia 23 sierpnia 2016 r.)</t>
  </si>
  <si>
    <t>WUP / WZS</t>
  </si>
  <si>
    <t>SdsMWZ</t>
  </si>
  <si>
    <t>CEN Koszalin</t>
  </si>
  <si>
    <t>ZCKZiU Szczecin</t>
  </si>
  <si>
    <t>WZS WWRPO</t>
  </si>
  <si>
    <t>WIiN WZS</t>
  </si>
  <si>
    <t>ZZMiUW</t>
  </si>
  <si>
    <t>WPROW</t>
  </si>
  <si>
    <t>WTG</t>
  </si>
  <si>
    <t xml:space="preserve">środki z budżetu krajowego (środki z budżetu województwa - WW </t>
  </si>
  <si>
    <t>ZZDW
w ramach RPO 2014-2020</t>
  </si>
  <si>
    <t>ZZMiUW
w ramach RPO 2014-2020</t>
  </si>
  <si>
    <t>RBGP WZ</t>
  </si>
  <si>
    <t>ZPK WZ</t>
  </si>
  <si>
    <t>II.</t>
  </si>
  <si>
    <t>M.</t>
  </si>
  <si>
    <t>B.</t>
  </si>
  <si>
    <t>Część 
Lp</t>
  </si>
  <si>
    <t>ZZMiUW pod nadzorem WRiR</t>
  </si>
  <si>
    <t xml:space="preserve">WPROW 
</t>
  </si>
  <si>
    <t>RBGP WZ w Szczecinie pod nadzorem WZS</t>
  </si>
  <si>
    <t>b) Wkład krajowy na projekty z dofinansowaniem poniżej 60% - formuła</t>
  </si>
  <si>
    <t>Umowa Nr 2014-1-PL01-KA102-001665 
z dnia 20 października 2014 r.</t>
  </si>
  <si>
    <t>Umowa  ZP-10/FRSE/2015 - część 16 z dnia 22 kwietnia 2015 r.</t>
  </si>
  <si>
    <t>Umowa z KE nr LIFE11 NAT/PL/424 
z dnia 14 września 2012
Umowa z NFOŚiGW Nr 654/2012/WN-16.OP-WK-LF z dnia 28 września 2012 r. (+ aneksy)</t>
  </si>
  <si>
    <t>ZZDW
w ramach RPO 2007-2013</t>
  </si>
  <si>
    <t>PRZEDSIĘWZIĘCIA BEZ  DECYZJI 
O DOFINANSOWANIU 
BEZ PODPISANEGO POROZUMIENIA</t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</si>
  <si>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</si>
  <si>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t>Sprawdzenie</t>
  </si>
  <si>
    <t>ZESTAWIENIE PRZEDSIĘWZIĘĆ W PODZIALE NA PROJEKTY, KTÓRE MAJĄ PODPISANE UMOWY ORAZ NA PROJEKTY BEZ PODPISANYCH UMÓW DO CELÓW WPF</t>
  </si>
  <si>
    <t>POZYCJE DO UZUPEŁNIENIA RĘCZNEGO W WPF</t>
  </si>
  <si>
    <t>Decyzja o dofinansowaniu projektu Nr POIS.07..01.00-00-052/13-00 z dnia 30 października 2013 r. (+ aneksy)</t>
  </si>
  <si>
    <t>środki z budżetu krajowego (środki z budżetu województwa - WW, RW,FI)</t>
  </si>
  <si>
    <t>Decyzja o dofinansowaniu projektu Nr POIS.07..01.00-00-052/13-00 z dnia 30 października 2013 r.
 (+ aneksy)</t>
  </si>
  <si>
    <t>Decyzja o dofinansowaniu projektu Nr RPZP.05.06.00-32-0001/16-00
 z dnia 1 sierpnia 2016 r.</t>
  </si>
  <si>
    <t>Umowa nr DPT/BDG-II/POPT/26/16 z dnia 11 maja 2016 r.</t>
  </si>
  <si>
    <t>Umowa o dofinansowanie projektu Pomocy Technicznej w ramach PO WER 2014-2020 
Nr UDA-POWR.60.01.00-32-2202/15-00 z dn. 22 stycznia 2016 r.</t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</si>
  <si>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</si>
  <si>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Budowa obejścia m. Dobra w ciągu drogi nr 144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</si>
  <si>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</si>
  <si>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142 na odcinku Szczecin - Krzywnica</t>
    </r>
    <r>
      <rPr>
        <sz val="9"/>
        <rFont val="Arial CE"/>
        <charset val="238"/>
      </rPr>
      <t xml:space="preserve"> 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</si>
  <si>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(2010-2017)</t>
    </r>
  </si>
  <si>
    <r>
      <t xml:space="preserve">Zakup i modernizacja kolejowego taboru pasażerskiego o napędzie elektrycznym </t>
    </r>
    <r>
      <rPr>
        <sz val="9"/>
        <rFont val="Arial CE"/>
        <family val="2"/>
        <charset val="238"/>
      </rPr>
      <t xml:space="preserve">w ramach Osi V RPO </t>
    </r>
    <r>
      <rPr>
        <b/>
        <sz val="9"/>
        <rFont val="Arial CE"/>
        <family val="2"/>
        <charset val="238"/>
      </rPr>
      <t>(2014-2016)</t>
    </r>
  </si>
  <si>
    <r>
      <t xml:space="preserve">Przedsięwzięcia na które </t>
    </r>
    <r>
      <rPr>
        <b/>
        <sz val="11"/>
        <rFont val="Arial"/>
        <family val="2"/>
        <charset val="238"/>
      </rPr>
      <t>nie zostały zawarte umowy</t>
    </r>
    <r>
      <rPr>
        <sz val="10"/>
        <rFont val="Arial"/>
        <family val="2"/>
        <charset val="238"/>
      </rPr>
      <t xml:space="preserve"> z IZ (</t>
    </r>
    <r>
      <rPr>
        <b/>
        <sz val="10"/>
        <rFont val="Arial"/>
        <family val="2"/>
        <charset val="238"/>
      </rPr>
      <t>wkład unijny 1,7,8)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</si>
  <si>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</si>
  <si>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Budowa sieci tras rowerowych Pomorza Zachodniego - Trasa Pojezierna </t>
    </r>
    <r>
      <rPr>
        <sz val="9"/>
        <rFont val="Arial CE"/>
        <charset val="238"/>
      </rPr>
      <t xml:space="preserve">w ramach Osi IV RPO </t>
    </r>
    <r>
      <rPr>
        <b/>
        <sz val="9"/>
        <rFont val="Arial CE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</si>
  <si>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</si>
  <si>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</si>
  <si>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r>
      <t xml:space="preserve"> 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</si>
  <si>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Umowa z KE nr  LIFE10NAT/PL/654 
z dnia 18 sierpnia 2011 r.
Umowa z NFOŚiGW nr 368/2011/Wn-16/OP-WK-LF/D z dnia 09 sierpnia 2011 r.</t>
  </si>
  <si>
    <t>Aneks nr 2 z  dnia 5 lutego 2015 r., aneks nr 3 z dnia 16.09.2015 r. do umowy dotacji nr DIP/BDG-II/POPT/63/14 z dnia 28 kwietnia 2014 r.</t>
  </si>
  <si>
    <t>Przebudowa drogi wojewódzkiej nr 142 na odcinku Szczecin - Krzywnica w ramach Osi V RPO (2016-2018)</t>
  </si>
  <si>
    <t>Przebudowa drogi wojewódzkiej nr 102 na odcinku Międzywodzie -Dziwnów w ramach Osi V RPO (2016-2017)</t>
  </si>
  <si>
    <t>Przebudowa drogi wojewódzkiej nr 102 na odcinku Łukęcin - Lędzin w ramach Osi V RPO (2016-2018)</t>
  </si>
  <si>
    <t>Przebudowa drogi wojewódzkiej nr 151 na odcinkuŚwidwin - Łobez (etap I przebudowa mostu w m. Łobez) w ramach Osi V RPO (2016-2018)</t>
  </si>
  <si>
    <t>Zakup kolejowego taboru pasażerskiego o napędzie spalinowym w ramach Osi V RPO (2016-2017) - realizacja zadania od 2015 r. (zobowiązania)</t>
  </si>
  <si>
    <t>Zakup kolejowego taboru pasażerskiego o napędzie elektrycznym w ramach Osi V RPO (2016-2018)  - realizacja zadania od 2015 r. (zobowiązania)</t>
  </si>
  <si>
    <t>Przebudowa mostu k. miejscowości Żelimucha w ciągu drogi woj. Nr 166 (2015 - 2016)  - realizacja zadania od 2015 r. (zobowiązania)</t>
  </si>
  <si>
    <t>Budowa sieci tras rowerowych Pomorza Zachodniego - Trasa Pojezierna w ramach Osi IV RPO (2016-2018)</t>
  </si>
  <si>
    <t>Budowa sieci tras rowerowych Pomorza Zachodniego - Trasa Nadmorska w ramach Osi IV RPO (2016-2018)</t>
  </si>
  <si>
    <t>Sieć Punktów Informacyjnych Funduszy Europejskich (PIFE) w Województwie Zachodniopomorskim w ramach PO Pomoc Techniczna  (2015-2020)</t>
  </si>
  <si>
    <t>Dokumentacje techniczne na drogowe zadania inwestycyjne w ramach Osi V RPO (2016-2017)</t>
  </si>
  <si>
    <t>Przebudowa drogi wojewódzkiej nr 120 - przejście przez Wełtyń w ramach IW INTERREG V A (2016-2017)</t>
  </si>
  <si>
    <t>Konsolidacja siedziby Urzędu Marszałkowskiego (2016 - 2020)</t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</si>
  <si>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</si>
  <si>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t xml:space="preserve">Decyzja nr UDA-RPZP.05.01.02-32-001/14-00 z dnia 30 grudnia 2014 r. </t>
  </si>
  <si>
    <t>Decyzja Nr UDA-RPZP.03.02.00-32-007/10-14 z dnia 30 marca 2016</t>
  </si>
  <si>
    <t>Przebudowa drogi wojewódzkiej nr 109 na odcinku Trzebusz - Trzebiatów w ramach Osi V RPO (2016-2017)</t>
  </si>
  <si>
    <t>b) Kwota wydatków WOiRZL na PT RPO Oś X (czwarta cyfra 0) - formuła Tab. 6E</t>
  </si>
  <si>
    <t>a) Kwota wydatków - wkład unijny WOiRZL na PT RPO Oś X (czwarta cyfra 0) - formuła Tab. 6E</t>
  </si>
  <si>
    <t>Decyzja sprzed 1 stycznia 2013 r.</t>
  </si>
  <si>
    <t>Umowa partnerska 
z dnia 15.08.2016 r.</t>
  </si>
  <si>
    <t>Umowa partnerska
z dnia 04.07.2016 r.</t>
  </si>
  <si>
    <t>Umowa partnerska
z dnia 19.09.2016 r.</t>
  </si>
  <si>
    <t xml:space="preserve">Numer umowy szczegółowej Europe Direct na 2017 to: ED/US/2016/25
Numer umowy całościowej na lata 2013-2017 to: ED/UR/2013/25
</t>
  </si>
  <si>
    <t>Umowa o realizację działań dla Wolontariatu Europejskiego EVS z dnia 15.03.2016 r.</t>
  </si>
  <si>
    <t>Umowa partnerska podpisana w dniu 19 lipca 2016</t>
  </si>
  <si>
    <t>Umowa partnerska podpisana w dniu 28 lipca 2016</t>
  </si>
  <si>
    <t xml:space="preserve">Umowa Nr 26/IR/2015 z dnia 30 grudnia 2015 r. zawarta pomiędzy  Wojewodą a WZ </t>
  </si>
  <si>
    <t>b) Wkład własny na PT RPO WOiRZL zakwalifikowany z czwartą cyfrą 0 (patrz arkusz administracja) oraz  rezerwy celowe na wkład własny - WWRPO - zakwalifikowane z czwartą cyfrą zero - do dodania do poz. 12.5.</t>
  </si>
  <si>
    <t xml:space="preserve">a) Kwoty wyszczególnione w poz. 12.5. </t>
  </si>
  <si>
    <t>b) Wkład krajowy zaplanowany na projekty bez podpisanych umów (patrz powyższe zestawienie) - formuła</t>
  </si>
  <si>
    <t xml:space="preserve">Porozumienie Nr 1/2016 z dnia 25 stycznia 2016 r. zawarte pomiędzy  Wojewodą a WZ </t>
  </si>
  <si>
    <t>Umowa partnerska z dnia 13 maja 2016 r</t>
  </si>
  <si>
    <t>Kontrakt Terytorialny dla WZ z dnia 12 listopada 2014 r. Aneks do KT z sierpnia 2016 r.
Zawiadomienie MR o kwotach ujętych w budżecie państwa.</t>
  </si>
  <si>
    <t xml:space="preserve">a) Kwoty wyszczególnione w poz. 12.6. </t>
  </si>
  <si>
    <t>b) Wkład krajowy na projekty z dofinansowaniem min.  60%, na które nie zostały zawarte umowy -  formuła</t>
  </si>
  <si>
    <t>pn. Pomoc Techniczna PO RYBY 2014-2020</t>
  </si>
  <si>
    <t>pn.  BALTIC STORIES -  Turystyka eventowa w regionie Morza Bałtyckiego oparta na historii, tradycji i wspólnej tożsamości kulturowej.</t>
  </si>
  <si>
    <t>PROJEKTY INWESTYCYJNE JEDNOROCZNE</t>
  </si>
  <si>
    <t>PROJEKTY BIEŻĄCE JEDNOROCZNE</t>
  </si>
  <si>
    <r>
      <t xml:space="preserve">PROJEKT JEDNOROCZNY pn. </t>
    </r>
    <r>
      <rPr>
        <b/>
        <sz val="9"/>
        <color rgb="FF0000FF"/>
        <rFont val="Arial CE"/>
        <charset val="238"/>
      </rPr>
      <t/>
    </r>
  </si>
  <si>
    <t>dane do formuły sprawdzającej</t>
  </si>
  <si>
    <t>środki z budżetu krajowego (środki z budżetu województwa - fundusze</t>
  </si>
  <si>
    <t>Prognozowane nakłady inwestycyjne 2016-2023
LATA WPF (2016-2029)</t>
  </si>
  <si>
    <t>PROJEKTY BIEŻĄCE Z DOFINANSOWANIEM Z UE NA POZIOMIE PONIŻEJ 60%</t>
  </si>
  <si>
    <t>PROJEKTY INWESTYCYJNE  Z DOFINANSOWANIEM Z UE NA POZIOMIE PONIŻEJ 60%</t>
  </si>
  <si>
    <r>
      <t>Młodzież w działaniu, Prowadzenie Punktu Informacji Europejskiej</t>
    </r>
    <r>
      <rPr>
        <sz val="11"/>
        <color theme="1"/>
        <rFont val="Arial CE"/>
        <charset val="238"/>
      </rPr>
      <t xml:space="preserve"> (środki Komisji Europejskiej), </t>
    </r>
    <r>
      <rPr>
        <b/>
        <sz val="11"/>
        <color theme="1"/>
        <rFont val="Arial CE"/>
        <charset val="238"/>
      </rPr>
      <t>GRUNTVIG</t>
    </r>
    <r>
      <rPr>
        <b/>
        <sz val="11"/>
        <color theme="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</si>
  <si>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color theme="1"/>
        <rFont val="Arial CE"/>
        <charset val="238"/>
      </rPr>
      <t xml:space="preserve">(środki Komisji Europejskiej), </t>
    </r>
    <r>
      <rPr>
        <b/>
        <sz val="11"/>
        <color theme="1"/>
        <rFont val="Arial CE"/>
        <charset val="238"/>
      </rPr>
      <t>GRUNTVIG</t>
    </r>
    <r>
      <rPr>
        <sz val="11"/>
        <color theme="1"/>
        <rFont val="Arial CE"/>
        <charset val="238"/>
      </rPr>
      <t xml:space="preserve"> </t>
    </r>
    <r>
      <rPr>
        <b/>
        <sz val="11"/>
        <color theme="1"/>
        <rFont val="Arial CE"/>
        <family val="2"/>
        <charset val="238"/>
      </rPr>
      <t>- dochody</t>
    </r>
  </si>
  <si>
    <r>
      <t xml:space="preserve">Nr UDA-RPZP.02.01.01-32-001/13 
z dnia 17 lipca 2013 r.
</t>
    </r>
    <r>
      <rPr>
        <sz val="9"/>
        <color theme="1"/>
        <rFont val="Arial CE"/>
        <charset val="238"/>
      </rPr>
      <t>+ wniosek aplikacyjny na II etap inwestycji ma zostać wkrótce złożony do WWRPO</t>
    </r>
  </si>
  <si>
    <t>środki z budżetu krajowego (środki z budżetu państwa)</t>
  </si>
  <si>
    <t>środki z budżetu krajowego (środki z budżetu województwa - WW, fundusze</t>
  </si>
  <si>
    <t>środki z budżetu krajowego (środki z budżetu województwa - środki z budżetu państwa</t>
  </si>
  <si>
    <t>środki z budżetu krajowego (środki z budżetu województwa - WW , środki z budżetu państwa</t>
  </si>
  <si>
    <r>
      <t>POZ. 12.2.1.1.</t>
    </r>
    <r>
      <rPr>
        <sz val="10"/>
        <color theme="1"/>
        <rFont val="Arial CE"/>
        <charset val="238"/>
      </rPr>
      <t xml:space="preserve"> </t>
    </r>
    <r>
      <rPr>
        <b/>
        <sz val="9"/>
        <color theme="1"/>
        <rFont val="Arial CE"/>
        <charset val="238"/>
      </rPr>
      <t>DOCHODY MAJĄTKOWE</t>
    </r>
    <r>
      <rPr>
        <sz val="9"/>
        <color theme="1"/>
        <rFont val="Arial CE"/>
        <charset val="238"/>
      </rPr>
      <t xml:space="preserve"> na projekty wynikające </t>
    </r>
    <r>
      <rPr>
        <b/>
        <sz val="9"/>
        <color theme="1"/>
        <rFont val="Arial CE"/>
        <charset val="238"/>
      </rPr>
      <t>wyłącznie</t>
    </r>
    <r>
      <rPr>
        <sz val="9"/>
        <color theme="1"/>
        <rFont val="Arial CE"/>
        <charset val="238"/>
      </rPr>
      <t xml:space="preserve"> z zawartych umów (b - a)</t>
    </r>
  </si>
  <si>
    <r>
      <t xml:space="preserve">a) Dochody majątkowe ( z grupy paragrafów z czwartą cyf. 1, 7, 8) wynikajace z projektów, </t>
    </r>
    <r>
      <rPr>
        <b/>
        <sz val="9"/>
        <color theme="1"/>
        <rFont val="Arial CE"/>
        <charset val="238"/>
      </rPr>
      <t>na które nie podpisano umów</t>
    </r>
    <r>
      <rPr>
        <sz val="9"/>
        <color theme="1"/>
        <rFont val="Arial CE"/>
        <charset val="238"/>
      </rPr>
      <t xml:space="preserve"> (cz. II powyższego zestawienia) - formuła</t>
    </r>
  </si>
  <si>
    <r>
      <t>b) Dane z poz.</t>
    </r>
    <r>
      <rPr>
        <b/>
        <sz val="9"/>
        <color theme="1"/>
        <rFont val="Arial CE"/>
        <charset val="238"/>
      </rPr>
      <t xml:space="preserve"> 12.2.1.</t>
    </r>
    <r>
      <rPr>
        <sz val="9"/>
        <color theme="1"/>
        <rFont val="Arial CE"/>
        <charset val="238"/>
      </rPr>
      <t xml:space="preserve"> (pobierane automatycznie z systemu PlanB - do przepisania z aktualnej prognozy)</t>
    </r>
  </si>
  <si>
    <r>
      <t>POZ. 12.3.</t>
    </r>
    <r>
      <rPr>
        <sz val="10"/>
        <color theme="1"/>
        <rFont val="Arial CE"/>
        <charset val="238"/>
      </rPr>
      <t xml:space="preserve"> -</t>
    </r>
    <r>
      <rPr>
        <sz val="9"/>
        <color theme="1"/>
        <rFont val="Arial CE"/>
        <charset val="238"/>
      </rPr>
      <t xml:space="preserve"> </t>
    </r>
    <r>
      <rPr>
        <b/>
        <sz val="9"/>
        <color theme="1"/>
        <rFont val="Arial CE"/>
        <charset val="238"/>
      </rPr>
      <t xml:space="preserve">WYDATKI BIEŻĄCE na projekty </t>
    </r>
    <r>
      <rPr>
        <sz val="9"/>
        <color theme="1"/>
        <rFont val="Arial CE"/>
        <charset val="238"/>
      </rPr>
      <t xml:space="preserve"> finansowane z udziałem środków unijnych -</t>
    </r>
    <r>
      <rPr>
        <b/>
        <i/>
        <sz val="9"/>
        <color theme="1"/>
        <rFont val="Arial CE"/>
        <charset val="238"/>
      </rPr>
      <t>wkład krajowy i unijny</t>
    </r>
    <r>
      <rPr>
        <sz val="9"/>
        <color theme="1"/>
        <rFont val="Arial CE"/>
        <charset val="238"/>
      </rPr>
      <t xml:space="preserve">  (a  + b + c)</t>
    </r>
  </si>
  <si>
    <r>
      <t>a) Dane z poz.</t>
    </r>
    <r>
      <rPr>
        <b/>
        <sz val="9"/>
        <color theme="1"/>
        <rFont val="Arial CE"/>
        <charset val="238"/>
      </rPr>
      <t xml:space="preserve"> 12.3.</t>
    </r>
    <r>
      <rPr>
        <sz val="9"/>
        <color theme="1"/>
        <rFont val="Arial CE"/>
        <charset val="238"/>
      </rPr>
      <t xml:space="preserve"> pobierane automatycznie z systemu PlanB do przepisania z aktualnej prognozy (przed aktualizacją o wydatki na PT  -WOiRZL i recerwy celowej WWRPO)</t>
    </r>
  </si>
  <si>
    <r>
      <t xml:space="preserve">c) Rezerwa </t>
    </r>
    <r>
      <rPr>
        <b/>
        <sz val="9"/>
        <color theme="1"/>
        <rFont val="Arial CE"/>
        <charset val="238"/>
      </rPr>
      <t>celowa</t>
    </r>
    <r>
      <rPr>
        <sz val="9"/>
        <color theme="1"/>
        <rFont val="Arial CE"/>
        <charset val="238"/>
      </rPr>
      <t xml:space="preserve"> na współfinansowanie</t>
    </r>
    <r>
      <rPr>
        <b/>
        <sz val="9"/>
        <color theme="1"/>
        <rFont val="Arial CE"/>
        <charset val="238"/>
      </rPr>
      <t xml:space="preserve"> wkładu krajowego</t>
    </r>
    <r>
      <rPr>
        <sz val="9"/>
        <color theme="1"/>
        <rFont val="Arial CE"/>
        <charset val="238"/>
      </rPr>
      <t xml:space="preserve"> projektów </t>
    </r>
    <r>
      <rPr>
        <b/>
        <sz val="9"/>
        <color theme="1"/>
        <rFont val="Arial CE"/>
        <charset val="238"/>
      </rPr>
      <t>bieżących</t>
    </r>
    <r>
      <rPr>
        <sz val="9"/>
        <color theme="1"/>
        <rFont val="Arial CE"/>
        <charset val="238"/>
      </rPr>
      <t xml:space="preserve"> realizowanych ze środków pochodzących z budżetu UE w ramach RPO WZ   2014-2020 (WWRPO) - formuła z pliku "zadania" - jeśli jest czwarta cyfra 0</t>
    </r>
  </si>
  <si>
    <r>
      <t>POZ. 12.3.1</t>
    </r>
    <r>
      <rPr>
        <sz val="10"/>
        <color theme="1"/>
        <rFont val="Arial CE"/>
        <charset val="238"/>
      </rPr>
      <t xml:space="preserve"> -</t>
    </r>
    <r>
      <rPr>
        <sz val="9"/>
        <color theme="1"/>
        <rFont val="Arial CE"/>
        <charset val="238"/>
      </rPr>
      <t xml:space="preserve"> </t>
    </r>
    <r>
      <rPr>
        <b/>
        <sz val="9"/>
        <color theme="1"/>
        <rFont val="Arial CE"/>
        <charset val="238"/>
      </rPr>
      <t xml:space="preserve">WYDATKI BIEŻĄCE na projekty  </t>
    </r>
    <r>
      <rPr>
        <sz val="9"/>
        <color theme="1"/>
        <rFont val="Arial CE"/>
        <charset val="238"/>
      </rPr>
      <t xml:space="preserve">finansowane z udziałem środków unijnych  </t>
    </r>
    <r>
      <rPr>
        <b/>
        <sz val="9"/>
        <color theme="1"/>
        <rFont val="Arial CE"/>
        <charset val="238"/>
      </rPr>
      <t xml:space="preserve">- </t>
    </r>
    <r>
      <rPr>
        <b/>
        <i/>
        <sz val="9"/>
        <color theme="1"/>
        <rFont val="Arial CE"/>
        <charset val="238"/>
      </rPr>
      <t>wkład unijny</t>
    </r>
    <r>
      <rPr>
        <b/>
        <sz val="9"/>
        <color theme="1"/>
        <rFont val="Arial CE"/>
        <charset val="238"/>
      </rPr>
      <t xml:space="preserve">  </t>
    </r>
    <r>
      <rPr>
        <sz val="9"/>
        <color theme="1"/>
        <rFont val="Arial CE"/>
        <charset val="238"/>
      </rPr>
      <t xml:space="preserve"> (a  + b)</t>
    </r>
  </si>
  <si>
    <r>
      <t>b) Dane z poz.</t>
    </r>
    <r>
      <rPr>
        <b/>
        <sz val="9"/>
        <color theme="1"/>
        <rFont val="Arial CE"/>
        <charset val="238"/>
      </rPr>
      <t xml:space="preserve"> 12.3.1</t>
    </r>
    <r>
      <rPr>
        <sz val="9"/>
        <color theme="1"/>
        <rFont val="Arial CE"/>
        <charset val="238"/>
      </rPr>
      <t xml:space="preserve"> (pobierane automatycznie z systemu PlanB - do przepisania z aktualnej prognozy), przed aktualizacją o wydatki na PT  -WOiRZL</t>
    </r>
  </si>
  <si>
    <r>
      <t>POZ. 12.4.</t>
    </r>
    <r>
      <rPr>
        <sz val="10"/>
        <color theme="1"/>
        <rFont val="Arial CE"/>
        <charset val="238"/>
      </rPr>
      <t xml:space="preserve"> -</t>
    </r>
    <r>
      <rPr>
        <sz val="9"/>
        <color theme="1"/>
        <rFont val="Arial CE"/>
        <charset val="238"/>
      </rPr>
      <t xml:space="preserve"> </t>
    </r>
    <r>
      <rPr>
        <b/>
        <sz val="9"/>
        <color theme="1"/>
        <rFont val="Arial CE"/>
        <charset val="238"/>
      </rPr>
      <t xml:space="preserve">WYDATKI MAJĄTKOWE na projekty  </t>
    </r>
    <r>
      <rPr>
        <sz val="9"/>
        <color theme="1"/>
        <rFont val="Arial CE"/>
        <charset val="238"/>
      </rPr>
      <t xml:space="preserve">finansowane z udziałem środków unijnych  </t>
    </r>
    <r>
      <rPr>
        <b/>
        <sz val="9"/>
        <color theme="1"/>
        <rFont val="Arial CE"/>
        <charset val="238"/>
      </rPr>
      <t>-</t>
    </r>
    <r>
      <rPr>
        <b/>
        <i/>
        <sz val="9"/>
        <color theme="1"/>
        <rFont val="Arial CE"/>
        <charset val="238"/>
      </rPr>
      <t xml:space="preserve"> wkład krajowy i wkład unijny</t>
    </r>
    <r>
      <rPr>
        <b/>
        <sz val="9"/>
        <color theme="1"/>
        <rFont val="Arial CE"/>
        <charset val="238"/>
      </rPr>
      <t xml:space="preserve">  </t>
    </r>
    <r>
      <rPr>
        <sz val="9"/>
        <color theme="1"/>
        <rFont val="Arial CE"/>
        <charset val="238"/>
      </rPr>
      <t xml:space="preserve"> (a  + b)</t>
    </r>
  </si>
  <si>
    <r>
      <t>a) Dane z poz.</t>
    </r>
    <r>
      <rPr>
        <b/>
        <sz val="9"/>
        <color theme="1"/>
        <rFont val="Arial CE"/>
        <charset val="238"/>
      </rPr>
      <t xml:space="preserve"> 12.4. </t>
    </r>
    <r>
      <rPr>
        <sz val="9"/>
        <color theme="1"/>
        <rFont val="Arial CE"/>
        <charset val="238"/>
      </rPr>
      <t>(pobierane automatycznie z systemu PlanB - do przepisania z aktualnej prognozy), przed aktualizacją o wydatki majątkowe na rezerwę celową WWRPO</t>
    </r>
  </si>
  <si>
    <r>
      <t xml:space="preserve">b) Rezerwa </t>
    </r>
    <r>
      <rPr>
        <b/>
        <sz val="9"/>
        <color theme="1"/>
        <rFont val="Arial CE"/>
        <charset val="238"/>
      </rPr>
      <t>celowa</t>
    </r>
    <r>
      <rPr>
        <sz val="9"/>
        <color theme="1"/>
        <rFont val="Arial CE"/>
        <charset val="238"/>
      </rPr>
      <t xml:space="preserve"> na współfinansowanie</t>
    </r>
    <r>
      <rPr>
        <b/>
        <sz val="9"/>
        <color theme="1"/>
        <rFont val="Arial CE"/>
        <charset val="238"/>
      </rPr>
      <t xml:space="preserve"> wkładu krajowego</t>
    </r>
    <r>
      <rPr>
        <sz val="9"/>
        <color theme="1"/>
        <rFont val="Arial CE"/>
        <charset val="238"/>
      </rPr>
      <t xml:space="preserve"> projektów </t>
    </r>
    <r>
      <rPr>
        <b/>
        <sz val="9"/>
        <color theme="1"/>
        <rFont val="Arial CE"/>
        <charset val="238"/>
      </rPr>
      <t>majątkowych</t>
    </r>
    <r>
      <rPr>
        <sz val="9"/>
        <color theme="1"/>
        <rFont val="Arial CE"/>
        <charset val="238"/>
      </rPr>
      <t xml:space="preserve"> realizowanych ze środków pochodzących z budżetu UE w ramach RPO WZ   2014-2020 (WWRPO) - formuła z pliku "zadania" - jeśli jest czwarta cyfra 0</t>
    </r>
  </si>
  <si>
    <r>
      <t>POZ. 12.4.2.</t>
    </r>
    <r>
      <rPr>
        <sz val="10"/>
        <color theme="1"/>
        <rFont val="Arial CE"/>
        <charset val="238"/>
      </rPr>
      <t xml:space="preserve"> -</t>
    </r>
    <r>
      <rPr>
        <sz val="9"/>
        <color theme="1"/>
        <rFont val="Arial CE"/>
        <charset val="238"/>
      </rPr>
      <t xml:space="preserve"> </t>
    </r>
    <r>
      <rPr>
        <b/>
        <sz val="9"/>
        <color theme="1"/>
        <rFont val="Arial CE"/>
        <charset val="238"/>
      </rPr>
      <t>WYDATKI MAJĄTKOWE na projekty finansowane z udziałem środków unijnych (wkład unijny)</t>
    </r>
    <r>
      <rPr>
        <sz val="9"/>
        <color theme="1"/>
        <rFont val="Arial CE"/>
        <charset val="238"/>
      </rPr>
      <t xml:space="preserve"> wynikające wyłącznie z zawartych umów (b - a)</t>
    </r>
  </si>
  <si>
    <r>
      <t xml:space="preserve">a) Wydatki majątkowe ( z grupy paragrafów z czwartą cyf. 1, 7, 8) wynikajace z projektów, </t>
    </r>
    <r>
      <rPr>
        <b/>
        <sz val="9"/>
        <color theme="1"/>
        <rFont val="Arial CE"/>
        <charset val="238"/>
      </rPr>
      <t>na które nie podpisano umów</t>
    </r>
    <r>
      <rPr>
        <sz val="9"/>
        <color theme="1"/>
        <rFont val="Arial CE"/>
        <charset val="238"/>
      </rPr>
      <t xml:space="preserve"> (cz. II powyższego zestawienia) - formuła</t>
    </r>
  </si>
  <si>
    <r>
      <t>b) Dane z poz.</t>
    </r>
    <r>
      <rPr>
        <b/>
        <sz val="9"/>
        <color theme="1"/>
        <rFont val="Arial CE"/>
        <charset val="238"/>
      </rPr>
      <t xml:space="preserve"> 12.4.1.</t>
    </r>
    <r>
      <rPr>
        <sz val="9"/>
        <color theme="1"/>
        <rFont val="Arial CE"/>
        <charset val="238"/>
      </rPr>
      <t xml:space="preserve"> (pobierane automatycznie z systemu PlanB - do przepisania z aktualnej prognozy)</t>
    </r>
  </si>
  <si>
    <r>
      <t>POZ. 12.5.</t>
    </r>
    <r>
      <rPr>
        <sz val="10"/>
        <color theme="1"/>
        <rFont val="Arial CE"/>
        <charset val="238"/>
      </rPr>
      <t xml:space="preserve"> -</t>
    </r>
    <r>
      <rPr>
        <b/>
        <sz val="9"/>
        <color theme="1"/>
        <rFont val="Arial CE"/>
        <charset val="238"/>
      </rPr>
      <t xml:space="preserve"> Wydatki na wkład krajowy  finansujący zadania bieżące i majatkowe - razem (a + b)</t>
    </r>
  </si>
  <si>
    <r>
      <t xml:space="preserve">a) </t>
    </r>
    <r>
      <rPr>
        <b/>
        <sz val="9"/>
        <color theme="1"/>
        <rFont val="Arial CE"/>
        <charset val="238"/>
      </rPr>
      <t>Suma</t>
    </r>
    <r>
      <rPr>
        <sz val="9"/>
        <color theme="1"/>
        <rFont val="Arial CE"/>
        <charset val="238"/>
      </rPr>
      <t xml:space="preserve"> kwot wyfiltrowanych z systemu PlanB  na zadaniach 001-004 oraz 002-004 z czwartą cyfrą 2 i 9 </t>
    </r>
  </si>
  <si>
    <r>
      <t>POZ. 12.5.1</t>
    </r>
    <r>
      <rPr>
        <sz val="10"/>
        <color theme="1"/>
        <rFont val="Arial CE"/>
        <charset val="238"/>
      </rPr>
      <t xml:space="preserve"> </t>
    </r>
    <r>
      <rPr>
        <b/>
        <sz val="10"/>
        <color theme="1"/>
        <rFont val="Arial CE"/>
        <charset val="238"/>
      </rPr>
      <t>-</t>
    </r>
    <r>
      <rPr>
        <b/>
        <sz val="9"/>
        <color theme="1"/>
        <rFont val="Arial CE"/>
        <charset val="238"/>
      </rPr>
      <t xml:space="preserve"> Wydatki na wkład krajowy finansujący zadania bieżące i majątkowe w związku z zawartą umową na realizację projektu</t>
    </r>
    <r>
      <rPr>
        <sz val="9"/>
        <color theme="1"/>
        <rFont val="Arial CE"/>
        <charset val="238"/>
      </rPr>
      <t xml:space="preserve">  (a - b).
Od kwot wyszczególnionych w poz. 12.5. należy odjąć kwoty zaplanowane na projekty, które nie mają jeszcze podpisanej umowy (patrz powyższe zestawienie - część II)</t>
    </r>
  </si>
  <si>
    <r>
      <t>POZ. 12.6</t>
    </r>
    <r>
      <rPr>
        <sz val="10"/>
        <color theme="1"/>
        <rFont val="Arial CE"/>
        <charset val="238"/>
      </rPr>
      <t xml:space="preserve"> </t>
    </r>
    <r>
      <rPr>
        <b/>
        <sz val="10"/>
        <color theme="1"/>
        <rFont val="Arial CE"/>
        <charset val="238"/>
      </rPr>
      <t>-</t>
    </r>
    <r>
      <rPr>
        <b/>
        <sz val="9"/>
        <color theme="1"/>
        <rFont val="Arial CE"/>
        <charset val="238"/>
      </rPr>
      <t xml:space="preserve"> Wydatki na wkład krajowy finansujący  projekty bieżące i majątkowe z min. 60% poziomem dofinansowania z UE (a - b)</t>
    </r>
  </si>
  <si>
    <r>
      <t>POZ. 12.6.1</t>
    </r>
    <r>
      <rPr>
        <sz val="10"/>
        <color theme="1"/>
        <rFont val="Arial CE"/>
        <charset val="238"/>
      </rPr>
      <t xml:space="preserve"> </t>
    </r>
    <r>
      <rPr>
        <b/>
        <sz val="10"/>
        <color theme="1"/>
        <rFont val="Arial CE"/>
        <charset val="238"/>
      </rPr>
      <t>-</t>
    </r>
    <r>
      <rPr>
        <b/>
        <sz val="9"/>
        <color theme="1"/>
        <rFont val="Arial CE"/>
        <charset val="238"/>
      </rPr>
      <t xml:space="preserve"> Wydatki na wkład krajowy na projekty z  min. 60% dofinansowania z UE - umowy zawarte (a - b)</t>
    </r>
  </si>
  <si>
    <r>
      <t>POZ. 11.3.3 -</t>
    </r>
    <r>
      <rPr>
        <b/>
        <sz val="9"/>
        <color theme="1"/>
        <rFont val="Arial CE"/>
        <charset val="238"/>
      </rPr>
      <t xml:space="preserve"> Wydatki (poz. dołożona w Planie B)
</t>
    </r>
    <r>
      <rPr>
        <b/>
        <sz val="8"/>
        <color theme="1"/>
        <rFont val="Arial CE"/>
        <charset val="238"/>
      </rPr>
      <t>W danym roku budżetowym do nowych przedsięwzięć inwestycyjnych zaliczamy zadania, na które została podpisana umowa (np. z wykonawcą) lub zostały zaciągnięte zobowiązania - mimo braku planu / poniesionych wydatków. 
Zadanie wprowadzone do WPF w danym roku budżetowym, na ktore nie zostały poniesione żadne wydatki oraz nie podpisano umów, w tym nie zaciągnięto zobowiązań traktowane jest w roku następnym jako zadanie nowe.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</si>
</sst>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6" formatCode="0.0"/>
    <numFmt numFmtId="167" formatCode="#,##0_ ;\-#,##0\ "/>
  </numFmts>
  <fonts count="17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b/>
      <sz val="11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i/>
      <sz val="10"/>
      <name val="Arial"/>
      <family val="2"/>
      <charset val="238"/>
    </font>
    <font>
      <sz val="8"/>
      <color rgb="FF0000FF"/>
      <name val="Arial CE"/>
      <family val="2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 CE"/>
      <charset val="238"/>
    </font>
    <font>
      <sz val="9"/>
      <color rgb="FF0000FF"/>
      <name val="Arial CE"/>
      <family val="2"/>
      <charset val="238"/>
    </font>
    <font>
      <b/>
      <sz val="9"/>
      <color rgb="FF0000FF"/>
      <name val="Arial CE"/>
      <charset val="238"/>
    </font>
    <font>
      <b/>
      <i/>
      <sz val="9"/>
      <color rgb="FF0000FF"/>
      <name val="Arial CE"/>
      <charset val="238"/>
    </font>
    <font>
      <sz val="8"/>
      <color rgb="FF0000FF"/>
      <name val="Arial"/>
      <family val="2"/>
      <charset val="238"/>
    </font>
    <font>
      <sz val="10"/>
      <color rgb="FF0000FF"/>
      <name val="Arial"/>
      <family val="2"/>
      <charset val="238"/>
    </font>
    <font>
      <sz val="11"/>
      <color rgb="FFFF0000"/>
      <name val="Arial CE"/>
      <family val="2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sz val="10"/>
      <color rgb="FF0000FF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1"/>
      <color rgb="FFFF0000"/>
      <name val="Arial CE"/>
      <family val="2"/>
      <charset val="238"/>
    </font>
    <font>
      <b/>
      <i/>
      <sz val="10"/>
      <color rgb="FFFF0000"/>
      <name val="Arial CE"/>
      <family val="2"/>
      <charset val="238"/>
    </font>
    <font>
      <b/>
      <i/>
      <sz val="11"/>
      <color rgb="FFFF0000"/>
      <name val="Arial CE"/>
      <family val="2"/>
      <charset val="238"/>
    </font>
    <font>
      <b/>
      <sz val="11"/>
      <name val="Arial CE"/>
      <charset val="238"/>
    </font>
    <font>
      <b/>
      <i/>
      <sz val="10"/>
      <color rgb="FFFF0000"/>
      <name val="Arial CE"/>
      <charset val="238"/>
    </font>
    <font>
      <b/>
      <i/>
      <sz val="11"/>
      <color indexed="8"/>
      <name val="Bookman Old Style"/>
      <family val="1"/>
      <charset val="238"/>
    </font>
    <font>
      <sz val="10"/>
      <color theme="1"/>
      <name val="Bookman Old Style"/>
      <family val="1"/>
      <charset val="238"/>
    </font>
    <font>
      <b/>
      <sz val="12"/>
      <color theme="1"/>
      <name val="Bookman Old Style"/>
      <family val="1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sz val="10"/>
      <color rgb="FF0000FF"/>
      <name val="Bookman Old Style"/>
      <family val="1"/>
      <charset val="238"/>
    </font>
    <font>
      <i/>
      <sz val="10"/>
      <color rgb="FFFF0000"/>
      <name val="Arial CE"/>
      <charset val="238"/>
    </font>
    <font>
      <b/>
      <i/>
      <sz val="11"/>
      <color theme="1"/>
      <name val="Bookman Old Style"/>
      <family val="1"/>
      <charset val="238"/>
    </font>
    <font>
      <sz val="11"/>
      <color theme="1"/>
      <name val="Bookman Old Style"/>
      <family val="1"/>
      <charset val="238"/>
    </font>
    <font>
      <b/>
      <sz val="8"/>
      <color rgb="FF0000FF"/>
      <name val="Arial CE"/>
      <family val="2"/>
      <charset val="238"/>
    </font>
    <font>
      <b/>
      <i/>
      <sz val="9"/>
      <color rgb="FF0000FF"/>
      <name val="Arial CE"/>
      <family val="2"/>
      <charset val="238"/>
    </font>
    <font>
      <b/>
      <i/>
      <sz val="10"/>
      <name val="Arial CE"/>
      <family val="2"/>
      <charset val="238"/>
    </font>
    <font>
      <b/>
      <i/>
      <sz val="8"/>
      <color rgb="FF0000FF"/>
      <name val="Arial CE"/>
      <family val="2"/>
      <charset val="238"/>
    </font>
    <font>
      <i/>
      <sz val="8"/>
      <color rgb="FF0000FF"/>
      <name val="Arial CE"/>
      <family val="2"/>
      <charset val="238"/>
    </font>
    <font>
      <b/>
      <sz val="16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b/>
      <sz val="10"/>
      <color theme="1"/>
      <name val="Arial CE"/>
      <family val="2"/>
      <charset val="238"/>
    </font>
    <font>
      <b/>
      <sz val="10"/>
      <color theme="1"/>
      <name val="Arial CE"/>
      <charset val="238"/>
    </font>
    <font>
      <b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sz val="9"/>
      <color theme="1"/>
      <name val="Arial CE"/>
      <charset val="238"/>
    </font>
    <font>
      <b/>
      <sz val="11"/>
      <color theme="1"/>
      <name val="Arial CE"/>
      <family val="2"/>
      <charset val="238"/>
    </font>
    <font>
      <b/>
      <sz val="11"/>
      <color theme="1"/>
      <name val="Arial CE"/>
      <charset val="238"/>
    </font>
    <font>
      <sz val="11"/>
      <color theme="1"/>
      <name val="Arial CE"/>
      <family val="2"/>
      <charset val="238"/>
    </font>
    <font>
      <b/>
      <sz val="11"/>
      <color theme="1"/>
      <name val="Arial"/>
      <family val="2"/>
      <charset val="238"/>
    </font>
    <font>
      <i/>
      <sz val="10"/>
      <color theme="1"/>
      <name val="Arial CE"/>
      <charset val="238"/>
    </font>
    <font>
      <i/>
      <sz val="10"/>
      <color theme="1"/>
      <name val="Arial CE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 CE"/>
      <charset val="238"/>
    </font>
    <font>
      <sz val="11"/>
      <color theme="1"/>
      <name val="Arial CE"/>
      <charset val="238"/>
    </font>
    <font>
      <b/>
      <sz val="8"/>
      <color theme="1"/>
      <name val="Arial CE"/>
      <charset val="238"/>
    </font>
    <font>
      <b/>
      <i/>
      <sz val="16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4"/>
      <color theme="1"/>
      <name val="Arial CE"/>
      <family val="2"/>
      <charset val="238"/>
    </font>
    <font>
      <sz val="12"/>
      <color theme="1"/>
      <name val="Arial CE"/>
      <family val="2"/>
      <charset val="238"/>
    </font>
    <font>
      <b/>
      <sz val="8"/>
      <color theme="1"/>
      <name val="Arial CE"/>
      <family val="2"/>
      <charset val="238"/>
    </font>
    <font>
      <b/>
      <sz val="9"/>
      <color theme="1"/>
      <name val="Arial CE"/>
      <charset val="238"/>
    </font>
    <font>
      <sz val="8"/>
      <color theme="1"/>
      <name val="Arial CE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 CE"/>
      <charset val="238"/>
    </font>
    <font>
      <b/>
      <sz val="12"/>
      <color theme="1"/>
      <name val="Arial CE"/>
      <charset val="238"/>
    </font>
    <font>
      <b/>
      <sz val="10"/>
      <color theme="1"/>
      <name val="Arial Black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 CE"/>
      <family val="2"/>
      <charset val="238"/>
    </font>
    <font>
      <b/>
      <sz val="9"/>
      <color theme="1"/>
      <name val="Arial Black"/>
      <family val="2"/>
      <charset val="238"/>
    </font>
    <font>
      <b/>
      <i/>
      <sz val="9"/>
      <color theme="1"/>
      <name val="Arial CE"/>
      <charset val="238"/>
    </font>
    <font>
      <b/>
      <sz val="11"/>
      <color theme="1"/>
      <name val="Arial Black"/>
      <family val="2"/>
      <charset val="238"/>
    </font>
    <font>
      <b/>
      <i/>
      <sz val="9"/>
      <color theme="1"/>
      <name val="Arial CE"/>
      <family val="2"/>
      <charset val="238"/>
    </font>
    <font>
      <i/>
      <sz val="8"/>
      <color theme="1"/>
      <name val="Arial CE"/>
      <charset val="238"/>
    </font>
    <font>
      <i/>
      <sz val="9"/>
      <color theme="1"/>
      <name val="Arial CE"/>
      <family val="2"/>
      <charset val="238"/>
    </font>
    <font>
      <i/>
      <sz val="9"/>
      <color theme="1"/>
      <name val="Arial"/>
      <family val="2"/>
      <charset val="238"/>
    </font>
    <font>
      <i/>
      <sz val="8"/>
      <color theme="1"/>
      <name val="Arial CE"/>
      <family val="2"/>
      <charset val="238"/>
    </font>
  </fonts>
  <fills count="7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rgb="FF66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FF00"/>
        <bgColor indexed="64"/>
      </patternFill>
    </fill>
  </fills>
  <borders count="27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 diagonalDown="1">
      <left/>
      <right/>
      <top/>
      <bottom/>
      <diagonal style="thin">
        <color auto="1"/>
      </diagonal>
    </border>
    <border diagonalDown="1">
      <left/>
      <right/>
      <top/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Down="1">
      <left style="thin">
        <color indexed="64"/>
      </left>
      <right/>
      <top style="medium">
        <color indexed="64"/>
      </top>
      <bottom/>
      <diagonal style="thin">
        <color auto="1"/>
      </diagonal>
    </border>
    <border diagonalDown="1">
      <left/>
      <right/>
      <top style="medium">
        <color indexed="64"/>
      </top>
      <bottom/>
      <diagonal style="thin">
        <color auto="1"/>
      </diagonal>
    </border>
    <border diagonalDown="1">
      <left/>
      <right style="thin">
        <color indexed="64"/>
      </right>
      <top style="medium">
        <color indexed="64"/>
      </top>
      <bottom/>
      <diagonal style="thin">
        <color auto="1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auto="1"/>
      </diagonal>
    </border>
    <border diagonalDown="1">
      <left style="medium">
        <color indexed="64"/>
      </left>
      <right style="medium">
        <color indexed="64"/>
      </right>
      <top/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auto="1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auto="1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Down="1">
      <left/>
      <right/>
      <top/>
      <bottom style="thin">
        <color indexed="64"/>
      </bottom>
      <diagonal style="thin">
        <color auto="1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Down="1">
      <left/>
      <right style="medium">
        <color indexed="64"/>
      </right>
      <top/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/>
      <top/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Down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/>
      <right/>
      <top style="medium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/>
      <right/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/>
      <right style="thin">
        <color indexed="64"/>
      </right>
      <top/>
      <bottom/>
      <diagonal style="thin">
        <color auto="1"/>
      </diagonal>
    </border>
    <border diagonalDown="1">
      <left style="thin">
        <color indexed="64"/>
      </left>
      <right style="medium">
        <color indexed="64"/>
      </right>
      <top/>
      <bottom/>
      <diagonal style="thin">
        <color auto="1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thin">
        <color auto="1"/>
      </top>
      <bottom/>
      <diagonal style="thin">
        <color auto="1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/>
      <right/>
      <top style="thin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/>
      <top/>
      <bottom/>
      <diagonal style="thin">
        <color auto="1"/>
      </diagonal>
    </border>
    <border diagonalDown="1">
      <left/>
      <right style="thin">
        <color indexed="64"/>
      </right>
      <top style="thin">
        <color auto="1"/>
      </top>
      <bottom/>
      <diagonal style="thin">
        <color auto="1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auto="1"/>
      </diagonal>
    </border>
    <border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auto="1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/>
      <right/>
      <top style="thin">
        <color indexed="64"/>
      </top>
      <bottom/>
      <diagonal style="thin">
        <color auto="1"/>
      </diagonal>
    </border>
    <border diagonalDown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Down="1">
      <left style="medium">
        <color indexed="64"/>
      </left>
      <right/>
      <top style="medium">
        <color indexed="64"/>
      </top>
      <bottom/>
      <diagonal style="thin">
        <color auto="1"/>
      </diagonal>
    </border>
    <border diagonalUp="1">
      <left/>
      <right/>
      <top/>
      <bottom/>
      <diagonal style="thin">
        <color auto="1"/>
      </diagonal>
    </border>
    <border diagonalUp="1">
      <left/>
      <right/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/>
      <diagonal style="thin">
        <color auto="1"/>
      </diagonal>
    </border>
    <border diagonalUp="1">
      <left/>
      <right/>
      <top style="medium">
        <color indexed="64"/>
      </top>
      <bottom/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auto="1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Up="1">
      <left/>
      <right/>
      <top/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/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/>
      <bottom/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/>
      <diagonal style="thin">
        <color auto="1"/>
      </diagonal>
    </border>
    <border diagonalUp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auto="1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/>
      <top style="thin">
        <color indexed="64"/>
      </top>
      <bottom/>
      <diagonal style="thin">
        <color auto="1"/>
      </diagonal>
    </border>
    <border diagonalUp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auto="1"/>
      </diagonal>
    </border>
  </borders>
  <cellStyleXfs count="15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" fillId="0" borderId="0"/>
    <xf numFmtId="0" fontId="2" fillId="0" borderId="0"/>
    <xf numFmtId="0" fontId="2" fillId="0" borderId="0"/>
    <xf numFmtId="0" fontId="74" fillId="0" borderId="0"/>
    <xf numFmtId="0" fontId="75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6" fillId="44" borderId="0">
      <alignment horizontal="left" vertical="top"/>
    </xf>
    <xf numFmtId="0" fontId="77" fillId="44" borderId="0">
      <alignment horizontal="center" vertical="top"/>
    </xf>
    <xf numFmtId="0" fontId="76" fillId="44" borderId="0">
      <alignment horizontal="left" vertical="top"/>
    </xf>
    <xf numFmtId="0" fontId="76" fillId="44" borderId="0">
      <alignment horizontal="left" vertical="top"/>
    </xf>
    <xf numFmtId="0" fontId="76" fillId="44" borderId="0">
      <alignment horizontal="right" vertical="top"/>
    </xf>
    <xf numFmtId="0" fontId="77" fillId="45" borderId="0">
      <alignment horizontal="left" vertical="top"/>
    </xf>
    <xf numFmtId="0" fontId="77" fillId="45" borderId="0">
      <alignment horizontal="right" vertical="top"/>
    </xf>
    <xf numFmtId="0" fontId="77" fillId="45" borderId="0">
      <alignment horizontal="right" vertical="top"/>
    </xf>
    <xf numFmtId="0" fontId="77" fillId="45" borderId="0">
      <alignment horizontal="right" vertical="top"/>
    </xf>
    <xf numFmtId="0" fontId="77" fillId="46" borderId="0">
      <alignment horizontal="left" vertical="top"/>
    </xf>
    <xf numFmtId="0" fontId="77" fillId="46" borderId="0">
      <alignment horizontal="right" vertical="top"/>
    </xf>
    <xf numFmtId="0" fontId="77" fillId="46" borderId="0">
      <alignment horizontal="right" vertical="top"/>
    </xf>
    <xf numFmtId="0" fontId="78" fillId="44" borderId="0">
      <alignment horizontal="center" vertical="top"/>
    </xf>
    <xf numFmtId="0" fontId="77" fillId="46" borderId="0">
      <alignment horizontal="right" vertical="top"/>
    </xf>
    <xf numFmtId="0" fontId="76" fillId="47" borderId="0">
      <alignment horizontal="left" vertical="top"/>
    </xf>
    <xf numFmtId="0" fontId="76" fillId="47" borderId="0">
      <alignment horizontal="right" vertical="top"/>
    </xf>
    <xf numFmtId="0" fontId="76" fillId="47" borderId="0">
      <alignment horizontal="right" vertical="top"/>
    </xf>
    <xf numFmtId="0" fontId="76" fillId="47" borderId="0">
      <alignment horizontal="right" vertical="top"/>
    </xf>
    <xf numFmtId="0" fontId="76" fillId="44" borderId="0">
      <alignment horizontal="left" vertical="top"/>
    </xf>
    <xf numFmtId="0" fontId="76" fillId="44" borderId="0">
      <alignment horizontal="right" vertical="top"/>
    </xf>
    <xf numFmtId="0" fontId="76" fillId="44" borderId="0">
      <alignment horizontal="right" vertical="top"/>
    </xf>
    <xf numFmtId="0" fontId="76" fillId="44" borderId="0">
      <alignment horizontal="right" vertical="top"/>
    </xf>
    <xf numFmtId="0" fontId="79" fillId="48" borderId="0">
      <alignment horizontal="left" vertical="top"/>
    </xf>
    <xf numFmtId="0" fontId="80" fillId="44" borderId="0">
      <alignment horizontal="left" vertical="top"/>
    </xf>
    <xf numFmtId="0" fontId="81" fillId="44" borderId="0">
      <alignment horizontal="left" vertical="top"/>
    </xf>
    <xf numFmtId="0" fontId="77" fillId="44" borderId="0">
      <alignment horizontal="right" vertical="top"/>
    </xf>
    <xf numFmtId="0" fontId="77" fillId="44" borderId="0">
      <alignment horizontal="right" vertical="top"/>
    </xf>
    <xf numFmtId="0" fontId="81" fillId="49" borderId="0">
      <alignment horizontal="left"/>
    </xf>
    <xf numFmtId="0" fontId="81" fillId="49" borderId="0">
      <alignment horizontal="left"/>
    </xf>
    <xf numFmtId="0" fontId="81" fillId="49" borderId="0">
      <alignment horizontal="right"/>
    </xf>
    <xf numFmtId="0" fontId="82" fillId="49" borderId="0">
      <alignment horizontal="right"/>
    </xf>
    <xf numFmtId="0" fontId="81" fillId="48" borderId="0">
      <alignment horizontal="left" vertical="top"/>
    </xf>
    <xf numFmtId="0" fontId="77" fillId="48" borderId="0">
      <alignment horizontal="right" vertical="top"/>
    </xf>
    <xf numFmtId="0" fontId="77" fillId="48" borderId="0">
      <alignment horizontal="right" vertical="top"/>
    </xf>
    <xf numFmtId="0" fontId="76" fillId="44" borderId="0">
      <alignment horizontal="left" vertical="center"/>
    </xf>
    <xf numFmtId="0" fontId="79" fillId="49" borderId="0">
      <alignment horizontal="left" vertical="top"/>
    </xf>
    <xf numFmtId="0" fontId="79" fillId="49" borderId="0">
      <alignment horizontal="left" vertical="top"/>
    </xf>
    <xf numFmtId="0" fontId="79" fillId="48" borderId="0">
      <alignment horizontal="left" vertical="top"/>
    </xf>
    <xf numFmtId="0" fontId="79" fillId="48" borderId="0">
      <alignment horizontal="left" vertical="top"/>
    </xf>
    <xf numFmtId="0" fontId="79" fillId="48" borderId="0">
      <alignment horizontal="left" vertical="top"/>
    </xf>
    <xf numFmtId="0" fontId="79" fillId="49" borderId="0">
      <alignment horizontal="left" vertical="top"/>
    </xf>
    <xf numFmtId="0" fontId="81" fillId="44" borderId="0">
      <alignment horizontal="left"/>
    </xf>
    <xf numFmtId="0" fontId="81" fillId="44" borderId="0">
      <alignment horizontal="left"/>
    </xf>
    <xf numFmtId="0" fontId="81" fillId="44" borderId="0">
      <alignment horizontal="right"/>
    </xf>
    <xf numFmtId="0" fontId="82" fillId="44" borderId="0">
      <alignment horizontal="right"/>
    </xf>
    <xf numFmtId="4" fontId="83" fillId="13" borderId="94" applyNumberFormat="0" applyProtection="0">
      <alignment vertical="center"/>
    </xf>
    <xf numFmtId="4" fontId="84" fillId="13" borderId="94" applyNumberFormat="0" applyProtection="0">
      <alignment vertical="center"/>
    </xf>
    <xf numFmtId="4" fontId="83" fillId="13" borderId="94" applyNumberFormat="0" applyProtection="0">
      <alignment horizontal="left" vertical="center" indent="1"/>
    </xf>
    <xf numFmtId="4" fontId="83" fillId="13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4" fontId="83" fillId="37" borderId="94" applyNumberFormat="0" applyProtection="0">
      <alignment horizontal="right" vertical="center"/>
    </xf>
    <xf numFmtId="4" fontId="83" fillId="50" borderId="94" applyNumberFormat="0" applyProtection="0">
      <alignment horizontal="right" vertical="center"/>
    </xf>
    <xf numFmtId="4" fontId="83" fillId="51" borderId="94" applyNumberFormat="0" applyProtection="0">
      <alignment horizontal="right" vertical="center"/>
    </xf>
    <xf numFmtId="4" fontId="83" fillId="12" borderId="94" applyNumberFormat="0" applyProtection="0">
      <alignment horizontal="right" vertical="center"/>
    </xf>
    <xf numFmtId="4" fontId="83" fillId="52" borderId="94" applyNumberFormat="0" applyProtection="0">
      <alignment horizontal="right" vertical="center"/>
    </xf>
    <xf numFmtId="4" fontId="83" fillId="15" borderId="94" applyNumberFormat="0" applyProtection="0">
      <alignment horizontal="right" vertical="center"/>
    </xf>
    <xf numFmtId="4" fontId="83" fillId="17" borderId="94" applyNumberFormat="0" applyProtection="0">
      <alignment horizontal="right" vertical="center"/>
    </xf>
    <xf numFmtId="4" fontId="83" fillId="16" borderId="94" applyNumberFormat="0" applyProtection="0">
      <alignment horizontal="right" vertical="center"/>
    </xf>
    <xf numFmtId="4" fontId="83" fillId="19" borderId="94" applyNumberFormat="0" applyProtection="0">
      <alignment horizontal="right" vertical="center"/>
    </xf>
    <xf numFmtId="4" fontId="85" fillId="53" borderId="94" applyNumberFormat="0" applyProtection="0">
      <alignment horizontal="left" vertical="center" indent="1"/>
    </xf>
    <xf numFmtId="4" fontId="83" fillId="54" borderId="95" applyNumberFormat="0" applyProtection="0">
      <alignment horizontal="left" vertical="center" indent="1"/>
    </xf>
    <xf numFmtId="4" fontId="86" fillId="55" borderId="0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4" fontId="7" fillId="54" borderId="94" applyNumberFormat="0" applyProtection="0">
      <alignment horizontal="left" vertical="center" indent="1"/>
    </xf>
    <xf numFmtId="4" fontId="7" fillId="56" borderId="94" applyNumberFormat="0" applyProtection="0">
      <alignment horizontal="left" vertical="center" indent="1"/>
    </xf>
    <xf numFmtId="0" fontId="2" fillId="56" borderId="94" applyNumberFormat="0" applyProtection="0">
      <alignment horizontal="left" vertical="center" indent="1"/>
    </xf>
    <xf numFmtId="0" fontId="2" fillId="56" borderId="94" applyNumberFormat="0" applyProtection="0">
      <alignment horizontal="left" vertical="center" indent="1"/>
    </xf>
    <xf numFmtId="0" fontId="2" fillId="31" borderId="94" applyNumberFormat="0" applyProtection="0">
      <alignment horizontal="left" vertical="center" indent="1"/>
    </xf>
    <xf numFmtId="0" fontId="2" fillId="31" borderId="94" applyNumberFormat="0" applyProtection="0">
      <alignment horizontal="left" vertical="center" indent="1"/>
    </xf>
    <xf numFmtId="0" fontId="2" fillId="34" borderId="94" applyNumberFormat="0" applyProtection="0">
      <alignment horizontal="left" vertical="center" indent="1"/>
    </xf>
    <xf numFmtId="0" fontId="2" fillId="34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4" fontId="83" fillId="20" borderId="94" applyNumberFormat="0" applyProtection="0">
      <alignment vertical="center"/>
    </xf>
    <xf numFmtId="4" fontId="84" fillId="20" borderId="94" applyNumberFormat="0" applyProtection="0">
      <alignment vertical="center"/>
    </xf>
    <xf numFmtId="4" fontId="83" fillId="20" borderId="94" applyNumberFormat="0" applyProtection="0">
      <alignment horizontal="left" vertical="center" indent="1"/>
    </xf>
    <xf numFmtId="4" fontId="83" fillId="20" borderId="94" applyNumberFormat="0" applyProtection="0">
      <alignment horizontal="left" vertical="center" indent="1"/>
    </xf>
    <xf numFmtId="4" fontId="83" fillId="54" borderId="94" applyNumberFormat="0" applyProtection="0">
      <alignment horizontal="right" vertical="center"/>
    </xf>
    <xf numFmtId="4" fontId="84" fillId="54" borderId="94" applyNumberFormat="0" applyProtection="0">
      <alignment horizontal="right" vertical="center"/>
    </xf>
    <xf numFmtId="0" fontId="2" fillId="11" borderId="94" applyNumberFormat="0" applyProtection="0">
      <alignment horizontal="left" vertical="center" indent="1"/>
    </xf>
    <xf numFmtId="0" fontId="2" fillId="11" borderId="94" applyNumberFormat="0" applyProtection="0">
      <alignment horizontal="left" vertical="center" indent="1"/>
    </xf>
    <xf numFmtId="0" fontId="87" fillId="0" borderId="0"/>
    <xf numFmtId="4" fontId="88" fillId="54" borderId="94" applyNumberFormat="0" applyProtection="0">
      <alignment horizontal="right" vertical="center"/>
    </xf>
    <xf numFmtId="44" fontId="75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5" fillId="0" borderId="0"/>
    <xf numFmtId="4" fontId="83" fillId="13" borderId="105" applyNumberFormat="0" applyProtection="0">
      <alignment vertical="center"/>
    </xf>
    <xf numFmtId="4" fontId="84" fillId="13" borderId="105" applyNumberFormat="0" applyProtection="0">
      <alignment vertical="center"/>
    </xf>
    <xf numFmtId="4" fontId="83" fillId="13" borderId="105" applyNumberFormat="0" applyProtection="0">
      <alignment horizontal="left" vertical="center" indent="1"/>
    </xf>
    <xf numFmtId="4" fontId="83" fillId="13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83" fillId="37" borderId="105" applyNumberFormat="0" applyProtection="0">
      <alignment horizontal="right" vertical="center"/>
    </xf>
    <xf numFmtId="4" fontId="83" fillId="50" borderId="105" applyNumberFormat="0" applyProtection="0">
      <alignment horizontal="right" vertical="center"/>
    </xf>
    <xf numFmtId="4" fontId="83" fillId="51" borderId="105" applyNumberFormat="0" applyProtection="0">
      <alignment horizontal="right" vertical="center"/>
    </xf>
    <xf numFmtId="4" fontId="83" fillId="12" borderId="105" applyNumberFormat="0" applyProtection="0">
      <alignment horizontal="right" vertical="center"/>
    </xf>
    <xf numFmtId="4" fontId="83" fillId="52" borderId="105" applyNumberFormat="0" applyProtection="0">
      <alignment horizontal="right" vertical="center"/>
    </xf>
    <xf numFmtId="4" fontId="83" fillId="15" borderId="105" applyNumberFormat="0" applyProtection="0">
      <alignment horizontal="right" vertical="center"/>
    </xf>
    <xf numFmtId="4" fontId="83" fillId="17" borderId="105" applyNumberFormat="0" applyProtection="0">
      <alignment horizontal="right" vertical="center"/>
    </xf>
    <xf numFmtId="4" fontId="83" fillId="16" borderId="105" applyNumberFormat="0" applyProtection="0">
      <alignment horizontal="right" vertical="center"/>
    </xf>
    <xf numFmtId="4" fontId="83" fillId="19" borderId="105" applyNumberFormat="0" applyProtection="0">
      <alignment horizontal="right" vertical="center"/>
    </xf>
    <xf numFmtId="4" fontId="85" fillId="53" borderId="105" applyNumberFormat="0" applyProtection="0">
      <alignment horizontal="left" vertical="center" indent="1"/>
    </xf>
    <xf numFmtId="4" fontId="83" fillId="54" borderId="106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7" fillId="54" borderId="105" applyNumberFormat="0" applyProtection="0">
      <alignment horizontal="left" vertical="center" indent="1"/>
    </xf>
    <xf numFmtId="4" fontId="7" fillId="56" borderId="105" applyNumberFormat="0" applyProtection="0">
      <alignment horizontal="left" vertical="center" indent="1"/>
    </xf>
    <xf numFmtId="0" fontId="2" fillId="56" borderId="105" applyNumberFormat="0" applyProtection="0">
      <alignment horizontal="left" vertical="center" indent="1"/>
    </xf>
    <xf numFmtId="0" fontId="2" fillId="56" borderId="105" applyNumberFormat="0" applyProtection="0">
      <alignment horizontal="left" vertical="center" indent="1"/>
    </xf>
    <xf numFmtId="0" fontId="2" fillId="31" borderId="105" applyNumberFormat="0" applyProtection="0">
      <alignment horizontal="left" vertical="center" indent="1"/>
    </xf>
    <xf numFmtId="0" fontId="2" fillId="31" borderId="105" applyNumberFormat="0" applyProtection="0">
      <alignment horizontal="left" vertical="center" indent="1"/>
    </xf>
    <xf numFmtId="0" fontId="2" fillId="34" borderId="105" applyNumberFormat="0" applyProtection="0">
      <alignment horizontal="left" vertical="center" indent="1"/>
    </xf>
    <xf numFmtId="0" fontId="2" fillId="34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83" fillId="20" borderId="105" applyNumberFormat="0" applyProtection="0">
      <alignment vertical="center"/>
    </xf>
    <xf numFmtId="4" fontId="84" fillId="20" borderId="105" applyNumberFormat="0" applyProtection="0">
      <alignment vertical="center"/>
    </xf>
    <xf numFmtId="4" fontId="83" fillId="20" borderId="105" applyNumberFormat="0" applyProtection="0">
      <alignment horizontal="left" vertical="center" indent="1"/>
    </xf>
    <xf numFmtId="4" fontId="83" fillId="20" borderId="105" applyNumberFormat="0" applyProtection="0">
      <alignment horizontal="left" vertical="center" indent="1"/>
    </xf>
    <xf numFmtId="4" fontId="83" fillId="54" borderId="105" applyNumberFormat="0" applyProtection="0">
      <alignment horizontal="right" vertical="center"/>
    </xf>
    <xf numFmtId="4" fontId="84" fillId="54" borderId="105" applyNumberFormat="0" applyProtection="0">
      <alignment horizontal="right" vertical="center"/>
    </xf>
    <xf numFmtId="0" fontId="2" fillId="11" borderId="105" applyNumberFormat="0" applyProtection="0">
      <alignment horizontal="left" vertical="center" indent="1"/>
    </xf>
    <xf numFmtId="0" fontId="2" fillId="11" borderId="105" applyNumberFormat="0" applyProtection="0">
      <alignment horizontal="left" vertical="center" indent="1"/>
    </xf>
    <xf numFmtId="4" fontId="88" fillId="54" borderId="105" applyNumberFormat="0" applyProtection="0">
      <alignment horizontal="right" vertical="center"/>
    </xf>
    <xf numFmtId="0" fontId="2" fillId="0" borderId="0"/>
  </cellStyleXfs>
  <cellXfs count="4643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6" fillId="0" borderId="14" xfId="0" applyFont="1" applyBorder="1" applyAlignment="1">
      <alignment horizontal="center"/>
    </xf>
    <xf numFmtId="0" fontId="16" fillId="0" borderId="4" xfId="0" quotePrefix="1" applyFont="1" applyBorder="1" applyAlignment="1">
      <alignment horizontal="center"/>
    </xf>
    <xf numFmtId="3" fontId="16" fillId="0" borderId="4" xfId="0" applyNumberFormat="1" applyFont="1" applyBorder="1" applyAlignment="1">
      <alignment horizontal="center"/>
    </xf>
    <xf numFmtId="3" fontId="16" fillId="0" borderId="15" xfId="0" applyNumberFormat="1" applyFont="1" applyBorder="1" applyAlignment="1">
      <alignment horizontal="center"/>
    </xf>
    <xf numFmtId="3" fontId="16" fillId="0" borderId="15" xfId="0" quotePrefix="1" applyNumberFormat="1" applyFont="1" applyBorder="1" applyAlignment="1">
      <alignment horizontal="center"/>
    </xf>
    <xf numFmtId="3" fontId="16" fillId="0" borderId="2" xfId="0" quotePrefix="1" applyNumberFormat="1" applyFont="1" applyBorder="1" applyAlignment="1">
      <alignment horizontal="center"/>
    </xf>
    <xf numFmtId="0" fontId="16" fillId="3" borderId="5" xfId="0" quotePrefix="1" applyFont="1" applyFill="1" applyBorder="1" applyAlignment="1">
      <alignment horizontal="center"/>
    </xf>
    <xf numFmtId="0" fontId="17" fillId="4" borderId="16" xfId="4" applyFont="1" applyFill="1" applyBorder="1" applyAlignment="1">
      <alignment horizontal="left" vertical="center"/>
    </xf>
    <xf numFmtId="3" fontId="17" fillId="4" borderId="17" xfId="0" applyNumberFormat="1" applyFont="1" applyFill="1" applyBorder="1" applyAlignment="1">
      <alignment horizontal="right" vertical="center" wrapText="1"/>
    </xf>
    <xf numFmtId="3" fontId="17" fillId="5" borderId="19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8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8" fillId="3" borderId="25" xfId="0" applyNumberFormat="1" applyFont="1" applyFill="1" applyBorder="1" applyAlignment="1">
      <alignment vertical="center" wrapText="1"/>
    </xf>
    <xf numFmtId="0" fontId="16" fillId="0" borderId="26" xfId="0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vertical="center" wrapText="1"/>
    </xf>
    <xf numFmtId="3" fontId="16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7" fillId="6" borderId="28" xfId="4" applyFont="1" applyFill="1" applyBorder="1" applyAlignment="1">
      <alignment horizontal="left" vertical="center"/>
    </xf>
    <xf numFmtId="3" fontId="17" fillId="6" borderId="29" xfId="0" applyNumberFormat="1" applyFont="1" applyFill="1" applyBorder="1" applyAlignment="1">
      <alignment horizontal="right" vertical="center" wrapText="1"/>
    </xf>
    <xf numFmtId="3" fontId="17" fillId="6" borderId="30" xfId="0" applyNumberFormat="1" applyFont="1" applyFill="1" applyBorder="1" applyAlignment="1">
      <alignment horizontal="right" vertical="center" wrapText="1"/>
    </xf>
    <xf numFmtId="3" fontId="17" fillId="7" borderId="32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8" borderId="20" xfId="4" applyFont="1" applyFill="1" applyBorder="1" applyAlignment="1">
      <alignment vertical="center"/>
    </xf>
    <xf numFmtId="3" fontId="20" fillId="8" borderId="9" xfId="0" applyNumberFormat="1" applyFont="1" applyFill="1" applyBorder="1" applyAlignment="1">
      <alignment horizontal="right" vertical="center" wrapText="1"/>
    </xf>
    <xf numFmtId="3" fontId="20" fillId="9" borderId="2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0" fillId="8" borderId="20" xfId="4" applyFont="1" applyFill="1" applyBorder="1" applyAlignment="1">
      <alignment vertical="center" wrapText="1"/>
    </xf>
    <xf numFmtId="3" fontId="20" fillId="8" borderId="29" xfId="0" applyNumberFormat="1" applyFont="1" applyFill="1" applyBorder="1" applyAlignment="1">
      <alignment vertical="center" wrapText="1"/>
    </xf>
    <xf numFmtId="3" fontId="20" fillId="9" borderId="32" xfId="0" applyNumberFormat="1" applyFont="1" applyFill="1" applyBorder="1" applyAlignment="1">
      <alignment vertical="center" wrapText="1"/>
    </xf>
    <xf numFmtId="0" fontId="17" fillId="6" borderId="28" xfId="4" applyFont="1" applyFill="1" applyBorder="1" applyAlignment="1">
      <alignment horizontal="left"/>
    </xf>
    <xf numFmtId="3" fontId="21" fillId="6" borderId="29" xfId="0" applyNumberFormat="1" applyFont="1" applyFill="1" applyBorder="1" applyAlignment="1">
      <alignment wrapText="1"/>
    </xf>
    <xf numFmtId="3" fontId="17" fillId="6" borderId="30" xfId="0" applyNumberFormat="1" applyFont="1" applyFill="1" applyBorder="1" applyAlignment="1">
      <alignment wrapText="1"/>
    </xf>
    <xf numFmtId="3" fontId="21" fillId="6" borderId="30" xfId="0" applyNumberFormat="1" applyFont="1" applyFill="1" applyBorder="1" applyAlignment="1">
      <alignment wrapText="1"/>
    </xf>
    <xf numFmtId="0" fontId="19" fillId="0" borderId="0" xfId="0" applyFont="1" applyFill="1" applyBorder="1" applyAlignment="1"/>
    <xf numFmtId="3" fontId="22" fillId="8" borderId="29" xfId="0" applyNumberFormat="1" applyFont="1" applyFill="1" applyBorder="1" applyAlignment="1">
      <alignment vertical="center" wrapText="1"/>
    </xf>
    <xf numFmtId="3" fontId="18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2" fillId="8" borderId="30" xfId="0" applyNumberFormat="1" applyFont="1" applyFill="1" applyBorder="1" applyAlignment="1">
      <alignment vertical="center" wrapText="1"/>
    </xf>
    <xf numFmtId="0" fontId="16" fillId="0" borderId="28" xfId="0" applyFont="1" applyFill="1" applyBorder="1" applyAlignment="1">
      <alignment vertical="center" wrapText="1"/>
    </xf>
    <xf numFmtId="3" fontId="16" fillId="0" borderId="9" xfId="0" applyNumberFormat="1" applyFont="1" applyFill="1" applyBorder="1" applyAlignment="1">
      <alignment vertical="center" wrapText="1"/>
    </xf>
    <xf numFmtId="3" fontId="16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3" fontId="16" fillId="0" borderId="13" xfId="0" applyNumberFormat="1" applyFont="1" applyFill="1" applyBorder="1" applyAlignment="1">
      <alignment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3" fontId="17" fillId="4" borderId="44" xfId="0" applyNumberFormat="1" applyFont="1" applyFill="1" applyBorder="1" applyAlignment="1">
      <alignment horizontal="right" vertical="center" wrapText="1"/>
    </xf>
    <xf numFmtId="3" fontId="17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6" fillId="0" borderId="27" xfId="0" applyNumberFormat="1" applyFont="1" applyFill="1" applyBorder="1" applyAlignment="1">
      <alignment vertical="center" wrapText="1"/>
    </xf>
    <xf numFmtId="3" fontId="17" fillId="6" borderId="34" xfId="0" applyNumberFormat="1" applyFont="1" applyFill="1" applyBorder="1" applyAlignment="1">
      <alignment horizontal="right" vertical="center" wrapText="1"/>
    </xf>
    <xf numFmtId="3" fontId="17" fillId="7" borderId="49" xfId="0" applyNumberFormat="1" applyFont="1" applyFill="1" applyBorder="1" applyAlignment="1">
      <alignment horizontal="right" vertical="center" wrapText="1"/>
    </xf>
    <xf numFmtId="3" fontId="22" fillId="8" borderId="9" xfId="0" applyNumberFormat="1" applyFont="1" applyFill="1" applyBorder="1" applyAlignment="1">
      <alignment horizontal="right" vertical="center" wrapText="1"/>
    </xf>
    <xf numFmtId="3" fontId="20" fillId="8" borderId="35" xfId="0" applyNumberFormat="1" applyFont="1" applyFill="1" applyBorder="1" applyAlignment="1">
      <alignment horizontal="right" vertical="center" wrapText="1"/>
    </xf>
    <xf numFmtId="3" fontId="22" fillId="8" borderId="35" xfId="0" applyNumberFormat="1" applyFont="1" applyFill="1" applyBorder="1" applyAlignment="1">
      <alignment horizontal="right" vertical="center" wrapText="1"/>
    </xf>
    <xf numFmtId="3" fontId="22" fillId="8" borderId="36" xfId="0" applyNumberFormat="1" applyFont="1" applyFill="1" applyBorder="1" applyAlignment="1">
      <alignment horizontal="right" vertical="center" wrapText="1"/>
    </xf>
    <xf numFmtId="3" fontId="22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43" fontId="22" fillId="8" borderId="29" xfId="1" applyFont="1" applyFill="1" applyBorder="1" applyAlignment="1">
      <alignment vertical="center" wrapText="1"/>
    </xf>
    <xf numFmtId="3" fontId="22" fillId="8" borderId="34" xfId="0" applyNumberFormat="1" applyFont="1" applyFill="1" applyBorder="1" applyAlignment="1">
      <alignment vertical="center" wrapText="1"/>
    </xf>
    <xf numFmtId="3" fontId="21" fillId="6" borderId="29" xfId="0" applyNumberFormat="1" applyFont="1" applyFill="1" applyBorder="1" applyAlignment="1">
      <alignment vertical="center" wrapText="1"/>
    </xf>
    <xf numFmtId="3" fontId="17" fillId="6" borderId="30" xfId="0" applyNumberFormat="1" applyFont="1" applyFill="1" applyBorder="1" applyAlignment="1">
      <alignment vertical="center" wrapText="1"/>
    </xf>
    <xf numFmtId="3" fontId="21" fillId="6" borderId="30" xfId="0" applyNumberFormat="1" applyFont="1" applyFill="1" applyBorder="1" applyAlignment="1">
      <alignment vertical="center" wrapText="1"/>
    </xf>
    <xf numFmtId="43" fontId="21" fillId="6" borderId="30" xfId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43" fontId="22" fillId="8" borderId="30" xfId="1" applyFont="1" applyFill="1" applyBorder="1" applyAlignment="1">
      <alignment vertical="center" wrapText="1"/>
    </xf>
    <xf numFmtId="0" fontId="23" fillId="4" borderId="38" xfId="0" applyFont="1" applyFill="1" applyBorder="1" applyAlignment="1">
      <alignment vertical="center"/>
    </xf>
    <xf numFmtId="3" fontId="21" fillId="4" borderId="39" xfId="0" applyNumberFormat="1" applyFont="1" applyFill="1" applyBorder="1" applyAlignment="1">
      <alignment vertical="center" wrapText="1"/>
    </xf>
    <xf numFmtId="3" fontId="17" fillId="4" borderId="39" xfId="0" applyNumberFormat="1" applyFont="1" applyFill="1" applyBorder="1" applyAlignment="1">
      <alignment vertical="center" wrapText="1"/>
    </xf>
    <xf numFmtId="3" fontId="21" fillId="4" borderId="50" xfId="0" applyNumberFormat="1" applyFont="1" applyFill="1" applyBorder="1" applyAlignment="1">
      <alignment vertical="center" wrapText="1"/>
    </xf>
    <xf numFmtId="3" fontId="21" fillId="4" borderId="51" xfId="0" applyNumberFormat="1" applyFont="1" applyFill="1" applyBorder="1" applyAlignment="1">
      <alignment vertical="center" wrapText="1"/>
    </xf>
    <xf numFmtId="3" fontId="21" fillId="4" borderId="52" xfId="0" applyNumberFormat="1" applyFont="1" applyFill="1" applyBorder="1" applyAlignment="1">
      <alignment vertical="center" wrapText="1"/>
    </xf>
    <xf numFmtId="3" fontId="21" fillId="4" borderId="12" xfId="0" applyNumberFormat="1" applyFont="1" applyFill="1" applyBorder="1" applyAlignment="1">
      <alignment vertical="center" wrapText="1"/>
    </xf>
    <xf numFmtId="3" fontId="17" fillId="4" borderId="12" xfId="0" applyNumberFormat="1" applyFont="1" applyFill="1" applyBorder="1" applyAlignment="1">
      <alignment vertical="center" wrapText="1"/>
    </xf>
    <xf numFmtId="3" fontId="21" fillId="4" borderId="23" xfId="0" applyNumberFormat="1" applyFont="1" applyFill="1" applyBorder="1" applyAlignment="1">
      <alignment vertical="center" wrapText="1"/>
    </xf>
    <xf numFmtId="3" fontId="21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1" fillId="2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Alignment="1">
      <alignment vertical="center"/>
    </xf>
    <xf numFmtId="0" fontId="19" fillId="2" borderId="0" xfId="0" applyFont="1" applyFill="1" applyBorder="1" applyAlignment="1">
      <alignment vertical="center"/>
    </xf>
    <xf numFmtId="0" fontId="17" fillId="13" borderId="53" xfId="4" applyFont="1" applyFill="1" applyBorder="1" applyAlignment="1">
      <alignment horizontal="left" vertical="center"/>
    </xf>
    <xf numFmtId="3" fontId="21" fillId="13" borderId="54" xfId="0" applyNumberFormat="1" applyFont="1" applyFill="1" applyBorder="1" applyAlignment="1">
      <alignment vertical="center" wrapText="1"/>
    </xf>
    <xf numFmtId="3" fontId="21" fillId="13" borderId="55" xfId="0" applyNumberFormat="1" applyFont="1" applyFill="1" applyBorder="1" applyAlignment="1">
      <alignment vertical="center" wrapText="1"/>
    </xf>
    <xf numFmtId="3" fontId="21" fillId="13" borderId="56" xfId="0" applyNumberFormat="1" applyFont="1" applyFill="1" applyBorder="1" applyAlignment="1">
      <alignment vertical="center" wrapText="1"/>
    </xf>
    <xf numFmtId="0" fontId="25" fillId="13" borderId="20" xfId="0" applyFont="1" applyFill="1" applyBorder="1" applyAlignment="1">
      <alignment vertical="center"/>
    </xf>
    <xf numFmtId="3" fontId="26" fillId="13" borderId="35" xfId="0" applyNumberFormat="1" applyFont="1" applyFill="1" applyBorder="1" applyAlignment="1">
      <alignment vertical="center" wrapText="1"/>
    </xf>
    <xf numFmtId="3" fontId="26" fillId="13" borderId="7" xfId="0" applyNumberFormat="1" applyFont="1" applyFill="1" applyBorder="1" applyAlignment="1">
      <alignment vertical="center" wrapText="1"/>
    </xf>
    <xf numFmtId="3" fontId="26" fillId="13" borderId="21" xfId="0" applyNumberFormat="1" applyFont="1" applyFill="1" applyBorder="1" applyAlignment="1">
      <alignment vertical="center" wrapText="1"/>
    </xf>
    <xf numFmtId="0" fontId="17" fillId="13" borderId="57" xfId="4" applyFont="1" applyFill="1" applyBorder="1" applyAlignment="1">
      <alignment horizontal="left" vertical="center"/>
    </xf>
    <xf numFmtId="3" fontId="21" fillId="13" borderId="58" xfId="0" applyNumberFormat="1" applyFont="1" applyFill="1" applyBorder="1" applyAlignment="1">
      <alignment vertical="center" wrapText="1"/>
    </xf>
    <xf numFmtId="3" fontId="21" fillId="13" borderId="59" xfId="0" applyNumberFormat="1" applyFont="1" applyFill="1" applyBorder="1" applyAlignment="1">
      <alignment horizontal="center" vertical="center" wrapText="1"/>
    </xf>
    <xf numFmtId="3" fontId="21" fillId="2" borderId="0" xfId="0" applyNumberFormat="1" applyFont="1" applyFill="1" applyBorder="1" applyAlignment="1">
      <alignment horizontal="center" vertical="center" wrapText="1"/>
    </xf>
    <xf numFmtId="3" fontId="21" fillId="13" borderId="60" xfId="0" applyNumberFormat="1" applyFont="1" applyFill="1" applyBorder="1" applyAlignment="1">
      <alignment horizontal="center" vertical="center" wrapText="1"/>
    </xf>
    <xf numFmtId="0" fontId="27" fillId="13" borderId="0" xfId="4" applyFont="1" applyFill="1" applyBorder="1" applyAlignment="1">
      <alignment horizontal="center" vertical="center"/>
    </xf>
    <xf numFmtId="3" fontId="21" fillId="13" borderId="0" xfId="0" applyNumberFormat="1" applyFont="1" applyFill="1" applyBorder="1" applyAlignment="1">
      <alignment vertical="center" wrapText="1"/>
    </xf>
    <xf numFmtId="0" fontId="17" fillId="13" borderId="0" xfId="4" applyFont="1" applyFill="1" applyBorder="1" applyAlignment="1">
      <alignment horizontal="left" vertical="center"/>
    </xf>
    <xf numFmtId="0" fontId="17" fillId="0" borderId="0" xfId="4" applyFont="1" applyFill="1" applyBorder="1" applyAlignment="1">
      <alignment horizontal="left" vertical="center"/>
    </xf>
    <xf numFmtId="3" fontId="21" fillId="0" borderId="0" xfId="0" applyNumberFormat="1" applyFont="1" applyFill="1" applyBorder="1" applyAlignment="1">
      <alignment vertical="center" wrapText="1"/>
    </xf>
    <xf numFmtId="0" fontId="17" fillId="0" borderId="53" xfId="4" applyFont="1" applyFill="1" applyBorder="1" applyAlignment="1">
      <alignment horizontal="left" vertical="center"/>
    </xf>
    <xf numFmtId="3" fontId="21" fillId="0" borderId="54" xfId="0" applyNumberFormat="1" applyFont="1" applyFill="1" applyBorder="1" applyAlignment="1">
      <alignment vertical="center" wrapText="1"/>
    </xf>
    <xf numFmtId="3" fontId="21" fillId="0" borderId="55" xfId="0" applyNumberFormat="1" applyFont="1" applyFill="1" applyBorder="1" applyAlignment="1">
      <alignment vertical="center" wrapText="1"/>
    </xf>
    <xf numFmtId="0" fontId="28" fillId="0" borderId="20" xfId="0" applyFont="1" applyFill="1" applyBorder="1" applyAlignment="1">
      <alignment vertical="center"/>
    </xf>
    <xf numFmtId="3" fontId="29" fillId="0" borderId="35" xfId="0" applyNumberFormat="1" applyFont="1" applyFill="1" applyBorder="1" applyAlignment="1">
      <alignment vertical="center" wrapText="1"/>
    </xf>
    <xf numFmtId="3" fontId="26" fillId="0" borderId="7" xfId="0" applyNumberFormat="1" applyFont="1" applyFill="1" applyBorder="1" applyAlignment="1">
      <alignment vertical="center" wrapText="1"/>
    </xf>
    <xf numFmtId="0" fontId="17" fillId="13" borderId="61" xfId="4" applyFont="1" applyFill="1" applyBorder="1" applyAlignment="1">
      <alignment horizontal="left" vertical="center"/>
    </xf>
    <xf numFmtId="3" fontId="21" fillId="13" borderId="61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22" fillId="0" borderId="13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5" xfId="0" applyFont="1" applyBorder="1" applyAlignment="1">
      <alignment horizontal="center" vertical="center"/>
    </xf>
    <xf numFmtId="0" fontId="22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0" fillId="2" borderId="0" xfId="0" applyNumberFormat="1" applyFont="1" applyFill="1" applyBorder="1" applyAlignment="1">
      <alignment vertical="center" wrapText="1"/>
    </xf>
    <xf numFmtId="3" fontId="30" fillId="14" borderId="0" xfId="0" applyNumberFormat="1" applyFont="1" applyFill="1" applyBorder="1" applyAlignment="1">
      <alignment vertical="center" wrapText="1"/>
    </xf>
    <xf numFmtId="3" fontId="30" fillId="2" borderId="67" xfId="0" applyNumberFormat="1" applyFont="1" applyFill="1" applyBorder="1" applyAlignment="1">
      <alignment vertical="center" wrapText="1"/>
    </xf>
    <xf numFmtId="3" fontId="16" fillId="2" borderId="68" xfId="0" applyNumberFormat="1" applyFont="1" applyFill="1" applyBorder="1" applyAlignment="1">
      <alignment vertical="center" wrapText="1"/>
    </xf>
    <xf numFmtId="3" fontId="16" fillId="2" borderId="24" xfId="0" applyNumberFormat="1" applyFont="1" applyFill="1" applyBorder="1" applyAlignment="1">
      <alignment vertical="center" wrapText="1"/>
    </xf>
    <xf numFmtId="3" fontId="30" fillId="2" borderId="24" xfId="0" applyNumberFormat="1" applyFont="1" applyFill="1" applyBorder="1" applyAlignment="1">
      <alignment vertical="center" wrapText="1"/>
    </xf>
    <xf numFmtId="3" fontId="30" fillId="14" borderId="24" xfId="0" applyNumberFormat="1" applyFont="1" applyFill="1" applyBorder="1" applyAlignment="1">
      <alignment vertical="center" wrapText="1"/>
    </xf>
    <xf numFmtId="3" fontId="30" fillId="2" borderId="69" xfId="0" applyNumberFormat="1" applyFont="1" applyFill="1" applyBorder="1" applyAlignment="1">
      <alignment vertical="center" wrapText="1"/>
    </xf>
    <xf numFmtId="3" fontId="31" fillId="0" borderId="0" xfId="0" applyNumberFormat="1" applyFont="1" applyFill="1" applyBorder="1" applyAlignment="1">
      <alignment vertical="center" wrapText="1"/>
    </xf>
    <xf numFmtId="3" fontId="19" fillId="0" borderId="0" xfId="0" applyNumberFormat="1" applyFont="1" applyFill="1" applyBorder="1" applyAlignment="1">
      <alignment vertical="center" wrapText="1"/>
    </xf>
    <xf numFmtId="3" fontId="19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2" fillId="6" borderId="20" xfId="0" applyFont="1" applyFill="1" applyBorder="1" applyAlignment="1">
      <alignment vertical="center" wrapText="1"/>
    </xf>
    <xf numFmtId="3" fontId="33" fillId="6" borderId="70" xfId="0" applyNumberFormat="1" applyFont="1" applyFill="1" applyBorder="1"/>
    <xf numFmtId="3" fontId="18" fillId="6" borderId="70" xfId="0" applyNumberFormat="1" applyFont="1" applyFill="1" applyBorder="1"/>
    <xf numFmtId="3" fontId="33" fillId="6" borderId="30" xfId="0" applyNumberFormat="1" applyFont="1" applyFill="1" applyBorder="1"/>
    <xf numFmtId="3" fontId="33" fillId="6" borderId="29" xfId="0" applyNumberFormat="1" applyFont="1" applyFill="1" applyBorder="1"/>
    <xf numFmtId="3" fontId="18" fillId="6" borderId="35" xfId="0" applyNumberFormat="1" applyFont="1" applyFill="1" applyBorder="1"/>
    <xf numFmtId="0" fontId="16" fillId="6" borderId="28" xfId="0" applyFont="1" applyFill="1" applyBorder="1" applyAlignment="1">
      <alignment vertical="center" wrapText="1"/>
    </xf>
    <xf numFmtId="3" fontId="18" fillId="6" borderId="71" xfId="0" applyNumberFormat="1" applyFont="1" applyFill="1" applyBorder="1"/>
    <xf numFmtId="3" fontId="18" fillId="6" borderId="71" xfId="0" applyNumberFormat="1" applyFont="1" applyFill="1" applyBorder="1" applyAlignment="1">
      <alignment vertical="center"/>
    </xf>
    <xf numFmtId="3" fontId="18" fillId="6" borderId="30" xfId="0" applyNumberFormat="1" applyFont="1" applyFill="1" applyBorder="1"/>
    <xf numFmtId="3" fontId="18" fillId="6" borderId="63" xfId="0" applyNumberFormat="1" applyFont="1" applyFill="1" applyBorder="1"/>
    <xf numFmtId="0" fontId="16" fillId="6" borderId="37" xfId="0" applyFont="1" applyFill="1" applyBorder="1" applyAlignment="1">
      <alignment vertical="center" wrapText="1"/>
    </xf>
    <xf numFmtId="3" fontId="15" fillId="6" borderId="47" xfId="0" applyNumberFormat="1" applyFont="1" applyFill="1" applyBorder="1"/>
    <xf numFmtId="3" fontId="15" fillId="6" borderId="72" xfId="0" applyNumberFormat="1" applyFont="1" applyFill="1" applyBorder="1"/>
    <xf numFmtId="3" fontId="18" fillId="6" borderId="47" xfId="0" applyNumberFormat="1" applyFont="1" applyFill="1" applyBorder="1"/>
    <xf numFmtId="3" fontId="34" fillId="12" borderId="0" xfId="0" applyNumberFormat="1" applyFont="1" applyFill="1" applyBorder="1"/>
    <xf numFmtId="3" fontId="35" fillId="12" borderId="0" xfId="0" applyNumberFormat="1" applyFont="1" applyFill="1" applyBorder="1"/>
    <xf numFmtId="3" fontId="34" fillId="12" borderId="27" xfId="0" applyNumberFormat="1" applyFont="1" applyFill="1" applyBorder="1"/>
    <xf numFmtId="3" fontId="34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4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6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6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4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0" fontId="16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6" fillId="8" borderId="28" xfId="0" applyFont="1" applyFill="1" applyBorder="1" applyAlignment="1">
      <alignment vertical="center" wrapText="1"/>
    </xf>
    <xf numFmtId="0" fontId="16" fillId="8" borderId="28" xfId="0" applyFont="1" applyFill="1" applyBorder="1" applyAlignment="1">
      <alignment vertical="center"/>
    </xf>
    <xf numFmtId="0" fontId="16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6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6" fillId="17" borderId="0" xfId="0" applyFont="1" applyFill="1" applyBorder="1" applyAlignment="1">
      <alignment vertical="center" wrapText="1"/>
    </xf>
    <xf numFmtId="3" fontId="35" fillId="17" borderId="0" xfId="0" applyNumberFormat="1" applyFont="1" applyFill="1" applyBorder="1"/>
    <xf numFmtId="3" fontId="35" fillId="17" borderId="13" xfId="0" applyNumberFormat="1" applyFont="1" applyFill="1" applyBorder="1"/>
    <xf numFmtId="3" fontId="35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5" fillId="8" borderId="0" xfId="0" applyNumberFormat="1" applyFont="1" applyFill="1" applyBorder="1"/>
    <xf numFmtId="3" fontId="35" fillId="8" borderId="13" xfId="0" applyNumberFormat="1" applyFont="1" applyFill="1" applyBorder="1"/>
    <xf numFmtId="3" fontId="35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6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2" fillId="17" borderId="0" xfId="0" applyNumberFormat="1" applyFont="1" applyFill="1" applyBorder="1"/>
    <xf numFmtId="3" fontId="22" fillId="17" borderId="13" xfId="0" applyNumberFormat="1" applyFont="1" applyFill="1" applyBorder="1"/>
    <xf numFmtId="3" fontId="22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16" fillId="11" borderId="20" xfId="0" applyFont="1" applyFill="1" applyBorder="1" applyAlignment="1">
      <alignment vertical="center" wrapText="1"/>
    </xf>
    <xf numFmtId="3" fontId="18" fillId="11" borderId="70" xfId="0" applyNumberFormat="1" applyFont="1" applyFill="1" applyBorder="1"/>
    <xf numFmtId="3" fontId="18" fillId="11" borderId="79" xfId="0" applyNumberFormat="1" applyFont="1" applyFill="1" applyBorder="1"/>
    <xf numFmtId="3" fontId="18" fillId="11" borderId="19" xfId="0" applyNumberFormat="1" applyFont="1" applyFill="1" applyBorder="1"/>
    <xf numFmtId="3" fontId="18" fillId="11" borderId="17" xfId="0" applyNumberFormat="1" applyFont="1" applyFill="1" applyBorder="1"/>
    <xf numFmtId="0" fontId="16" fillId="11" borderId="28" xfId="0" applyFont="1" applyFill="1" applyBorder="1" applyAlignment="1">
      <alignment vertical="center" wrapText="1"/>
    </xf>
    <xf numFmtId="3" fontId="18" fillId="11" borderId="30" xfId="0" applyNumberFormat="1" applyFont="1" applyFill="1" applyBorder="1"/>
    <xf numFmtId="3" fontId="18" fillId="11" borderId="71" xfId="0" applyNumberFormat="1" applyFont="1" applyFill="1" applyBorder="1"/>
    <xf numFmtId="3" fontId="18" fillId="11" borderId="32" xfId="0" applyNumberFormat="1" applyFont="1" applyFill="1" applyBorder="1"/>
    <xf numFmtId="3" fontId="18" fillId="11" borderId="29" xfId="0" applyNumberFormat="1" applyFont="1" applyFill="1" applyBorder="1"/>
    <xf numFmtId="0" fontId="16" fillId="11" borderId="73" xfId="0" applyFont="1" applyFill="1" applyBorder="1" applyAlignment="1">
      <alignment vertical="center" wrapText="1"/>
    </xf>
    <xf numFmtId="0" fontId="16" fillId="11" borderId="37" xfId="0" applyFont="1" applyFill="1" applyBorder="1" applyAlignment="1">
      <alignment vertical="center" wrapText="1"/>
    </xf>
    <xf numFmtId="3" fontId="18" fillId="11" borderId="47" xfId="0" applyNumberFormat="1" applyFont="1" applyFill="1" applyBorder="1"/>
    <xf numFmtId="3" fontId="18" fillId="11" borderId="75" xfId="0" applyNumberFormat="1" applyFont="1" applyFill="1" applyBorder="1"/>
    <xf numFmtId="3" fontId="18" fillId="11" borderId="77" xfId="0" applyNumberFormat="1" applyFont="1" applyFill="1" applyBorder="1"/>
    <xf numFmtId="3" fontId="18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4" fillId="18" borderId="51" xfId="0" applyNumberFormat="1" applyFont="1" applyFill="1" applyBorder="1" applyAlignment="1">
      <alignment vertical="top"/>
    </xf>
    <xf numFmtId="3" fontId="35" fillId="18" borderId="51" xfId="0" applyNumberFormat="1" applyFont="1" applyFill="1" applyBorder="1" applyAlignment="1">
      <alignment vertical="top"/>
    </xf>
    <xf numFmtId="3" fontId="34" fillId="18" borderId="39" xfId="0" applyNumberFormat="1" applyFont="1" applyFill="1" applyBorder="1" applyAlignment="1">
      <alignment vertical="top"/>
    </xf>
    <xf numFmtId="3" fontId="34" fillId="18" borderId="52" xfId="0" applyNumberFormat="1" applyFont="1" applyFill="1" applyBorder="1" applyAlignment="1">
      <alignment vertical="top"/>
    </xf>
    <xf numFmtId="3" fontId="34" fillId="18" borderId="50" xfId="0" applyNumberFormat="1" applyFont="1" applyFill="1" applyBorder="1" applyAlignment="1">
      <alignment vertical="top"/>
    </xf>
    <xf numFmtId="0" fontId="34" fillId="0" borderId="0" xfId="0" applyFont="1" applyBorder="1" applyAlignment="1">
      <alignment horizontal="right"/>
    </xf>
    <xf numFmtId="3" fontId="34" fillId="2" borderId="0" xfId="0" applyNumberFormat="1" applyFont="1" applyFill="1" applyBorder="1" applyAlignment="1">
      <alignment vertical="top"/>
    </xf>
    <xf numFmtId="3" fontId="35" fillId="2" borderId="0" xfId="0" applyNumberFormat="1" applyFont="1" applyFill="1" applyBorder="1" applyAlignment="1">
      <alignment vertical="top"/>
    </xf>
    <xf numFmtId="3" fontId="34" fillId="2" borderId="13" xfId="0" applyNumberFormat="1" applyFont="1" applyFill="1" applyBorder="1" applyAlignment="1">
      <alignment vertical="top"/>
    </xf>
    <xf numFmtId="3" fontId="34" fillId="2" borderId="11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3" fillId="11" borderId="70" xfId="0" applyNumberFormat="1" applyFont="1" applyFill="1" applyBorder="1"/>
    <xf numFmtId="3" fontId="3" fillId="11" borderId="30" xfId="0" applyNumberFormat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4" fillId="0" borderId="0" xfId="0" applyNumberFormat="1" applyFont="1" applyBorder="1"/>
    <xf numFmtId="3" fontId="35" fillId="0" borderId="0" xfId="0" applyNumberFormat="1" applyFont="1" applyBorder="1"/>
    <xf numFmtId="3" fontId="34" fillId="0" borderId="13" xfId="0" applyNumberFormat="1" applyFont="1" applyBorder="1"/>
    <xf numFmtId="3" fontId="34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0" fontId="36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39" fillId="0" borderId="0" xfId="0" applyFont="1" applyFill="1" applyAlignment="1"/>
    <xf numFmtId="0" fontId="41" fillId="0" borderId="0" xfId="0" applyFont="1" applyFill="1" applyAlignment="1"/>
    <xf numFmtId="0" fontId="42" fillId="2" borderId="0" xfId="3" applyFont="1" applyFill="1" applyBorder="1" applyAlignment="1">
      <alignment horizontal="right" vertical="center"/>
    </xf>
    <xf numFmtId="0" fontId="43" fillId="2" borderId="0" xfId="0" applyFont="1" applyFill="1" applyBorder="1" applyAlignment="1">
      <alignment horizontal="right" vertical="center"/>
    </xf>
    <xf numFmtId="0" fontId="41" fillId="0" borderId="0" xfId="0" applyFont="1" applyFill="1" applyAlignment="1">
      <alignment horizontal="left"/>
    </xf>
    <xf numFmtId="0" fontId="45" fillId="0" borderId="5" xfId="4" applyFont="1" applyBorder="1" applyAlignment="1">
      <alignment horizontal="center" vertical="top"/>
    </xf>
    <xf numFmtId="0" fontId="45" fillId="0" borderId="66" xfId="4" applyFont="1" applyBorder="1" applyAlignment="1">
      <alignment horizontal="center" vertical="top"/>
    </xf>
    <xf numFmtId="3" fontId="7" fillId="0" borderId="0" xfId="0" applyNumberFormat="1" applyFont="1"/>
    <xf numFmtId="0" fontId="45" fillId="0" borderId="25" xfId="4" applyFont="1" applyBorder="1" applyAlignment="1">
      <alignment horizontal="center" vertical="top"/>
    </xf>
    <xf numFmtId="0" fontId="45" fillId="0" borderId="69" xfId="4" applyFont="1" applyBorder="1" applyAlignment="1">
      <alignment horizontal="center" vertical="top"/>
    </xf>
    <xf numFmtId="0" fontId="52" fillId="0" borderId="12" xfId="0" applyFont="1" applyBorder="1" applyAlignment="1">
      <alignment horizontal="center" vertical="center"/>
    </xf>
    <xf numFmtId="0" fontId="46" fillId="0" borderId="52" xfId="4" applyFont="1" applyBorder="1" applyAlignment="1">
      <alignment horizontal="center" vertical="center"/>
    </xf>
    <xf numFmtId="0" fontId="46" fillId="0" borderId="80" xfId="4" applyFont="1" applyBorder="1" applyAlignment="1">
      <alignment horizontal="center" vertical="center"/>
    </xf>
    <xf numFmtId="0" fontId="50" fillId="0" borderId="38" xfId="0" applyFont="1" applyBorder="1" applyAlignment="1">
      <alignment horizontal="center" vertical="center" wrapText="1"/>
    </xf>
    <xf numFmtId="0" fontId="50" fillId="0" borderId="51" xfId="6" applyFont="1" applyBorder="1" applyAlignment="1">
      <alignment horizontal="center" vertical="center" wrapText="1"/>
    </xf>
    <xf numFmtId="0" fontId="50" fillId="0" borderId="39" xfId="0" applyFont="1" applyBorder="1" applyAlignment="1">
      <alignment horizontal="center" vertical="center" wrapText="1"/>
    </xf>
    <xf numFmtId="0" fontId="46" fillId="0" borderId="50" xfId="0" applyFont="1" applyBorder="1" applyAlignment="1">
      <alignment horizontal="center" vertical="center"/>
    </xf>
    <xf numFmtId="0" fontId="49" fillId="0" borderId="50" xfId="4" applyFont="1" applyBorder="1" applyAlignment="1">
      <alignment horizontal="center" vertical="center" wrapText="1"/>
    </xf>
    <xf numFmtId="0" fontId="50" fillId="0" borderId="50" xfId="6" applyFont="1" applyBorder="1" applyAlignment="1">
      <alignment horizontal="center" vertical="center"/>
    </xf>
    <xf numFmtId="0" fontId="50" fillId="0" borderId="39" xfId="6" applyFont="1" applyBorder="1" applyAlignment="1">
      <alignment horizontal="center" vertical="center"/>
    </xf>
    <xf numFmtId="0" fontId="50" fillId="19" borderId="39" xfId="0" applyFont="1" applyFill="1" applyBorder="1" applyAlignment="1">
      <alignment horizontal="center" vertical="center" wrapText="1"/>
    </xf>
    <xf numFmtId="0" fontId="49" fillId="0" borderId="80" xfId="4" applyFont="1" applyBorder="1" applyAlignment="1">
      <alignment horizontal="center" vertical="center" wrapText="1"/>
    </xf>
    <xf numFmtId="3" fontId="55" fillId="22" borderId="70" xfId="4" applyNumberFormat="1" applyFont="1" applyFill="1" applyBorder="1" applyAlignment="1">
      <alignment horizontal="right" vertical="center"/>
    </xf>
    <xf numFmtId="3" fontId="46" fillId="8" borderId="43" xfId="4" applyNumberFormat="1" applyFont="1" applyFill="1" applyBorder="1" applyAlignment="1">
      <alignment vertical="top" wrapText="1"/>
    </xf>
    <xf numFmtId="3" fontId="55" fillId="22" borderId="13" xfId="4" applyNumberFormat="1" applyFont="1" applyFill="1" applyBorder="1" applyAlignment="1">
      <alignment horizontal="right" vertical="center"/>
    </xf>
    <xf numFmtId="0" fontId="53" fillId="6" borderId="45" xfId="4" applyFont="1" applyFill="1" applyBorder="1" applyAlignment="1">
      <alignment horizontal="left" vertical="center"/>
    </xf>
    <xf numFmtId="0" fontId="53" fillId="6" borderId="18" xfId="4" applyFont="1" applyFill="1" applyBorder="1" applyAlignment="1">
      <alignment horizontal="left" vertical="center"/>
    </xf>
    <xf numFmtId="3" fontId="52" fillId="6" borderId="70" xfId="4" applyNumberFormat="1" applyFont="1" applyFill="1" applyBorder="1" applyAlignment="1">
      <alignment vertical="top"/>
    </xf>
    <xf numFmtId="3" fontId="52" fillId="23" borderId="70" xfId="4" applyNumberFormat="1" applyFont="1" applyFill="1" applyBorder="1" applyAlignment="1">
      <alignment vertical="top"/>
    </xf>
    <xf numFmtId="0" fontId="57" fillId="8" borderId="36" xfId="4" applyFont="1" applyFill="1" applyBorder="1" applyAlignment="1">
      <alignment vertical="top"/>
    </xf>
    <xf numFmtId="0" fontId="57" fillId="8" borderId="28" xfId="4" applyFont="1" applyFill="1" applyBorder="1" applyAlignment="1">
      <alignment vertical="top"/>
    </xf>
    <xf numFmtId="3" fontId="57" fillId="8" borderId="29" xfId="4" applyNumberFormat="1" applyFont="1" applyFill="1" applyBorder="1" applyAlignment="1">
      <alignment vertical="top"/>
    </xf>
    <xf numFmtId="3" fontId="57" fillId="24" borderId="30" xfId="4" applyNumberFormat="1" applyFont="1" applyFill="1" applyBorder="1" applyAlignment="1">
      <alignment vertical="top"/>
    </xf>
    <xf numFmtId="3" fontId="58" fillId="8" borderId="43" xfId="4" applyNumberFormat="1" applyFont="1" applyFill="1" applyBorder="1" applyAlignment="1">
      <alignment vertical="top" wrapText="1"/>
    </xf>
    <xf numFmtId="0" fontId="32" fillId="8" borderId="36" xfId="4" applyFont="1" applyFill="1" applyBorder="1" applyAlignment="1">
      <alignment vertical="top"/>
    </xf>
    <xf numFmtId="0" fontId="32" fillId="8" borderId="20" xfId="4" applyFont="1" applyFill="1" applyBorder="1" applyAlignment="1">
      <alignment vertical="top"/>
    </xf>
    <xf numFmtId="3" fontId="32" fillId="8" borderId="29" xfId="4" applyNumberFormat="1" applyFont="1" applyFill="1" applyBorder="1" applyAlignment="1">
      <alignment vertical="top"/>
    </xf>
    <xf numFmtId="3" fontId="59" fillId="24" borderId="30" xfId="4" applyNumberFormat="1" applyFont="1" applyFill="1" applyBorder="1" applyAlignment="1">
      <alignment horizontal="right" vertical="center"/>
    </xf>
    <xf numFmtId="3" fontId="32" fillId="8" borderId="34" xfId="4" applyNumberFormat="1" applyFont="1" applyFill="1" applyBorder="1" applyAlignment="1">
      <alignment vertical="top" wrapText="1"/>
    </xf>
    <xf numFmtId="3" fontId="32" fillId="8" borderId="28" xfId="4" applyNumberFormat="1" applyFont="1" applyFill="1" applyBorder="1" applyAlignment="1">
      <alignment vertical="top" wrapText="1"/>
    </xf>
    <xf numFmtId="0" fontId="46" fillId="8" borderId="43" xfId="4" applyFont="1" applyFill="1" applyBorder="1" applyAlignment="1">
      <alignment vertical="top" wrapText="1"/>
    </xf>
    <xf numFmtId="0" fontId="57" fillId="8" borderId="20" xfId="4" applyFont="1" applyFill="1" applyBorder="1" applyAlignment="1">
      <alignment vertical="top"/>
    </xf>
    <xf numFmtId="3" fontId="55" fillId="24" borderId="30" xfId="4" applyNumberFormat="1" applyFont="1" applyFill="1" applyBorder="1" applyAlignment="1">
      <alignment vertical="top"/>
    </xf>
    <xf numFmtId="0" fontId="58" fillId="8" borderId="43" xfId="4" applyFont="1" applyFill="1" applyBorder="1" applyAlignment="1">
      <alignment vertical="top" wrapText="1"/>
    </xf>
    <xf numFmtId="0" fontId="32" fillId="8" borderId="34" xfId="4" applyFont="1" applyFill="1" applyBorder="1" applyAlignment="1">
      <alignment vertical="top"/>
    </xf>
    <xf numFmtId="0" fontId="32" fillId="8" borderId="28" xfId="4" applyFont="1" applyFill="1" applyBorder="1" applyAlignment="1">
      <alignment vertical="top"/>
    </xf>
    <xf numFmtId="3" fontId="59" fillId="8" borderId="29" xfId="4" applyNumberFormat="1" applyFont="1" applyFill="1" applyBorder="1" applyAlignment="1">
      <alignment vertical="top"/>
    </xf>
    <xf numFmtId="3" fontId="32" fillId="24" borderId="30" xfId="4" applyNumberFormat="1" applyFont="1" applyFill="1" applyBorder="1" applyAlignment="1">
      <alignment vertical="top"/>
    </xf>
    <xf numFmtId="0" fontId="32" fillId="8" borderId="34" xfId="4" applyFont="1" applyFill="1" applyBorder="1" applyAlignment="1">
      <alignment vertical="top" wrapText="1"/>
    </xf>
    <xf numFmtId="0" fontId="32" fillId="8" borderId="28" xfId="4" applyFont="1" applyFill="1" applyBorder="1" applyAlignment="1">
      <alignment vertical="top" wrapText="1"/>
    </xf>
    <xf numFmtId="0" fontId="32" fillId="8" borderId="32" xfId="4" applyFont="1" applyFill="1" applyBorder="1" applyAlignment="1">
      <alignment vertical="top" wrapText="1"/>
    </xf>
    <xf numFmtId="0" fontId="53" fillId="6" borderId="32" xfId="4" applyFont="1" applyFill="1" applyBorder="1" applyAlignment="1">
      <alignment horizontal="left" vertical="center"/>
    </xf>
    <xf numFmtId="0" fontId="53" fillId="6" borderId="28" xfId="4" applyFont="1" applyFill="1" applyBorder="1" applyAlignment="1">
      <alignment horizontal="left" vertical="center"/>
    </xf>
    <xf numFmtId="3" fontId="53" fillId="6" borderId="29" xfId="4" applyNumberFormat="1" applyFont="1" applyFill="1" applyBorder="1" applyAlignment="1">
      <alignment vertical="top"/>
    </xf>
    <xf numFmtId="3" fontId="55" fillId="8" borderId="32" xfId="4" applyNumberFormat="1" applyFont="1" applyFill="1" applyBorder="1" applyAlignment="1">
      <alignment vertical="top" wrapText="1"/>
    </xf>
    <xf numFmtId="3" fontId="55" fillId="8" borderId="28" xfId="4" applyNumberFormat="1" applyFont="1" applyFill="1" applyBorder="1" applyAlignment="1">
      <alignment vertical="top" wrapText="1"/>
    </xf>
    <xf numFmtId="3" fontId="55" fillId="8" borderId="29" xfId="4" applyNumberFormat="1" applyFont="1" applyFill="1" applyBorder="1" applyAlignment="1">
      <alignment vertical="top"/>
    </xf>
    <xf numFmtId="3" fontId="55" fillId="8" borderId="20" xfId="4" applyNumberFormat="1" applyFont="1" applyFill="1" applyBorder="1" applyAlignment="1">
      <alignment vertical="top" wrapText="1"/>
    </xf>
    <xf numFmtId="0" fontId="32" fillId="8" borderId="21" xfId="4" applyFont="1" applyFill="1" applyBorder="1" applyAlignment="1">
      <alignment horizontal="left" vertical="center"/>
    </xf>
    <xf numFmtId="0" fontId="32" fillId="8" borderId="20" xfId="4" applyFont="1" applyFill="1" applyBorder="1" applyAlignment="1">
      <alignment horizontal="left" vertical="center"/>
    </xf>
    <xf numFmtId="3" fontId="32" fillId="8" borderId="20" xfId="4" applyNumberFormat="1" applyFont="1" applyFill="1" applyBorder="1" applyAlignment="1">
      <alignment horizontal="left" vertical="center"/>
    </xf>
    <xf numFmtId="0" fontId="55" fillId="8" borderId="32" xfId="4" applyFont="1" applyFill="1" applyBorder="1" applyAlignment="1">
      <alignment vertical="top"/>
    </xf>
    <xf numFmtId="0" fontId="55" fillId="8" borderId="28" xfId="4" applyFont="1" applyFill="1" applyBorder="1" applyAlignment="1">
      <alignment vertical="top"/>
    </xf>
    <xf numFmtId="3" fontId="32" fillId="8" borderId="30" xfId="4" applyNumberFormat="1" applyFont="1" applyFill="1" applyBorder="1" applyAlignment="1">
      <alignment vertical="top"/>
    </xf>
    <xf numFmtId="0" fontId="32" fillId="8" borderId="28" xfId="4" applyFont="1" applyFill="1" applyBorder="1" applyAlignment="1">
      <alignment vertical="center"/>
    </xf>
    <xf numFmtId="0" fontId="32" fillId="8" borderId="77" xfId="4" applyFont="1" applyFill="1" applyBorder="1" applyAlignment="1">
      <alignment vertical="center"/>
    </xf>
    <xf numFmtId="0" fontId="32" fillId="8" borderId="22" xfId="4" applyFont="1" applyFill="1" applyBorder="1" applyAlignment="1">
      <alignment vertical="center"/>
    </xf>
    <xf numFmtId="3" fontId="32" fillId="8" borderId="12" xfId="4" applyNumberFormat="1" applyFont="1" applyFill="1" applyBorder="1" applyAlignment="1">
      <alignment vertical="top"/>
    </xf>
    <xf numFmtId="0" fontId="52" fillId="13" borderId="6" xfId="4" applyFont="1" applyFill="1" applyBorder="1" applyAlignment="1">
      <alignment vertical="top" wrapText="1"/>
    </xf>
    <xf numFmtId="0" fontId="32" fillId="13" borderId="0" xfId="4" applyFont="1" applyFill="1" applyBorder="1" applyAlignment="1">
      <alignment horizontal="right" vertical="center"/>
    </xf>
    <xf numFmtId="3" fontId="52" fillId="13" borderId="35" xfId="4" applyNumberFormat="1" applyFont="1" applyFill="1" applyBorder="1" applyAlignment="1">
      <alignment horizontal="right" vertical="center"/>
    </xf>
    <xf numFmtId="164" fontId="52" fillId="13" borderId="35" xfId="4" applyNumberFormat="1" applyFont="1" applyFill="1" applyBorder="1" applyAlignment="1">
      <alignment horizontal="right" vertical="center"/>
    </xf>
    <xf numFmtId="3" fontId="32" fillId="13" borderId="35" xfId="4" applyNumberFormat="1" applyFont="1" applyFill="1" applyBorder="1" applyAlignment="1">
      <alignment horizontal="right" vertical="center"/>
    </xf>
    <xf numFmtId="3" fontId="32" fillId="13" borderId="10" xfId="4" applyNumberFormat="1" applyFont="1" applyFill="1" applyBorder="1" applyAlignment="1">
      <alignment horizontal="right" vertical="center"/>
    </xf>
    <xf numFmtId="3" fontId="32" fillId="25" borderId="10" xfId="4" applyNumberFormat="1" applyFont="1" applyFill="1" applyBorder="1" applyAlignment="1">
      <alignment horizontal="right" vertical="center"/>
    </xf>
    <xf numFmtId="3" fontId="46" fillId="13" borderId="43" xfId="4" applyNumberFormat="1" applyFont="1" applyFill="1" applyBorder="1" applyAlignment="1">
      <alignment horizontal="center" vertical="top"/>
    </xf>
    <xf numFmtId="0" fontId="53" fillId="6" borderId="34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horizontal="right" vertical="center"/>
    </xf>
    <xf numFmtId="3" fontId="52" fillId="23" borderId="30" xfId="4" applyNumberFormat="1" applyFont="1" applyFill="1" applyBorder="1" applyAlignment="1">
      <alignment horizontal="right" vertical="center"/>
    </xf>
    <xf numFmtId="3" fontId="57" fillId="13" borderId="34" xfId="4" applyNumberFormat="1" applyFont="1" applyFill="1" applyBorder="1" applyAlignment="1">
      <alignment vertical="top" wrapText="1"/>
    </xf>
    <xf numFmtId="3" fontId="57" fillId="13" borderId="28" xfId="4" applyNumberFormat="1" applyFont="1" applyFill="1" applyBorder="1" applyAlignment="1">
      <alignment vertical="top" wrapText="1"/>
    </xf>
    <xf numFmtId="3" fontId="57" fillId="13" borderId="29" xfId="4" applyNumberFormat="1" applyFont="1" applyFill="1" applyBorder="1" applyAlignment="1">
      <alignment horizontal="right" vertical="center"/>
    </xf>
    <xf numFmtId="3" fontId="57" fillId="25" borderId="29" xfId="4" applyNumberFormat="1" applyFont="1" applyFill="1" applyBorder="1" applyAlignment="1">
      <alignment horizontal="right" vertical="center"/>
    </xf>
    <xf numFmtId="3" fontId="32" fillId="13" borderId="34" xfId="4" applyNumberFormat="1" applyFont="1" applyFill="1" applyBorder="1" applyAlignment="1">
      <alignment vertical="top" wrapText="1"/>
    </xf>
    <xf numFmtId="3" fontId="32" fillId="13" borderId="28" xfId="4" applyNumberFormat="1" applyFont="1" applyFill="1" applyBorder="1" applyAlignment="1">
      <alignment vertical="top" wrapText="1"/>
    </xf>
    <xf numFmtId="3" fontId="32" fillId="13" borderId="29" xfId="4" applyNumberFormat="1" applyFont="1" applyFill="1" applyBorder="1" applyAlignment="1">
      <alignment horizontal="right" vertical="center"/>
    </xf>
    <xf numFmtId="3" fontId="59" fillId="26" borderId="29" xfId="4" applyNumberFormat="1" applyFont="1" applyFill="1" applyBorder="1" applyAlignment="1">
      <alignment horizontal="right" vertical="center"/>
    </xf>
    <xf numFmtId="0" fontId="46" fillId="13" borderId="43" xfId="4" applyFont="1" applyFill="1" applyBorder="1" applyAlignment="1">
      <alignment horizontal="center" vertical="top"/>
    </xf>
    <xf numFmtId="0" fontId="32" fillId="13" borderId="34" xfId="4" applyFont="1" applyFill="1" applyBorder="1" applyAlignment="1">
      <alignment vertical="top"/>
    </xf>
    <xf numFmtId="0" fontId="32" fillId="13" borderId="28" xfId="4" applyFont="1" applyFill="1" applyBorder="1" applyAlignment="1">
      <alignment vertical="top"/>
    </xf>
    <xf numFmtId="0" fontId="57" fillId="13" borderId="34" xfId="4" applyFont="1" applyFill="1" applyBorder="1" applyAlignment="1">
      <alignment vertical="top"/>
    </xf>
    <xf numFmtId="0" fontId="57" fillId="13" borderId="28" xfId="4" applyFont="1" applyFill="1" applyBorder="1" applyAlignment="1">
      <alignment vertical="top"/>
    </xf>
    <xf numFmtId="3" fontId="57" fillId="25" borderId="30" xfId="4" applyNumberFormat="1" applyFont="1" applyFill="1" applyBorder="1" applyAlignment="1">
      <alignment horizontal="right" vertical="center"/>
    </xf>
    <xf numFmtId="3" fontId="60" fillId="13" borderId="29" xfId="6" applyNumberFormat="1" applyFont="1" applyFill="1" applyBorder="1" applyAlignment="1">
      <alignment vertical="center"/>
    </xf>
    <xf numFmtId="3" fontId="32" fillId="13" borderId="81" xfId="4" applyNumberFormat="1" applyFont="1" applyFill="1" applyBorder="1" applyAlignment="1">
      <alignment vertical="top" wrapText="1"/>
    </xf>
    <xf numFmtId="3" fontId="32" fillId="13" borderId="73" xfId="4" applyNumberFormat="1" applyFont="1" applyFill="1" applyBorder="1" applyAlignment="1">
      <alignment vertical="top" wrapText="1"/>
    </xf>
    <xf numFmtId="3" fontId="60" fillId="13" borderId="65" xfId="6" applyNumberFormat="1" applyFont="1" applyFill="1" applyBorder="1" applyAlignment="1">
      <alignment vertical="center"/>
    </xf>
    <xf numFmtId="3" fontId="52" fillId="25" borderId="30" xfId="4" applyNumberFormat="1" applyFont="1" applyFill="1" applyBorder="1" applyAlignment="1">
      <alignment horizontal="right" vertical="center"/>
    </xf>
    <xf numFmtId="3" fontId="55" fillId="13" borderId="34" xfId="4" applyNumberFormat="1" applyFont="1" applyFill="1" applyBorder="1" applyAlignment="1">
      <alignment vertical="top" wrapText="1"/>
    </xf>
    <xf numFmtId="3" fontId="55" fillId="13" borderId="20" xfId="4" applyNumberFormat="1" applyFont="1" applyFill="1" applyBorder="1" applyAlignment="1">
      <alignment vertical="top" wrapText="1"/>
    </xf>
    <xf numFmtId="3" fontId="61" fillId="13" borderId="9" xfId="6" applyNumberFormat="1" applyFont="1" applyFill="1" applyBorder="1" applyAlignment="1">
      <alignment vertical="center"/>
    </xf>
    <xf numFmtId="0" fontId="32" fillId="13" borderId="36" xfId="4" applyFont="1" applyFill="1" applyBorder="1" applyAlignment="1">
      <alignment horizontal="left" vertical="center"/>
    </xf>
    <xf numFmtId="0" fontId="32" fillId="13" borderId="20" xfId="4" applyFont="1" applyFill="1" applyBorder="1" applyAlignment="1">
      <alignment horizontal="left" vertical="center"/>
    </xf>
    <xf numFmtId="0" fontId="55" fillId="13" borderId="34" xfId="4" applyFont="1" applyFill="1" applyBorder="1" applyAlignment="1">
      <alignment vertical="top"/>
    </xf>
    <xf numFmtId="0" fontId="55" fillId="13" borderId="28" xfId="4" applyFont="1" applyFill="1" applyBorder="1" applyAlignment="1">
      <alignment vertical="top"/>
    </xf>
    <xf numFmtId="3" fontId="61" fillId="13" borderId="29" xfId="6" applyNumberFormat="1" applyFont="1" applyFill="1" applyBorder="1" applyAlignment="1">
      <alignment vertical="center"/>
    </xf>
    <xf numFmtId="0" fontId="32" fillId="13" borderId="77" xfId="4" applyFont="1" applyFill="1" applyBorder="1" applyAlignment="1">
      <alignment vertical="center"/>
    </xf>
    <xf numFmtId="0" fontId="32" fillId="13" borderId="37" xfId="4" applyFont="1" applyFill="1" applyBorder="1" applyAlignment="1">
      <alignment vertical="center"/>
    </xf>
    <xf numFmtId="3" fontId="60" fillId="13" borderId="72" xfId="6" applyNumberFormat="1" applyFont="1" applyFill="1" applyBorder="1" applyAlignment="1">
      <alignment vertical="center"/>
    </xf>
    <xf numFmtId="3" fontId="46" fillId="13" borderId="41" xfId="4" applyNumberFormat="1" applyFont="1" applyFill="1" applyBorder="1" applyAlignment="1">
      <alignment horizontal="center" vertical="top"/>
    </xf>
    <xf numFmtId="0" fontId="52" fillId="8" borderId="45" xfId="4" applyFont="1" applyFill="1" applyBorder="1" applyAlignment="1">
      <alignment vertical="top" wrapText="1"/>
    </xf>
    <xf numFmtId="0" fontId="52" fillId="8" borderId="14" xfId="4" applyFont="1" applyFill="1" applyBorder="1" applyAlignment="1">
      <alignment horizontal="center" vertical="top" wrapText="1"/>
    </xf>
    <xf numFmtId="3" fontId="52" fillId="8" borderId="4" xfId="4" applyNumberFormat="1" applyFont="1" applyFill="1" applyBorder="1" applyAlignment="1"/>
    <xf numFmtId="3" fontId="52" fillId="8" borderId="70" xfId="4" applyNumberFormat="1" applyFont="1" applyFill="1" applyBorder="1" applyAlignment="1">
      <alignment horizontal="right" vertical="center"/>
    </xf>
    <xf numFmtId="3" fontId="52" fillId="8" borderId="17" xfId="4" applyNumberFormat="1" applyFont="1" applyFill="1" applyBorder="1" applyAlignment="1">
      <alignment horizontal="right" vertical="center"/>
    </xf>
    <xf numFmtId="3" fontId="52" fillId="8" borderId="2" xfId="4" applyNumberFormat="1" applyFont="1" applyFill="1" applyBorder="1" applyAlignment="1">
      <alignment horizontal="right" vertical="center"/>
    </xf>
    <xf numFmtId="3" fontId="52" fillId="24" borderId="2" xfId="4" applyNumberFormat="1" applyFont="1" applyFill="1" applyBorder="1" applyAlignment="1">
      <alignment horizontal="right" vertical="center"/>
    </xf>
    <xf numFmtId="0" fontId="48" fillId="0" borderId="42" xfId="4" applyFont="1" applyFill="1" applyBorder="1" applyAlignment="1">
      <alignment horizontal="center" vertical="center" wrapText="1"/>
    </xf>
    <xf numFmtId="3" fontId="53" fillId="6" borderId="29" xfId="4" applyNumberFormat="1" applyFont="1" applyFill="1" applyBorder="1" applyAlignment="1"/>
    <xf numFmtId="3" fontId="53" fillId="6" borderId="30" xfId="4" applyNumberFormat="1" applyFont="1" applyFill="1" applyBorder="1" applyAlignment="1"/>
    <xf numFmtId="3" fontId="52" fillId="6" borderId="30" xfId="4" applyNumberFormat="1" applyFont="1" applyFill="1" applyBorder="1" applyAlignment="1"/>
    <xf numFmtId="3" fontId="52" fillId="23" borderId="30" xfId="4" applyNumberFormat="1" applyFont="1" applyFill="1" applyBorder="1" applyAlignment="1"/>
    <xf numFmtId="3" fontId="55" fillId="2" borderId="34" xfId="4" applyNumberFormat="1" applyFont="1" applyFill="1" applyBorder="1" applyAlignment="1">
      <alignment vertical="top" wrapText="1"/>
    </xf>
    <xf numFmtId="3" fontId="55" fillId="0" borderId="29" xfId="4" applyNumberFormat="1" applyFont="1" applyFill="1" applyBorder="1" applyAlignment="1"/>
    <xf numFmtId="3" fontId="55" fillId="26" borderId="29" xfId="4" applyNumberFormat="1" applyFont="1" applyFill="1" applyBorder="1" applyAlignment="1"/>
    <xf numFmtId="0" fontId="59" fillId="0" borderId="34" xfId="4" applyFont="1" applyFill="1" applyBorder="1" applyAlignment="1">
      <alignment vertical="top"/>
    </xf>
    <xf numFmtId="3" fontId="59" fillId="0" borderId="65" xfId="4" applyNumberFormat="1" applyFont="1" applyFill="1" applyBorder="1" applyAlignment="1"/>
    <xf numFmtId="3" fontId="59" fillId="0" borderId="29" xfId="4" applyNumberFormat="1" applyFont="1" applyFill="1" applyBorder="1" applyAlignment="1"/>
    <xf numFmtId="3" fontId="32" fillId="0" borderId="29" xfId="4" applyNumberFormat="1" applyFont="1" applyFill="1" applyBorder="1" applyAlignment="1"/>
    <xf numFmtId="3" fontId="59" fillId="26" borderId="30" xfId="4" applyNumberFormat="1" applyFont="1" applyFill="1" applyBorder="1" applyAlignment="1">
      <alignment horizontal="right" vertical="center"/>
    </xf>
    <xf numFmtId="3" fontId="60" fillId="0" borderId="65" xfId="6" applyNumberFormat="1" applyFont="1" applyFill="1" applyBorder="1" applyAlignment="1">
      <alignment vertical="center"/>
    </xf>
    <xf numFmtId="3" fontId="32" fillId="0" borderId="63" xfId="4" applyNumberFormat="1" applyFont="1" applyFill="1" applyBorder="1" applyAlignment="1">
      <alignment horizontal="right" vertical="center"/>
    </xf>
    <xf numFmtId="3" fontId="61" fillId="0" borderId="65" xfId="6" applyNumberFormat="1" applyFont="1" applyFill="1" applyBorder="1" applyAlignment="1">
      <alignment vertical="center"/>
    </xf>
    <xf numFmtId="3" fontId="32" fillId="0" borderId="30" xfId="4" applyNumberFormat="1" applyFont="1" applyFill="1" applyBorder="1" applyAlignment="1">
      <alignment horizontal="right" vertical="center"/>
    </xf>
    <xf numFmtId="3" fontId="32" fillId="0" borderId="29" xfId="4" applyNumberFormat="1" applyFont="1" applyFill="1" applyBorder="1" applyAlignment="1">
      <alignment horizontal="right" vertical="center"/>
    </xf>
    <xf numFmtId="0" fontId="55" fillId="2" borderId="34" xfId="4" applyFont="1" applyFill="1" applyBorder="1" applyAlignment="1">
      <alignment vertical="top"/>
    </xf>
    <xf numFmtId="3" fontId="61" fillId="0" borderId="29" xfId="6" applyNumberFormat="1" applyFont="1" applyFill="1" applyBorder="1" applyAlignment="1">
      <alignment vertical="center"/>
    </xf>
    <xf numFmtId="3" fontId="61" fillId="0" borderId="30" xfId="6" applyNumberFormat="1" applyFont="1" applyFill="1" applyBorder="1" applyAlignment="1">
      <alignment vertical="center"/>
    </xf>
    <xf numFmtId="3" fontId="61" fillId="26" borderId="30" xfId="6" applyNumberFormat="1" applyFont="1" applyFill="1" applyBorder="1" applyAlignment="1">
      <alignment vertical="center"/>
    </xf>
    <xf numFmtId="3" fontId="32" fillId="0" borderId="65" xfId="4" applyNumberFormat="1" applyFont="1" applyFill="1" applyBorder="1" applyAlignment="1">
      <alignment horizontal="right" vertical="center"/>
    </xf>
    <xf numFmtId="0" fontId="59" fillId="0" borderId="81" xfId="4" applyFont="1" applyFill="1" applyBorder="1" applyAlignment="1">
      <alignment vertical="top"/>
    </xf>
    <xf numFmtId="3" fontId="52" fillId="6" borderId="29" xfId="4" applyNumberFormat="1" applyFont="1" applyFill="1" applyBorder="1" applyAlignment="1"/>
    <xf numFmtId="3" fontId="61" fillId="0" borderId="9" xfId="6" applyNumberFormat="1" applyFont="1" applyFill="1" applyBorder="1" applyAlignment="1">
      <alignment vertical="center"/>
    </xf>
    <xf numFmtId="3" fontId="60" fillId="0" borderId="29" xfId="6" applyNumberFormat="1" applyFont="1" applyFill="1" applyBorder="1" applyAlignment="1">
      <alignment vertical="center"/>
    </xf>
    <xf numFmtId="3" fontId="60" fillId="0" borderId="30" xfId="6" applyNumberFormat="1" applyFont="1" applyFill="1" applyBorder="1" applyAlignment="1">
      <alignment vertical="center"/>
    </xf>
    <xf numFmtId="0" fontId="59" fillId="0" borderId="83" xfId="4" applyFont="1" applyFill="1" applyBorder="1" applyAlignment="1">
      <alignment vertical="center"/>
    </xf>
    <xf numFmtId="3" fontId="60" fillId="0" borderId="23" xfId="6" applyNumberFormat="1" applyFont="1" applyFill="1" applyBorder="1" applyAlignment="1">
      <alignment vertical="center"/>
    </xf>
    <xf numFmtId="3" fontId="32" fillId="0" borderId="12" xfId="4" applyNumberFormat="1" applyFont="1" applyFill="1" applyBorder="1" applyAlignment="1">
      <alignment horizontal="right" vertical="center"/>
    </xf>
    <xf numFmtId="3" fontId="32" fillId="0" borderId="23" xfId="4" applyNumberFormat="1" applyFont="1" applyFill="1" applyBorder="1" applyAlignment="1">
      <alignment horizontal="right" vertical="center"/>
    </xf>
    <xf numFmtId="3" fontId="32" fillId="0" borderId="74" xfId="4" applyNumberFormat="1" applyFont="1" applyFill="1" applyBorder="1" applyAlignment="1">
      <alignment horizontal="right" vertical="center"/>
    </xf>
    <xf numFmtId="0" fontId="52" fillId="8" borderId="14" xfId="4" applyFont="1" applyFill="1" applyBorder="1" applyAlignment="1">
      <alignment horizontal="center" vertical="center" wrapText="1"/>
    </xf>
    <xf numFmtId="3" fontId="32" fillId="8" borderId="4" xfId="4" applyNumberFormat="1" applyFont="1" applyFill="1" applyBorder="1" applyAlignment="1">
      <alignment horizontal="right" vertical="center"/>
    </xf>
    <xf numFmtId="3" fontId="32" fillId="8" borderId="17" xfId="4" applyNumberFormat="1" applyFont="1" applyFill="1" applyBorder="1" applyAlignment="1">
      <alignment horizontal="right" vertical="center"/>
    </xf>
    <xf numFmtId="3" fontId="32" fillId="8" borderId="70" xfId="4" applyNumberFormat="1" applyFont="1" applyFill="1" applyBorder="1" applyAlignment="1">
      <alignment horizontal="right" vertical="center"/>
    </xf>
    <xf numFmtId="3" fontId="52" fillId="24" borderId="3" xfId="4" applyNumberFormat="1" applyFont="1" applyFill="1" applyBorder="1" applyAlignment="1">
      <alignment horizontal="right" vertical="center"/>
    </xf>
    <xf numFmtId="3" fontId="53" fillId="6" borderId="29" xfId="4" applyNumberFormat="1" applyFont="1" applyFill="1" applyBorder="1" applyAlignment="1">
      <alignment horizontal="right" vertical="center"/>
    </xf>
    <xf numFmtId="3" fontId="53" fillId="6" borderId="30" xfId="4" applyNumberFormat="1" applyFont="1" applyFill="1" applyBorder="1" applyAlignment="1">
      <alignment horizontal="right" vertical="center"/>
    </xf>
    <xf numFmtId="3" fontId="53" fillId="23" borderId="30" xfId="4" applyNumberFormat="1" applyFont="1" applyFill="1" applyBorder="1" applyAlignment="1">
      <alignment horizontal="right" vertical="center"/>
    </xf>
    <xf numFmtId="3" fontId="55" fillId="0" borderId="29" xfId="4" applyNumberFormat="1" applyFont="1" applyFill="1" applyBorder="1" applyAlignment="1">
      <alignment horizontal="right" vertical="center"/>
    </xf>
    <xf numFmtId="3" fontId="55" fillId="26" borderId="30" xfId="4" applyNumberFormat="1" applyFont="1" applyFill="1" applyBorder="1" applyAlignment="1">
      <alignment horizontal="right" vertical="center"/>
    </xf>
    <xf numFmtId="3" fontId="55" fillId="26" borderId="0" xfId="4" applyNumberFormat="1" applyFont="1" applyFill="1" applyBorder="1" applyAlignment="1">
      <alignment horizontal="right" vertical="center"/>
    </xf>
    <xf numFmtId="0" fontId="32" fillId="0" borderId="34" xfId="4" applyFont="1" applyFill="1" applyBorder="1" applyAlignment="1">
      <alignment vertical="top"/>
    </xf>
    <xf numFmtId="3" fontId="59" fillId="0" borderId="65" xfId="4" applyNumberFormat="1" applyFont="1" applyFill="1" applyBorder="1" applyAlignment="1">
      <alignment horizontal="right" vertical="center"/>
    </xf>
    <xf numFmtId="3" fontId="59" fillId="26" borderId="0" xfId="4" applyNumberFormat="1" applyFont="1" applyFill="1" applyBorder="1" applyAlignment="1">
      <alignment horizontal="right" vertical="center"/>
    </xf>
    <xf numFmtId="3" fontId="59" fillId="0" borderId="63" xfId="4" applyNumberFormat="1" applyFont="1" applyFill="1" applyBorder="1" applyAlignment="1">
      <alignment horizontal="right" vertical="center"/>
    </xf>
    <xf numFmtId="3" fontId="61" fillId="26" borderId="0" xfId="6" applyNumberFormat="1" applyFont="1" applyFill="1" applyBorder="1" applyAlignment="1">
      <alignment vertical="center"/>
    </xf>
    <xf numFmtId="0" fontId="32" fillId="0" borderId="81" xfId="4" applyFont="1" applyFill="1" applyBorder="1" applyAlignment="1">
      <alignment vertical="top"/>
    </xf>
    <xf numFmtId="0" fontId="32" fillId="0" borderId="83" xfId="4" applyFont="1" applyFill="1" applyBorder="1" applyAlignment="1">
      <alignment vertical="center"/>
    </xf>
    <xf numFmtId="3" fontId="32" fillId="0" borderId="47" xfId="4" applyNumberFormat="1" applyFont="1" applyFill="1" applyBorder="1" applyAlignment="1">
      <alignment horizontal="right" vertical="center"/>
    </xf>
    <xf numFmtId="3" fontId="32" fillId="0" borderId="72" xfId="4" applyNumberFormat="1" applyFont="1" applyFill="1" applyBorder="1" applyAlignment="1">
      <alignment horizontal="right" vertical="center"/>
    </xf>
    <xf numFmtId="0" fontId="52" fillId="8" borderId="45" xfId="4" applyFont="1" applyFill="1" applyBorder="1" applyAlignment="1">
      <alignment vertical="center" wrapText="1"/>
    </xf>
    <xf numFmtId="3" fontId="59" fillId="0" borderId="30" xfId="4" applyNumberFormat="1" applyFont="1" applyFill="1" applyBorder="1" applyAlignment="1">
      <alignment horizontal="right" vertical="center"/>
    </xf>
    <xf numFmtId="0" fontId="32" fillId="0" borderId="77" xfId="4" applyFont="1" applyFill="1" applyBorder="1" applyAlignment="1">
      <alignment vertical="center"/>
    </xf>
    <xf numFmtId="3" fontId="60" fillId="0" borderId="12" xfId="6" applyNumberFormat="1" applyFont="1" applyFill="1" applyBorder="1" applyAlignment="1">
      <alignment vertical="center"/>
    </xf>
    <xf numFmtId="3" fontId="59" fillId="0" borderId="47" xfId="4" applyNumberFormat="1" applyFont="1" applyFill="1" applyBorder="1" applyAlignment="1">
      <alignment horizontal="right" vertical="center"/>
    </xf>
    <xf numFmtId="3" fontId="32" fillId="8" borderId="18" xfId="4" applyNumberFormat="1" applyFont="1" applyFill="1" applyBorder="1" applyAlignment="1">
      <alignment horizontal="right" vertical="center"/>
    </xf>
    <xf numFmtId="0" fontId="52" fillId="6" borderId="34" xfId="4" applyFont="1" applyFill="1" applyBorder="1" applyAlignment="1">
      <alignment horizontal="left" vertical="center"/>
    </xf>
    <xf numFmtId="3" fontId="57" fillId="2" borderId="34" xfId="4" applyNumberFormat="1" applyFont="1" applyFill="1" applyBorder="1" applyAlignment="1">
      <alignment vertical="top" wrapText="1"/>
    </xf>
    <xf numFmtId="3" fontId="55" fillId="0" borderId="27" xfId="4" applyNumberFormat="1" applyFont="1" applyFill="1" applyBorder="1" applyAlignment="1">
      <alignment horizontal="right" vertical="center"/>
    </xf>
    <xf numFmtId="3" fontId="55" fillId="26" borderId="29" xfId="4" applyNumberFormat="1" applyFont="1" applyFill="1" applyBorder="1" applyAlignment="1">
      <alignment horizontal="right" vertical="center"/>
    </xf>
    <xf numFmtId="0" fontId="32" fillId="0" borderId="32" xfId="4" applyFont="1" applyFill="1" applyBorder="1" applyAlignment="1">
      <alignment vertical="top"/>
    </xf>
    <xf numFmtId="0" fontId="57" fillId="2" borderId="32" xfId="4" applyFont="1" applyFill="1" applyBorder="1" applyAlignment="1">
      <alignment vertical="top"/>
    </xf>
    <xf numFmtId="0" fontId="52" fillId="6" borderId="32" xfId="4" applyFont="1" applyFill="1" applyBorder="1" applyAlignment="1">
      <alignment horizontal="left" vertical="center"/>
    </xf>
    <xf numFmtId="3" fontId="32" fillId="0" borderId="30" xfId="4" applyNumberFormat="1" applyFont="1" applyFill="1" applyBorder="1" applyAlignment="1">
      <alignment horizontal="right"/>
    </xf>
    <xf numFmtId="3" fontId="59" fillId="0" borderId="30" xfId="4" applyNumberFormat="1" applyFont="1" applyFill="1" applyBorder="1" applyAlignment="1">
      <alignment horizontal="right"/>
    </xf>
    <xf numFmtId="3" fontId="32" fillId="0" borderId="71" xfId="4" applyNumberFormat="1" applyFont="1" applyFill="1" applyBorder="1" applyAlignment="1">
      <alignment horizontal="right"/>
    </xf>
    <xf numFmtId="3" fontId="32" fillId="0" borderId="29" xfId="4" applyNumberFormat="1" applyFont="1" applyFill="1" applyBorder="1" applyAlignment="1">
      <alignment horizontal="right"/>
    </xf>
    <xf numFmtId="3" fontId="59" fillId="0" borderId="29" xfId="4" applyNumberFormat="1" applyFont="1" applyFill="1" applyBorder="1" applyAlignment="1">
      <alignment horizontal="right"/>
    </xf>
    <xf numFmtId="3" fontId="55" fillId="2" borderId="29" xfId="4" applyNumberFormat="1" applyFont="1" applyFill="1" applyBorder="1" applyAlignment="1"/>
    <xf numFmtId="0" fontId="32" fillId="0" borderId="77" xfId="4" applyFont="1" applyFill="1" applyBorder="1" applyAlignment="1">
      <alignment vertical="top"/>
    </xf>
    <xf numFmtId="3" fontId="32" fillId="0" borderId="12" xfId="4" applyNumberFormat="1" applyFont="1" applyFill="1" applyBorder="1" applyAlignment="1">
      <alignment horizontal="right"/>
    </xf>
    <xf numFmtId="3" fontId="59" fillId="0" borderId="12" xfId="4" applyNumberFormat="1" applyFont="1" applyFill="1" applyBorder="1" applyAlignment="1">
      <alignment horizontal="right"/>
    </xf>
    <xf numFmtId="3" fontId="32" fillId="0" borderId="74" xfId="4" applyNumberFormat="1" applyFont="1" applyFill="1" applyBorder="1" applyAlignment="1">
      <alignment horizontal="right"/>
    </xf>
    <xf numFmtId="3" fontId="32" fillId="26" borderId="12" xfId="4" applyNumberFormat="1" applyFont="1" applyFill="1" applyBorder="1" applyAlignment="1">
      <alignment horizontal="right"/>
    </xf>
    <xf numFmtId="0" fontId="53" fillId="6" borderId="21" xfId="4" applyFont="1" applyFill="1" applyBorder="1" applyAlignment="1">
      <alignment horizontal="left" vertical="center"/>
    </xf>
    <xf numFmtId="0" fontId="55" fillId="2" borderId="32" xfId="4" applyFont="1" applyFill="1" applyBorder="1" applyAlignment="1">
      <alignment vertical="top"/>
    </xf>
    <xf numFmtId="3" fontId="55" fillId="2" borderId="30" xfId="4" applyNumberFormat="1" applyFont="1" applyFill="1" applyBorder="1" applyAlignment="1"/>
    <xf numFmtId="3" fontId="55" fillId="27" borderId="0" xfId="4" applyNumberFormat="1" applyFont="1" applyFill="1" applyBorder="1" applyAlignment="1"/>
    <xf numFmtId="0" fontId="32" fillId="0" borderId="25" xfId="4" applyFont="1" applyFill="1" applyBorder="1" applyAlignment="1">
      <alignment vertical="top"/>
    </xf>
    <xf numFmtId="3" fontId="32" fillId="8" borderId="9" xfId="4" applyNumberFormat="1" applyFont="1" applyFill="1" applyBorder="1" applyAlignment="1">
      <alignment horizontal="right" vertical="center"/>
    </xf>
    <xf numFmtId="3" fontId="32" fillId="8" borderId="35" xfId="4" applyNumberFormat="1" applyFont="1" applyFill="1" applyBorder="1" applyAlignment="1">
      <alignment horizontal="right" vertical="center"/>
    </xf>
    <xf numFmtId="3" fontId="52" fillId="8" borderId="35" xfId="4" applyNumberFormat="1" applyFont="1" applyFill="1" applyBorder="1" applyAlignment="1">
      <alignment horizontal="right" vertical="center"/>
    </xf>
    <xf numFmtId="3" fontId="52" fillId="8" borderId="10" xfId="4" applyNumberFormat="1" applyFont="1" applyFill="1" applyBorder="1" applyAlignment="1">
      <alignment horizontal="right" vertical="center"/>
    </xf>
    <xf numFmtId="3" fontId="55" fillId="2" borderId="32" xfId="4" applyNumberFormat="1" applyFont="1" applyFill="1" applyBorder="1" applyAlignment="1">
      <alignment vertical="top" wrapText="1"/>
    </xf>
    <xf numFmtId="0" fontId="59" fillId="0" borderId="32" xfId="4" applyFont="1" applyFill="1" applyBorder="1" applyAlignment="1">
      <alignment vertical="top"/>
    </xf>
    <xf numFmtId="3" fontId="57" fillId="2" borderId="32" xfId="4" applyNumberFormat="1" applyFont="1" applyFill="1" applyBorder="1" applyAlignment="1">
      <alignment vertical="top" wrapText="1"/>
    </xf>
    <xf numFmtId="3" fontId="59" fillId="2" borderId="29" xfId="4" applyNumberFormat="1" applyFont="1" applyFill="1" applyBorder="1" applyAlignment="1">
      <alignment horizontal="right" vertical="center"/>
    </xf>
    <xf numFmtId="3" fontId="59" fillId="0" borderId="29" xfId="4" applyNumberFormat="1" applyFont="1" applyFill="1" applyBorder="1" applyAlignment="1">
      <alignment horizontal="right" vertical="center"/>
    </xf>
    <xf numFmtId="3" fontId="61" fillId="2" borderId="29" xfId="6" applyNumberFormat="1" applyFont="1" applyFill="1" applyBorder="1" applyAlignment="1">
      <alignment vertical="center"/>
    </xf>
    <xf numFmtId="3" fontId="59" fillId="2" borderId="30" xfId="4" applyNumberFormat="1" applyFont="1" applyFill="1" applyBorder="1" applyAlignment="1">
      <alignment horizontal="right" vertical="center"/>
    </xf>
    <xf numFmtId="3" fontId="60" fillId="0" borderId="72" xfId="6" applyNumberFormat="1" applyFont="1" applyFill="1" applyBorder="1" applyAlignment="1">
      <alignment vertical="center"/>
    </xf>
    <xf numFmtId="3" fontId="60" fillId="0" borderId="47" xfId="6" applyNumberFormat="1" applyFont="1" applyFill="1" applyBorder="1" applyAlignment="1">
      <alignment vertical="center"/>
    </xf>
    <xf numFmtId="0" fontId="46" fillId="0" borderId="42" xfId="4" applyFont="1" applyFill="1" applyBorder="1" applyAlignment="1">
      <alignment vertical="center" wrapText="1"/>
    </xf>
    <xf numFmtId="3" fontId="57" fillId="2" borderId="29" xfId="4" applyNumberFormat="1" applyFont="1" applyFill="1" applyBorder="1" applyAlignment="1"/>
    <xf numFmtId="0" fontId="32" fillId="0" borderId="31" xfId="4" applyFont="1" applyFill="1" applyBorder="1" applyAlignment="1">
      <alignment vertical="top"/>
    </xf>
    <xf numFmtId="0" fontId="53" fillId="6" borderId="20" xfId="4" applyFont="1" applyFill="1" applyBorder="1" applyAlignment="1">
      <alignment horizontal="left" vertical="center"/>
    </xf>
    <xf numFmtId="3" fontId="52" fillId="6" borderId="9" xfId="4" applyNumberFormat="1" applyFont="1" applyFill="1" applyBorder="1" applyAlignment="1"/>
    <xf numFmtId="0" fontId="57" fillId="2" borderId="34" xfId="4" applyFont="1" applyFill="1" applyBorder="1" applyAlignment="1">
      <alignment vertical="top"/>
    </xf>
    <xf numFmtId="3" fontId="53" fillId="23" borderId="10" xfId="4" applyNumberFormat="1" applyFont="1" applyFill="1" applyBorder="1" applyAlignment="1">
      <alignment horizontal="right" vertical="center"/>
    </xf>
    <xf numFmtId="0" fontId="32" fillId="0" borderId="36" xfId="4" applyFont="1" applyFill="1" applyBorder="1" applyAlignment="1">
      <alignment horizontal="left" vertical="center"/>
    </xf>
    <xf numFmtId="0" fontId="53" fillId="6" borderId="36" xfId="4" applyFont="1" applyFill="1" applyBorder="1" applyAlignment="1">
      <alignment horizontal="left" vertical="center"/>
    </xf>
    <xf numFmtId="3" fontId="52" fillId="27" borderId="10" xfId="4" applyNumberFormat="1" applyFont="1" applyFill="1" applyBorder="1" applyAlignment="1"/>
    <xf numFmtId="3" fontId="60" fillId="26" borderId="10" xfId="6" applyNumberFormat="1" applyFont="1" applyFill="1" applyBorder="1" applyAlignment="1">
      <alignment vertical="center"/>
    </xf>
    <xf numFmtId="3" fontId="53" fillId="8" borderId="70" xfId="4" applyNumberFormat="1" applyFont="1" applyFill="1" applyBorder="1" applyAlignment="1">
      <alignment horizontal="right" vertical="center"/>
    </xf>
    <xf numFmtId="3" fontId="53" fillId="8" borderId="17" xfId="4" applyNumberFormat="1" applyFont="1" applyFill="1" applyBorder="1" applyAlignment="1">
      <alignment horizontal="right" vertical="center"/>
    </xf>
    <xf numFmtId="3" fontId="53" fillId="8" borderId="2" xfId="4" applyNumberFormat="1" applyFont="1" applyFill="1" applyBorder="1" applyAlignment="1">
      <alignment horizontal="right" vertical="center"/>
    </xf>
    <xf numFmtId="3" fontId="52" fillId="24" borderId="10" xfId="4" applyNumberFormat="1" applyFont="1" applyFill="1" applyBorder="1" applyAlignment="1">
      <alignment horizontal="right" vertical="center"/>
    </xf>
    <xf numFmtId="3" fontId="60" fillId="0" borderId="10" xfId="6" applyNumberFormat="1" applyFont="1" applyFill="1" applyBorder="1" applyAlignment="1">
      <alignment vertical="center"/>
    </xf>
    <xf numFmtId="3" fontId="55" fillId="0" borderId="30" xfId="4" applyNumberFormat="1" applyFont="1" applyFill="1" applyBorder="1" applyAlignment="1">
      <alignment horizontal="right" vertical="center"/>
    </xf>
    <xf numFmtId="3" fontId="57" fillId="0" borderId="30" xfId="4" applyNumberFormat="1" applyFont="1" applyFill="1" applyBorder="1" applyAlignment="1">
      <alignment horizontal="right" vertical="center"/>
    </xf>
    <xf numFmtId="3" fontId="55" fillId="2" borderId="34" xfId="4" applyNumberFormat="1" applyFont="1" applyFill="1" applyBorder="1" applyAlignment="1">
      <alignment vertical="center" wrapText="1"/>
    </xf>
    <xf numFmtId="3" fontId="55" fillId="2" borderId="27" xfId="4" applyNumberFormat="1" applyFont="1" applyFill="1" applyBorder="1" applyAlignment="1">
      <alignment horizontal="right" vertical="center"/>
    </xf>
    <xf numFmtId="3" fontId="32" fillId="0" borderId="72" xfId="4" applyNumberFormat="1" applyFont="1" applyFill="1" applyBorder="1" applyAlignment="1">
      <alignment horizontal="right"/>
    </xf>
    <xf numFmtId="3" fontId="32" fillId="0" borderId="47" xfId="4" applyNumberFormat="1" applyFont="1" applyFill="1" applyBorder="1" applyAlignment="1">
      <alignment horizontal="right"/>
    </xf>
    <xf numFmtId="3" fontId="59" fillId="0" borderId="47" xfId="4" applyNumberFormat="1" applyFont="1" applyFill="1" applyBorder="1" applyAlignment="1">
      <alignment horizontal="right"/>
    </xf>
    <xf numFmtId="3" fontId="52" fillId="8" borderId="4" xfId="4" applyNumberFormat="1" applyFont="1" applyFill="1" applyBorder="1" applyAlignment="1">
      <alignment horizontal="right" vertical="center"/>
    </xf>
    <xf numFmtId="3" fontId="52" fillId="8" borderId="15" xfId="4" applyNumberFormat="1" applyFont="1" applyFill="1" applyBorder="1" applyAlignment="1">
      <alignment horizontal="right" vertical="center"/>
    </xf>
    <xf numFmtId="3" fontId="55" fillId="0" borderId="9" xfId="4" applyNumberFormat="1" applyFont="1" applyFill="1" applyBorder="1" applyAlignment="1"/>
    <xf numFmtId="0" fontId="32" fillId="0" borderId="33" xfId="4" applyFont="1" applyFill="1" applyBorder="1" applyAlignment="1">
      <alignment vertical="top"/>
    </xf>
    <xf numFmtId="3" fontId="32" fillId="26" borderId="74" xfId="4" applyNumberFormat="1" applyFont="1" applyFill="1" applyBorder="1" applyAlignment="1">
      <alignment horizontal="right"/>
    </xf>
    <xf numFmtId="3" fontId="32" fillId="8" borderId="15" xfId="4" applyNumberFormat="1" applyFont="1" applyFill="1" applyBorder="1" applyAlignment="1">
      <alignment horizontal="right" vertical="center"/>
    </xf>
    <xf numFmtId="3" fontId="55" fillId="0" borderId="63" xfId="4" applyNumberFormat="1" applyFont="1" applyFill="1" applyBorder="1" applyAlignment="1">
      <alignment horizontal="right" vertical="center"/>
    </xf>
    <xf numFmtId="3" fontId="59" fillId="2" borderId="47" xfId="4" applyNumberFormat="1" applyFont="1" applyFill="1" applyBorder="1" applyAlignment="1"/>
    <xf numFmtId="3" fontId="59" fillId="2" borderId="72" xfId="4" applyNumberFormat="1" applyFont="1" applyFill="1" applyBorder="1" applyAlignment="1"/>
    <xf numFmtId="3" fontId="32" fillId="2" borderId="47" xfId="4" applyNumberFormat="1" applyFont="1" applyFill="1" applyBorder="1" applyAlignment="1"/>
    <xf numFmtId="3" fontId="59" fillId="2" borderId="74" xfId="4" applyNumberFormat="1" applyFont="1" applyFill="1" applyBorder="1" applyAlignment="1"/>
    <xf numFmtId="3" fontId="53" fillId="8" borderId="15" xfId="4" applyNumberFormat="1" applyFont="1" applyFill="1" applyBorder="1" applyAlignment="1">
      <alignment horizontal="right" vertical="center"/>
    </xf>
    <xf numFmtId="3" fontId="55" fillId="0" borderId="65" xfId="4" applyNumberFormat="1" applyFont="1" applyFill="1" applyBorder="1" applyAlignment="1">
      <alignment horizontal="right" vertical="center"/>
    </xf>
    <xf numFmtId="3" fontId="52" fillId="6" borderId="9" xfId="4" applyNumberFormat="1" applyFont="1" applyFill="1" applyBorder="1" applyAlignment="1">
      <alignment vertical="center"/>
    </xf>
    <xf numFmtId="3" fontId="53" fillId="8" borderId="4" xfId="4" applyNumberFormat="1" applyFont="1" applyFill="1" applyBorder="1" applyAlignment="1"/>
    <xf numFmtId="0" fontId="59" fillId="0" borderId="83" xfId="4" applyFont="1" applyFill="1" applyBorder="1" applyAlignment="1">
      <alignment vertical="top"/>
    </xf>
    <xf numFmtId="3" fontId="55" fillId="2" borderId="47" xfId="4" applyNumberFormat="1" applyFont="1" applyFill="1" applyBorder="1" applyAlignment="1"/>
    <xf numFmtId="0" fontId="32" fillId="0" borderId="83" xfId="4" applyFont="1" applyFill="1" applyBorder="1" applyAlignment="1">
      <alignment vertical="top"/>
    </xf>
    <xf numFmtId="3" fontId="52" fillId="8" borderId="4" xfId="0" applyNumberFormat="1" applyFont="1" applyFill="1" applyBorder="1" applyAlignment="1">
      <alignment vertical="center"/>
    </xf>
    <xf numFmtId="3" fontId="52" fillId="8" borderId="70" xfId="0" applyNumberFormat="1" applyFont="1" applyFill="1" applyBorder="1" applyAlignment="1">
      <alignment vertical="center"/>
    </xf>
    <xf numFmtId="3" fontId="52" fillId="8" borderId="15" xfId="0" applyNumberFormat="1" applyFont="1" applyFill="1" applyBorder="1" applyAlignment="1">
      <alignment vertical="center"/>
    </xf>
    <xf numFmtId="3" fontId="52" fillId="6" borderId="30" xfId="0" applyNumberFormat="1" applyFont="1" applyFill="1" applyBorder="1" applyAlignment="1">
      <alignment horizontal="right" vertical="center"/>
    </xf>
    <xf numFmtId="3" fontId="55" fillId="0" borderId="30" xfId="0" applyNumberFormat="1" applyFont="1" applyFill="1" applyBorder="1" applyAlignment="1">
      <alignment horizontal="right" vertical="center"/>
    </xf>
    <xf numFmtId="3" fontId="57" fillId="0" borderId="30" xfId="0" applyNumberFormat="1" applyFont="1" applyFill="1" applyBorder="1" applyAlignment="1">
      <alignment horizontal="right" vertical="center"/>
    </xf>
    <xf numFmtId="3" fontId="55" fillId="0" borderId="35" xfId="0" applyNumberFormat="1" applyFont="1" applyFill="1" applyBorder="1" applyAlignment="1">
      <alignment horizontal="right" vertical="center"/>
    </xf>
    <xf numFmtId="3" fontId="55" fillId="0" borderId="29" xfId="0" applyNumberFormat="1" applyFont="1" applyFill="1" applyBorder="1" applyAlignment="1">
      <alignment horizontal="right" vertical="center"/>
    </xf>
    <xf numFmtId="3" fontId="57" fillId="26" borderId="29" xfId="4" applyNumberFormat="1" applyFont="1" applyFill="1" applyBorder="1" applyAlignment="1">
      <alignment horizontal="right" vertical="center"/>
    </xf>
    <xf numFmtId="3" fontId="55" fillId="0" borderId="13" xfId="0" applyNumberFormat="1" applyFont="1" applyFill="1" applyBorder="1" applyAlignment="1">
      <alignment horizontal="right" vertical="center"/>
    </xf>
    <xf numFmtId="3" fontId="55" fillId="0" borderId="27" xfId="0" applyNumberFormat="1" applyFont="1" applyFill="1" applyBorder="1" applyAlignment="1">
      <alignment horizontal="right" vertical="center"/>
    </xf>
    <xf numFmtId="3" fontId="57" fillId="0" borderId="13" xfId="0" applyNumberFormat="1" applyFont="1" applyFill="1" applyBorder="1" applyAlignment="1">
      <alignment horizontal="right" vertical="center"/>
    </xf>
    <xf numFmtId="3" fontId="32" fillId="0" borderId="35" xfId="0" applyNumberFormat="1" applyFont="1" applyFill="1" applyBorder="1" applyAlignment="1">
      <alignment horizontal="right" vertical="center"/>
    </xf>
    <xf numFmtId="3" fontId="32" fillId="0" borderId="13" xfId="0" applyNumberFormat="1" applyFont="1" applyFill="1" applyBorder="1" applyAlignment="1">
      <alignment horizontal="right" vertical="center"/>
    </xf>
    <xf numFmtId="3" fontId="59" fillId="0" borderId="27" xfId="0" applyNumberFormat="1" applyFont="1" applyFill="1" applyBorder="1" applyAlignment="1">
      <alignment horizontal="right" vertical="center"/>
    </xf>
    <xf numFmtId="3" fontId="57" fillId="0" borderId="35" xfId="0" applyNumberFormat="1" applyFont="1" applyFill="1" applyBorder="1" applyAlignment="1">
      <alignment horizontal="right" vertical="center"/>
    </xf>
    <xf numFmtId="3" fontId="59" fillId="0" borderId="12" xfId="0" applyNumberFormat="1" applyFont="1" applyFill="1" applyBorder="1" applyAlignment="1">
      <alignment horizontal="right" vertical="center"/>
    </xf>
    <xf numFmtId="3" fontId="32" fillId="2" borderId="72" xfId="4" applyNumberFormat="1" applyFont="1" applyFill="1" applyBorder="1" applyAlignment="1"/>
    <xf numFmtId="0" fontId="52" fillId="13" borderId="19" xfId="4" applyFont="1" applyFill="1" applyBorder="1" applyAlignment="1">
      <alignment vertical="center" wrapText="1"/>
    </xf>
    <xf numFmtId="0" fontId="52" fillId="13" borderId="16" xfId="4" applyFont="1" applyFill="1" applyBorder="1" applyAlignment="1">
      <alignment vertical="top" wrapText="1"/>
    </xf>
    <xf numFmtId="0" fontId="32" fillId="13" borderId="17" xfId="4" applyFont="1" applyFill="1" applyBorder="1" applyAlignment="1">
      <alignment horizontal="right" vertical="center"/>
    </xf>
    <xf numFmtId="3" fontId="52" fillId="13" borderId="70" xfId="4" applyNumberFormat="1" applyFont="1" applyFill="1" applyBorder="1" applyAlignment="1">
      <alignment horizontal="right" vertical="center"/>
    </xf>
    <xf numFmtId="3" fontId="32" fillId="13" borderId="70" xfId="4" applyNumberFormat="1" applyFont="1" applyFill="1" applyBorder="1" applyAlignment="1">
      <alignment horizontal="right" vertical="center"/>
    </xf>
    <xf numFmtId="3" fontId="32" fillId="25" borderId="3" xfId="4" applyNumberFormat="1" applyFont="1" applyFill="1" applyBorder="1" applyAlignment="1">
      <alignment horizontal="right" vertical="center"/>
    </xf>
    <xf numFmtId="3" fontId="52" fillId="6" borderId="9" xfId="4" applyNumberFormat="1" applyFont="1" applyFill="1" applyBorder="1" applyAlignment="1">
      <alignment horizontal="right" vertical="center"/>
    </xf>
    <xf numFmtId="0" fontId="57" fillId="13" borderId="36" xfId="4" applyFont="1" applyFill="1" applyBorder="1" applyAlignment="1">
      <alignment horizontal="left" vertical="center"/>
    </xf>
    <xf numFmtId="0" fontId="57" fillId="13" borderId="20" xfId="4" applyFont="1" applyFill="1" applyBorder="1" applyAlignment="1">
      <alignment horizontal="left" vertical="center"/>
    </xf>
    <xf numFmtId="3" fontId="55" fillId="13" borderId="29" xfId="4" applyNumberFormat="1" applyFont="1" applyFill="1" applyBorder="1" applyAlignment="1">
      <alignment horizontal="right" vertical="center"/>
    </xf>
    <xf numFmtId="3" fontId="46" fillId="13" borderId="43" xfId="4" applyNumberFormat="1" applyFont="1" applyFill="1" applyBorder="1" applyAlignment="1">
      <alignment horizontal="center" vertical="center" wrapText="1"/>
    </xf>
    <xf numFmtId="0" fontId="55" fillId="13" borderId="32" xfId="4" applyFont="1" applyFill="1" applyBorder="1" applyAlignment="1">
      <alignment vertical="top"/>
    </xf>
    <xf numFmtId="0" fontId="55" fillId="13" borderId="20" xfId="4" applyFont="1" applyFill="1" applyBorder="1" applyAlignment="1">
      <alignment vertical="top"/>
    </xf>
    <xf numFmtId="3" fontId="55" fillId="13" borderId="9" xfId="4" applyNumberFormat="1" applyFont="1" applyFill="1" applyBorder="1" applyAlignment="1">
      <alignment horizontal="right" vertical="center"/>
    </xf>
    <xf numFmtId="0" fontId="32" fillId="13" borderId="25" xfId="4" applyFont="1" applyFill="1" applyBorder="1" applyAlignment="1">
      <alignment vertical="top"/>
    </xf>
    <xf numFmtId="0" fontId="32" fillId="13" borderId="22" xfId="4" applyFont="1" applyFill="1" applyBorder="1" applyAlignment="1">
      <alignment vertical="top"/>
    </xf>
    <xf numFmtId="3" fontId="32" fillId="13" borderId="23" xfId="4" applyNumberFormat="1" applyFont="1" applyFill="1" applyBorder="1" applyAlignment="1">
      <alignment horizontal="right" vertical="center"/>
    </xf>
    <xf numFmtId="0" fontId="46" fillId="13" borderId="41" xfId="4" applyFont="1" applyFill="1" applyBorder="1" applyAlignment="1">
      <alignment horizontal="center" vertical="center" wrapText="1"/>
    </xf>
    <xf numFmtId="3" fontId="51" fillId="6" borderId="29" xfId="6" applyNumberFormat="1" applyFont="1" applyFill="1" applyBorder="1" applyAlignment="1">
      <alignment horizontal="right" vertical="center"/>
    </xf>
    <xf numFmtId="3" fontId="52" fillId="6" borderId="0" xfId="4" applyNumberFormat="1" applyFont="1" applyFill="1" applyBorder="1" applyAlignment="1"/>
    <xf numFmtId="3" fontId="55" fillId="2" borderId="0" xfId="4" applyNumberFormat="1" applyFont="1" applyFill="1" applyBorder="1" applyAlignment="1"/>
    <xf numFmtId="3" fontId="61" fillId="0" borderId="29" xfId="6" applyNumberFormat="1" applyFont="1" applyFill="1" applyBorder="1" applyAlignment="1">
      <alignment horizontal="right" vertical="center"/>
    </xf>
    <xf numFmtId="3" fontId="59" fillId="0" borderId="31" xfId="4" applyNumberFormat="1" applyFont="1" applyFill="1" applyBorder="1" applyAlignment="1">
      <alignment horizontal="right" vertical="center"/>
    </xf>
    <xf numFmtId="3" fontId="61" fillId="8" borderId="3" xfId="6" applyNumberFormat="1" applyFont="1" applyFill="1" applyBorder="1" applyAlignment="1">
      <alignment horizontal="right" vertical="center"/>
    </xf>
    <xf numFmtId="0" fontId="52" fillId="28" borderId="45" xfId="4" applyFont="1" applyFill="1" applyBorder="1" applyAlignment="1">
      <alignment vertical="center" wrapText="1"/>
    </xf>
    <xf numFmtId="0" fontId="52" fillId="28" borderId="14" xfId="4" applyFont="1" applyFill="1" applyBorder="1" applyAlignment="1">
      <alignment vertical="top" wrapText="1"/>
    </xf>
    <xf numFmtId="0" fontId="32" fillId="28" borderId="4" xfId="4" applyFont="1" applyFill="1" applyBorder="1" applyAlignment="1">
      <alignment vertical="top"/>
    </xf>
    <xf numFmtId="3" fontId="32" fillId="28" borderId="70" xfId="4" applyNumberFormat="1" applyFont="1" applyFill="1" applyBorder="1" applyAlignment="1">
      <alignment vertical="top"/>
    </xf>
    <xf numFmtId="3" fontId="32" fillId="28" borderId="2" xfId="4" applyNumberFormat="1" applyFont="1" applyFill="1" applyBorder="1" applyAlignment="1">
      <alignment vertical="top"/>
    </xf>
    <xf numFmtId="3" fontId="32" fillId="25" borderId="2" xfId="4" applyNumberFormat="1" applyFont="1" applyFill="1" applyBorder="1" applyAlignment="1">
      <alignment vertical="top"/>
    </xf>
    <xf numFmtId="3" fontId="52" fillId="6" borderId="29" xfId="0" applyNumberFormat="1" applyFont="1" applyFill="1" applyBorder="1" applyAlignment="1">
      <alignment horizontal="right" vertical="center"/>
    </xf>
    <xf numFmtId="0" fontId="57" fillId="28" borderId="34" xfId="4" applyFont="1" applyFill="1" applyBorder="1" applyAlignment="1">
      <alignment vertical="top" wrapText="1"/>
    </xf>
    <xf numFmtId="3" fontId="57" fillId="28" borderId="28" xfId="4" applyNumberFormat="1" applyFont="1" applyFill="1" applyBorder="1" applyAlignment="1">
      <alignment vertical="top" wrapText="1"/>
    </xf>
    <xf numFmtId="0" fontId="32" fillId="28" borderId="34" xfId="4" applyFont="1" applyFill="1" applyBorder="1" applyAlignment="1">
      <alignment vertical="top" wrapText="1"/>
    </xf>
    <xf numFmtId="0" fontId="32" fillId="28" borderId="28" xfId="4" applyFont="1" applyFill="1" applyBorder="1" applyAlignment="1">
      <alignment vertical="top" wrapText="1"/>
    </xf>
    <xf numFmtId="0" fontId="32" fillId="13" borderId="36" xfId="4" applyFont="1" applyFill="1" applyBorder="1" applyAlignment="1">
      <alignment vertical="top"/>
    </xf>
    <xf numFmtId="0" fontId="32" fillId="13" borderId="20" xfId="4" applyFont="1" applyFill="1" applyBorder="1" applyAlignment="1">
      <alignment vertical="top"/>
    </xf>
    <xf numFmtId="0" fontId="57" fillId="13" borderId="20" xfId="4" applyFont="1" applyFill="1" applyBorder="1" applyAlignment="1">
      <alignment vertical="top"/>
    </xf>
    <xf numFmtId="3" fontId="53" fillId="26" borderId="29" xfId="4" applyNumberFormat="1" applyFont="1" applyFill="1" applyBorder="1" applyAlignment="1">
      <alignment horizontal="right" vertical="center"/>
    </xf>
    <xf numFmtId="3" fontId="55" fillId="13" borderId="32" xfId="4" applyNumberFormat="1" applyFont="1" applyFill="1" applyBorder="1" applyAlignment="1">
      <alignment vertical="top" wrapText="1"/>
    </xf>
    <xf numFmtId="3" fontId="55" fillId="13" borderId="28" xfId="4" applyNumberFormat="1" applyFont="1" applyFill="1" applyBorder="1" applyAlignment="1">
      <alignment vertical="top" wrapText="1"/>
    </xf>
    <xf numFmtId="0" fontId="32" fillId="13" borderId="21" xfId="4" applyFont="1" applyFill="1" applyBorder="1" applyAlignment="1">
      <alignment vertical="top"/>
    </xf>
    <xf numFmtId="0" fontId="32" fillId="13" borderId="32" xfId="4" applyFont="1" applyFill="1" applyBorder="1" applyAlignment="1">
      <alignment vertical="top"/>
    </xf>
    <xf numFmtId="0" fontId="32" fillId="13" borderId="28" xfId="4" applyFont="1" applyFill="1" applyBorder="1" applyAlignment="1">
      <alignment horizontal="left" vertical="center"/>
    </xf>
    <xf numFmtId="0" fontId="57" fillId="13" borderId="36" xfId="4" applyFont="1" applyFill="1" applyBorder="1" applyAlignment="1">
      <alignment vertical="top"/>
    </xf>
    <xf numFmtId="3" fontId="57" fillId="13" borderId="9" xfId="4" applyNumberFormat="1" applyFont="1" applyFill="1" applyBorder="1" applyAlignment="1">
      <alignment horizontal="right" vertical="center"/>
    </xf>
    <xf numFmtId="3" fontId="32" fillId="13" borderId="32" xfId="4" applyNumberFormat="1" applyFont="1" applyFill="1" applyBorder="1" applyAlignment="1">
      <alignment vertical="top" wrapText="1"/>
    </xf>
    <xf numFmtId="0" fontId="32" fillId="0" borderId="21" xfId="0" applyFont="1" applyFill="1" applyBorder="1" applyAlignment="1">
      <alignment horizontal="left" vertical="center"/>
    </xf>
    <xf numFmtId="3" fontId="59" fillId="0" borderId="13" xfId="0" applyNumberFormat="1" applyFont="1" applyFill="1" applyBorder="1" applyAlignment="1">
      <alignment horizontal="right" vertical="center"/>
    </xf>
    <xf numFmtId="0" fontId="32" fillId="2" borderId="21" xfId="4" applyFont="1" applyFill="1" applyBorder="1" applyAlignment="1">
      <alignment vertical="top"/>
    </xf>
    <xf numFmtId="3" fontId="59" fillId="0" borderId="35" xfId="0" applyNumberFormat="1" applyFont="1" applyFill="1" applyBorder="1" applyAlignment="1">
      <alignment horizontal="right" vertical="center"/>
    </xf>
    <xf numFmtId="3" fontId="57" fillId="0" borderId="29" xfId="4" applyNumberFormat="1" applyFont="1" applyFill="1" applyBorder="1" applyAlignment="1">
      <alignment horizontal="right" vertical="center"/>
    </xf>
    <xf numFmtId="0" fontId="32" fillId="28" borderId="14" xfId="4" applyFont="1" applyFill="1" applyBorder="1" applyAlignment="1">
      <alignment vertical="top"/>
    </xf>
    <xf numFmtId="0" fontId="53" fillId="6" borderId="84" xfId="4" applyFont="1" applyFill="1" applyBorder="1" applyAlignment="1">
      <alignment horizontal="left" vertical="center"/>
    </xf>
    <xf numFmtId="3" fontId="52" fillId="6" borderId="28" xfId="0" applyNumberFormat="1" applyFont="1" applyFill="1" applyBorder="1" applyAlignment="1">
      <alignment horizontal="right" vertical="center"/>
    </xf>
    <xf numFmtId="3" fontId="55" fillId="13" borderId="28" xfId="4" applyNumberFormat="1" applyFont="1" applyFill="1" applyBorder="1" applyAlignment="1">
      <alignment horizontal="right" vertical="center"/>
    </xf>
    <xf numFmtId="3" fontId="32" fillId="13" borderId="28" xfId="4" applyNumberFormat="1" applyFont="1" applyFill="1" applyBorder="1" applyAlignment="1">
      <alignment horizontal="right" vertical="center"/>
    </xf>
    <xf numFmtId="3" fontId="57" fillId="13" borderId="28" xfId="4" applyNumberFormat="1" applyFont="1" applyFill="1" applyBorder="1" applyAlignment="1">
      <alignment horizontal="right" vertical="center"/>
    </xf>
    <xf numFmtId="0" fontId="44" fillId="2" borderId="25" xfId="4" applyFont="1" applyFill="1" applyBorder="1" applyAlignment="1">
      <alignment vertical="center"/>
    </xf>
    <xf numFmtId="0" fontId="62" fillId="2" borderId="68" xfId="4" applyFont="1" applyFill="1" applyBorder="1" applyAlignment="1">
      <alignment vertical="center"/>
    </xf>
    <xf numFmtId="0" fontId="62" fillId="2" borderId="24" xfId="4" applyFont="1" applyFill="1" applyBorder="1" applyAlignment="1">
      <alignment vertical="center"/>
    </xf>
    <xf numFmtId="3" fontId="62" fillId="2" borderId="24" xfId="4" applyNumberFormat="1" applyFont="1" applyFill="1" applyBorder="1" applyAlignment="1">
      <alignment vertical="center"/>
    </xf>
    <xf numFmtId="0" fontId="62" fillId="2" borderId="69" xfId="4" applyFont="1" applyFill="1" applyBorder="1" applyAlignment="1">
      <alignment horizontal="right" vertical="center" wrapText="1"/>
    </xf>
    <xf numFmtId="0" fontId="48" fillId="6" borderId="28" xfId="4" applyFont="1" applyFill="1" applyBorder="1" applyAlignment="1">
      <alignment horizontal="left" vertical="center"/>
    </xf>
    <xf numFmtId="3" fontId="46" fillId="8" borderId="43" xfId="4" applyNumberFormat="1" applyFont="1" applyFill="1" applyBorder="1" applyAlignment="1">
      <alignment horizontal="center" vertical="top"/>
    </xf>
    <xf numFmtId="0" fontId="46" fillId="0" borderId="0" xfId="4" applyFont="1" applyFill="1" applyBorder="1" applyAlignment="1">
      <alignment horizontal="left" vertical="center"/>
    </xf>
    <xf numFmtId="3" fontId="50" fillId="0" borderId="0" xfId="6" applyNumberFormat="1" applyFont="1" applyFill="1" applyBorder="1" applyAlignment="1">
      <alignment vertical="center"/>
    </xf>
    <xf numFmtId="3" fontId="46" fillId="0" borderId="0" xfId="4" applyNumberFormat="1" applyFont="1" applyFill="1" applyBorder="1" applyAlignment="1">
      <alignment horizontal="right" vertical="center"/>
    </xf>
    <xf numFmtId="3" fontId="46" fillId="2" borderId="0" xfId="4" applyNumberFormat="1" applyFont="1" applyFill="1" applyBorder="1" applyAlignment="1">
      <alignment horizontal="right" vertical="center"/>
    </xf>
    <xf numFmtId="3" fontId="45" fillId="0" borderId="0" xfId="4" applyNumberFormat="1" applyFont="1" applyFill="1" applyBorder="1" applyAlignment="1"/>
    <xf numFmtId="0" fontId="65" fillId="0" borderId="0" xfId="0" applyFont="1" applyBorder="1" applyAlignment="1">
      <alignment horizontal="center" vertical="center" wrapText="1"/>
    </xf>
    <xf numFmtId="0" fontId="56" fillId="0" borderId="0" xfId="0" applyFont="1" applyFill="1" applyAlignment="1"/>
    <xf numFmtId="0" fontId="49" fillId="2" borderId="78" xfId="0" quotePrefix="1" applyFont="1" applyFill="1" applyBorder="1" applyAlignment="1">
      <alignment horizontal="center" vertical="top"/>
    </xf>
    <xf numFmtId="0" fontId="49" fillId="2" borderId="40" xfId="0" quotePrefix="1" applyFont="1" applyFill="1" applyBorder="1" applyAlignment="1">
      <alignment horizontal="center" vertical="top"/>
    </xf>
    <xf numFmtId="0" fontId="45" fillId="8" borderId="11" xfId="4" applyFont="1" applyFill="1" applyBorder="1" applyAlignment="1">
      <alignment horizontal="center" vertical="top"/>
    </xf>
    <xf numFmtId="3" fontId="60" fillId="8" borderId="29" xfId="6" applyNumberFormat="1" applyFont="1" applyFill="1" applyBorder="1" applyAlignment="1">
      <alignment vertical="center"/>
    </xf>
    <xf numFmtId="0" fontId="45" fillId="0" borderId="0" xfId="0" applyFont="1" applyAlignment="1">
      <alignment vertical="top"/>
    </xf>
    <xf numFmtId="0" fontId="46" fillId="0" borderId="0" xfId="0" applyFont="1" applyAlignment="1">
      <alignment vertical="top"/>
    </xf>
    <xf numFmtId="0" fontId="56" fillId="0" borderId="0" xfId="0" applyFont="1" applyFill="1" applyAlignment="1">
      <alignment horizontal="left"/>
    </xf>
    <xf numFmtId="0" fontId="48" fillId="2" borderId="5" xfId="0" applyFont="1" applyFill="1" applyBorder="1" applyAlignment="1">
      <alignment horizontal="center" vertical="top"/>
    </xf>
    <xf numFmtId="0" fontId="48" fillId="2" borderId="11" xfId="0" applyFont="1" applyFill="1" applyBorder="1" applyAlignment="1">
      <alignment horizontal="center" vertical="top"/>
    </xf>
    <xf numFmtId="0" fontId="45" fillId="8" borderId="11" xfId="0" applyFont="1" applyFill="1" applyBorder="1" applyAlignment="1">
      <alignment vertical="center"/>
    </xf>
    <xf numFmtId="3" fontId="55" fillId="22" borderId="35" xfId="4" applyNumberFormat="1" applyFont="1" applyFill="1" applyBorder="1" applyAlignment="1">
      <alignment horizontal="right" vertical="center"/>
    </xf>
    <xf numFmtId="3" fontId="32" fillId="29" borderId="67" xfId="0" applyNumberFormat="1" applyFont="1" applyFill="1" applyBorder="1" applyAlignment="1">
      <alignment horizontal="center" vertical="top" wrapText="1"/>
    </xf>
    <xf numFmtId="3" fontId="55" fillId="22" borderId="12" xfId="4" applyNumberFormat="1" applyFont="1" applyFill="1" applyBorder="1" applyAlignment="1">
      <alignment horizontal="right" vertical="center"/>
    </xf>
    <xf numFmtId="0" fontId="52" fillId="29" borderId="11" xfId="0" applyFont="1" applyFill="1" applyBorder="1" applyAlignment="1">
      <alignment vertical="top"/>
    </xf>
    <xf numFmtId="0" fontId="52" fillId="6" borderId="19" xfId="4" applyFont="1" applyFill="1" applyBorder="1" applyAlignment="1">
      <alignment horizontal="left" vertical="center"/>
    </xf>
    <xf numFmtId="0" fontId="52" fillId="6" borderId="16" xfId="4" applyFont="1" applyFill="1" applyBorder="1" applyAlignment="1">
      <alignment horizontal="left" vertical="center"/>
    </xf>
    <xf numFmtId="3" fontId="52" fillId="30" borderId="70" xfId="0" applyNumberFormat="1" applyFont="1" applyFill="1" applyBorder="1" applyAlignment="1">
      <alignment vertical="center"/>
    </xf>
    <xf numFmtId="0" fontId="57" fillId="8" borderId="36" xfId="4" applyFont="1" applyFill="1" applyBorder="1" applyAlignment="1">
      <alignment vertical="center"/>
    </xf>
    <xf numFmtId="0" fontId="32" fillId="8" borderId="28" xfId="0" applyFont="1" applyFill="1" applyBorder="1" applyAlignment="1">
      <alignment vertical="center" wrapText="1"/>
    </xf>
    <xf numFmtId="0" fontId="45" fillId="29" borderId="11" xfId="0" applyFont="1" applyFill="1" applyBorder="1" applyAlignment="1">
      <alignment vertical="top"/>
    </xf>
    <xf numFmtId="0" fontId="32" fillId="8" borderId="36" xfId="4" applyFont="1" applyFill="1" applyBorder="1" applyAlignment="1">
      <alignment vertical="center"/>
    </xf>
    <xf numFmtId="3" fontId="32" fillId="29" borderId="8" xfId="0" applyNumberFormat="1" applyFont="1" applyFill="1" applyBorder="1" applyAlignment="1">
      <alignment vertical="center" wrapText="1"/>
    </xf>
    <xf numFmtId="0" fontId="57" fillId="8" borderId="32" xfId="4" applyFont="1" applyFill="1" applyBorder="1" applyAlignment="1">
      <alignment vertical="center"/>
    </xf>
    <xf numFmtId="0" fontId="52" fillId="8" borderId="28" xfId="0" applyFont="1" applyFill="1" applyBorder="1" applyAlignment="1">
      <alignment vertical="center"/>
    </xf>
    <xf numFmtId="3" fontId="57" fillId="8" borderId="9" xfId="0" applyNumberFormat="1" applyFont="1" applyFill="1" applyBorder="1" applyAlignment="1">
      <alignment vertical="center"/>
    </xf>
    <xf numFmtId="0" fontId="45" fillId="8" borderId="11" xfId="0" applyFont="1" applyFill="1" applyBorder="1" applyAlignment="1">
      <alignment vertical="top"/>
    </xf>
    <xf numFmtId="0" fontId="45" fillId="8" borderId="25" xfId="0" applyFont="1" applyFill="1" applyBorder="1" applyAlignment="1">
      <alignment vertical="top"/>
    </xf>
    <xf numFmtId="0" fontId="32" fillId="8" borderId="37" xfId="0" applyFont="1" applyFill="1" applyBorder="1" applyAlignment="1">
      <alignment vertical="top" wrapText="1"/>
    </xf>
    <xf numFmtId="3" fontId="32" fillId="29" borderId="47" xfId="0" applyNumberFormat="1" applyFont="1" applyFill="1" applyBorder="1" applyAlignment="1">
      <alignment vertical="center"/>
    </xf>
    <xf numFmtId="0" fontId="53" fillId="8" borderId="5" xfId="0" applyFont="1" applyFill="1" applyBorder="1" applyAlignment="1">
      <alignment vertical="center" wrapText="1"/>
    </xf>
    <xf numFmtId="0" fontId="53" fillId="8" borderId="14" xfId="0" applyFont="1" applyFill="1" applyBorder="1" applyAlignment="1">
      <alignment horizontal="center" vertical="center" wrapText="1"/>
    </xf>
    <xf numFmtId="0" fontId="32" fillId="8" borderId="70" xfId="0" applyFont="1" applyFill="1" applyBorder="1" applyAlignment="1">
      <alignment vertical="top"/>
    </xf>
    <xf numFmtId="3" fontId="55" fillId="2" borderId="32" xfId="4" applyNumberFormat="1" applyFont="1" applyFill="1" applyBorder="1" applyAlignment="1">
      <alignment vertical="center" wrapText="1"/>
    </xf>
    <xf numFmtId="0" fontId="59" fillId="0" borderId="21" xfId="0" applyFont="1" applyFill="1" applyBorder="1" applyAlignment="1">
      <alignment vertical="top"/>
    </xf>
    <xf numFmtId="3" fontId="59" fillId="0" borderId="9" xfId="0" applyNumberFormat="1" applyFont="1" applyFill="1" applyBorder="1" applyAlignment="1">
      <alignment vertical="top"/>
    </xf>
    <xf numFmtId="0" fontId="32" fillId="6" borderId="28" xfId="0" applyFont="1" applyFill="1" applyBorder="1" applyAlignment="1">
      <alignment horizontal="left" vertical="center" wrapText="1"/>
    </xf>
    <xf numFmtId="3" fontId="55" fillId="2" borderId="84" xfId="4" applyNumberFormat="1" applyFont="1" applyFill="1" applyBorder="1" applyAlignment="1">
      <alignment vertical="center" wrapText="1"/>
    </xf>
    <xf numFmtId="0" fontId="59" fillId="0" borderId="85" xfId="0" applyFont="1" applyFill="1" applyBorder="1" applyAlignment="1">
      <alignment vertical="top"/>
    </xf>
    <xf numFmtId="0" fontId="55" fillId="2" borderId="31" xfId="4" applyFont="1" applyFill="1" applyBorder="1" applyAlignment="1">
      <alignment vertical="top"/>
    </xf>
    <xf numFmtId="3" fontId="59" fillId="0" borderId="47" xfId="0" applyNumberFormat="1" applyFont="1" applyFill="1" applyBorder="1" applyAlignment="1">
      <alignment vertical="top"/>
    </xf>
    <xf numFmtId="3" fontId="59" fillId="0" borderId="47" xfId="0" applyNumberFormat="1" applyFont="1" applyFill="1" applyBorder="1" applyAlignment="1">
      <alignment horizontal="right" vertical="center"/>
    </xf>
    <xf numFmtId="0" fontId="59" fillId="6" borderId="28" xfId="0" applyFont="1" applyFill="1" applyBorder="1" applyAlignment="1">
      <alignment vertical="top"/>
    </xf>
    <xf numFmtId="0" fontId="32" fillId="6" borderId="20" xfId="0" applyFont="1" applyFill="1" applyBorder="1" applyAlignment="1">
      <alignment horizontal="left" vertical="center" wrapText="1"/>
    </xf>
    <xf numFmtId="3" fontId="59" fillId="0" borderId="72" xfId="0" applyNumberFormat="1" applyFont="1" applyFill="1" applyBorder="1" applyAlignment="1">
      <alignment vertical="top"/>
    </xf>
    <xf numFmtId="3" fontId="49" fillId="0" borderId="0" xfId="0" applyNumberFormat="1" applyFont="1" applyFill="1" applyBorder="1" applyAlignment="1">
      <alignment vertical="top"/>
    </xf>
    <xf numFmtId="3" fontId="49" fillId="0" borderId="0" xfId="0" applyNumberFormat="1" applyFont="1" applyFill="1" applyBorder="1" applyAlignment="1">
      <alignment horizontal="right" vertical="center"/>
    </xf>
    <xf numFmtId="0" fontId="53" fillId="6" borderId="19" xfId="4" applyFont="1" applyFill="1" applyBorder="1" applyAlignment="1">
      <alignment horizontal="left" vertical="center"/>
    </xf>
    <xf numFmtId="0" fontId="53" fillId="6" borderId="16" xfId="4" applyFont="1" applyFill="1" applyBorder="1" applyAlignment="1">
      <alignment horizontal="left" vertical="center"/>
    </xf>
    <xf numFmtId="3" fontId="55" fillId="24" borderId="30" xfId="0" applyNumberFormat="1" applyFont="1" applyFill="1" applyBorder="1" applyAlignment="1">
      <alignment vertical="top"/>
    </xf>
    <xf numFmtId="3" fontId="59" fillId="8" borderId="30" xfId="0" applyNumberFormat="1" applyFont="1" applyFill="1" applyBorder="1" applyAlignment="1">
      <alignment vertical="top"/>
    </xf>
    <xf numFmtId="0" fontId="55" fillId="8" borderId="36" xfId="4" applyFont="1" applyFill="1" applyBorder="1" applyAlignment="1">
      <alignment vertical="center"/>
    </xf>
    <xf numFmtId="0" fontId="52" fillId="8" borderId="19" xfId="0" applyFont="1" applyFill="1" applyBorder="1" applyAlignment="1">
      <alignment vertical="center" wrapText="1"/>
    </xf>
    <xf numFmtId="0" fontId="32" fillId="8" borderId="18" xfId="0" applyFont="1" applyFill="1" applyBorder="1" applyAlignment="1">
      <alignment vertical="top"/>
    </xf>
    <xf numFmtId="0" fontId="32" fillId="8" borderId="79" xfId="0" applyFont="1" applyFill="1" applyBorder="1" applyAlignment="1">
      <alignment vertical="top"/>
    </xf>
    <xf numFmtId="3" fontId="32" fillId="8" borderId="79" xfId="0" applyNumberFormat="1" applyFont="1" applyFill="1" applyBorder="1" applyAlignment="1">
      <alignment vertical="top"/>
    </xf>
    <xf numFmtId="3" fontId="32" fillId="24" borderId="70" xfId="0" applyNumberFormat="1" applyFont="1" applyFill="1" applyBorder="1" applyAlignment="1">
      <alignment vertical="top"/>
    </xf>
    <xf numFmtId="0" fontId="52" fillId="6" borderId="21" xfId="4" applyFont="1" applyFill="1" applyBorder="1" applyAlignment="1">
      <alignment horizontal="left" vertical="center"/>
    </xf>
    <xf numFmtId="0" fontId="53" fillId="6" borderId="9" xfId="4" applyFont="1" applyFill="1" applyBorder="1" applyAlignment="1">
      <alignment horizontal="left" vertical="center"/>
    </xf>
    <xf numFmtId="3" fontId="53" fillId="6" borderId="9" xfId="0" applyNumberFormat="1" applyFont="1" applyFill="1" applyBorder="1" applyAlignment="1">
      <alignment vertical="top"/>
    </xf>
    <xf numFmtId="3" fontId="53" fillId="23" borderId="35" xfId="0" applyNumberFormat="1" applyFont="1" applyFill="1" applyBorder="1" applyAlignment="1">
      <alignment vertical="top"/>
    </xf>
    <xf numFmtId="0" fontId="53" fillId="6" borderId="29" xfId="4" applyFont="1" applyFill="1" applyBorder="1" applyAlignment="1">
      <alignment horizontal="left" vertical="center"/>
    </xf>
    <xf numFmtId="0" fontId="32" fillId="8" borderId="3" xfId="0" applyFont="1" applyFill="1" applyBorder="1" applyAlignment="1">
      <alignment vertical="top"/>
    </xf>
    <xf numFmtId="0" fontId="46" fillId="0" borderId="0" xfId="0" applyFont="1" applyAlignment="1">
      <alignment horizontal="center" vertical="top" wrapText="1"/>
    </xf>
    <xf numFmtId="0" fontId="46" fillId="0" borderId="0" xfId="0" applyFont="1" applyBorder="1" applyAlignment="1">
      <alignment vertical="top"/>
    </xf>
    <xf numFmtId="0" fontId="46" fillId="0" borderId="0" xfId="0" applyFont="1" applyBorder="1" applyAlignment="1">
      <alignment horizontal="center" vertical="top" wrapText="1"/>
    </xf>
    <xf numFmtId="0" fontId="46" fillId="0" borderId="67" xfId="0" applyFont="1" applyBorder="1" applyAlignment="1">
      <alignment vertical="top"/>
    </xf>
    <xf numFmtId="0" fontId="58" fillId="8" borderId="11" xfId="0" applyFont="1" applyFill="1" applyBorder="1" applyAlignment="1">
      <alignment vertical="top"/>
    </xf>
    <xf numFmtId="3" fontId="52" fillId="23" borderId="70" xfId="0" applyNumberFormat="1" applyFont="1" applyFill="1" applyBorder="1" applyAlignment="1">
      <alignment vertical="center"/>
    </xf>
    <xf numFmtId="0" fontId="44" fillId="2" borderId="88" xfId="0" applyFont="1" applyFill="1" applyBorder="1" applyAlignment="1">
      <alignment vertical="center"/>
    </xf>
    <xf numFmtId="0" fontId="62" fillId="2" borderId="51" xfId="0" applyFont="1" applyFill="1" applyBorder="1" applyAlignment="1">
      <alignment vertical="top"/>
    </xf>
    <xf numFmtId="3" fontId="33" fillId="2" borderId="51" xfId="0" applyNumberFormat="1" applyFont="1" applyFill="1" applyBorder="1" applyAlignment="1">
      <alignment horizontal="left" vertical="top"/>
    </xf>
    <xf numFmtId="0" fontId="62" fillId="0" borderId="51" xfId="0" applyFont="1" applyFill="1" applyBorder="1" applyAlignment="1">
      <alignment vertical="top"/>
    </xf>
    <xf numFmtId="0" fontId="62" fillId="0" borderId="80" xfId="0" applyFont="1" applyFill="1" applyBorder="1" applyAlignment="1">
      <alignment vertical="top"/>
    </xf>
    <xf numFmtId="3" fontId="52" fillId="30" borderId="35" xfId="0" applyNumberFormat="1" applyFont="1" applyFill="1" applyBorder="1" applyAlignment="1">
      <alignment vertical="center"/>
    </xf>
    <xf numFmtId="0" fontId="48" fillId="8" borderId="11" xfId="0" applyFont="1" applyFill="1" applyBorder="1" applyAlignment="1">
      <alignment vertical="center"/>
    </xf>
    <xf numFmtId="3" fontId="55" fillId="8" borderId="30" xfId="0" applyNumberFormat="1" applyFont="1" applyFill="1" applyBorder="1" applyAlignment="1">
      <alignment vertical="center"/>
    </xf>
    <xf numFmtId="3" fontId="59" fillId="29" borderId="30" xfId="0" applyNumberFormat="1" applyFont="1" applyFill="1" applyBorder="1" applyAlignment="1">
      <alignment vertical="center"/>
    </xf>
    <xf numFmtId="3" fontId="59" fillId="24" borderId="30" xfId="0" applyNumberFormat="1" applyFont="1" applyFill="1" applyBorder="1" applyAlignment="1">
      <alignment vertical="center"/>
    </xf>
    <xf numFmtId="0" fontId="49" fillId="0" borderId="28" xfId="0" applyFont="1" applyBorder="1" applyAlignment="1">
      <alignment horizontal="center" vertical="top"/>
    </xf>
    <xf numFmtId="0" fontId="50" fillId="0" borderId="79" xfId="0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center"/>
    </xf>
    <xf numFmtId="0" fontId="50" fillId="0" borderId="70" xfId="0" applyFont="1" applyBorder="1" applyAlignment="1">
      <alignment horizontal="center" vertical="center"/>
    </xf>
    <xf numFmtId="0" fontId="53" fillId="6" borderId="8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vertical="center"/>
    </xf>
    <xf numFmtId="3" fontId="52" fillId="6" borderId="30" xfId="4" applyNumberFormat="1" applyFont="1" applyFill="1" applyBorder="1" applyAlignment="1">
      <alignment vertical="center"/>
    </xf>
    <xf numFmtId="3" fontId="46" fillId="0" borderId="0" xfId="0" applyNumberFormat="1" applyFont="1" applyAlignment="1">
      <alignment vertical="top"/>
    </xf>
    <xf numFmtId="3" fontId="57" fillId="8" borderId="31" xfId="4" applyNumberFormat="1" applyFont="1" applyFill="1" applyBorder="1" applyAlignment="1">
      <alignment vertical="top" wrapText="1"/>
    </xf>
    <xf numFmtId="3" fontId="55" fillId="8" borderId="28" xfId="0" applyNumberFormat="1" applyFont="1" applyFill="1" applyBorder="1" applyAlignment="1">
      <alignment vertical="top"/>
    </xf>
    <xf numFmtId="3" fontId="55" fillId="8" borderId="30" xfId="0" applyNumberFormat="1" applyFont="1" applyFill="1" applyBorder="1" applyAlignment="1">
      <alignment vertical="top"/>
    </xf>
    <xf numFmtId="3" fontId="32" fillId="8" borderId="31" xfId="4" applyNumberFormat="1" applyFont="1" applyFill="1" applyBorder="1" applyAlignment="1">
      <alignment vertical="top" wrapText="1"/>
    </xf>
    <xf numFmtId="3" fontId="59" fillId="8" borderId="28" xfId="0" applyNumberFormat="1" applyFont="1" applyFill="1" applyBorder="1" applyAlignment="1">
      <alignment vertical="top"/>
    </xf>
    <xf numFmtId="3" fontId="60" fillId="8" borderId="28" xfId="6" applyNumberFormat="1" applyFont="1" applyFill="1" applyBorder="1" applyAlignment="1">
      <alignment vertical="center"/>
    </xf>
    <xf numFmtId="0" fontId="45" fillId="8" borderId="25" xfId="4" applyFont="1" applyFill="1" applyBorder="1" applyAlignment="1">
      <alignment horizontal="center" vertical="top"/>
    </xf>
    <xf numFmtId="3" fontId="55" fillId="2" borderId="30" xfId="4" applyNumberFormat="1" applyFont="1" applyFill="1" applyBorder="1" applyAlignment="1">
      <alignment horizontal="right" vertical="center"/>
    </xf>
    <xf numFmtId="3" fontId="57" fillId="2" borderId="30" xfId="4" applyNumberFormat="1" applyFont="1" applyFill="1" applyBorder="1" applyAlignment="1">
      <alignment horizontal="right" vertical="center"/>
    </xf>
    <xf numFmtId="3" fontId="57" fillId="0" borderId="63" xfId="4" applyNumberFormat="1" applyFont="1" applyFill="1" applyBorder="1" applyAlignment="1">
      <alignment horizontal="right" vertical="center"/>
    </xf>
    <xf numFmtId="0" fontId="46" fillId="0" borderId="0" xfId="0" applyFont="1" applyAlignment="1">
      <alignment vertical="center"/>
    </xf>
    <xf numFmtId="3" fontId="46" fillId="0" borderId="0" xfId="0" applyNumberFormat="1" applyFont="1" applyAlignment="1">
      <alignment vertical="center"/>
    </xf>
    <xf numFmtId="3" fontId="55" fillId="2" borderId="31" xfId="4" applyNumberFormat="1" applyFont="1" applyFill="1" applyBorder="1" applyAlignment="1">
      <alignment vertical="top" wrapText="1"/>
    </xf>
    <xf numFmtId="0" fontId="45" fillId="8" borderId="19" xfId="0" applyFont="1" applyFill="1" applyBorder="1" applyAlignment="1">
      <alignment vertical="center" wrapText="1"/>
    </xf>
    <xf numFmtId="0" fontId="45" fillId="8" borderId="14" xfId="0" applyFont="1" applyFill="1" applyBorder="1" applyAlignment="1">
      <alignment horizontal="center" vertical="center" wrapText="1"/>
    </xf>
    <xf numFmtId="0" fontId="46" fillId="8" borderId="3" xfId="0" applyFont="1" applyFill="1" applyBorder="1" applyAlignment="1">
      <alignment vertical="top"/>
    </xf>
    <xf numFmtId="0" fontId="46" fillId="8" borderId="70" xfId="0" applyFont="1" applyFill="1" applyBorder="1" applyAlignment="1">
      <alignment vertical="top"/>
    </xf>
    <xf numFmtId="0" fontId="46" fillId="8" borderId="79" xfId="0" applyFont="1" applyFill="1" applyBorder="1" applyAlignment="1">
      <alignment vertical="top"/>
    </xf>
    <xf numFmtId="3" fontId="46" fillId="8" borderId="79" xfId="0" applyNumberFormat="1" applyFont="1" applyFill="1" applyBorder="1" applyAlignment="1">
      <alignment vertical="top"/>
    </xf>
    <xf numFmtId="3" fontId="46" fillId="24" borderId="70" xfId="0" applyNumberFormat="1" applyFont="1" applyFill="1" applyBorder="1" applyAlignment="1">
      <alignment vertical="top"/>
    </xf>
    <xf numFmtId="3" fontId="71" fillId="0" borderId="0" xfId="0" applyNumberFormat="1" applyFont="1"/>
    <xf numFmtId="0" fontId="71" fillId="0" borderId="0" xfId="0" applyFont="1"/>
    <xf numFmtId="3" fontId="59" fillId="26" borderId="72" xfId="4" applyNumberFormat="1" applyFont="1" applyFill="1" applyBorder="1" applyAlignment="1">
      <alignment horizontal="right" vertical="center"/>
    </xf>
    <xf numFmtId="3" fontId="32" fillId="0" borderId="35" xfId="4" applyNumberFormat="1" applyFont="1" applyFill="1" applyBorder="1" applyAlignment="1">
      <alignment horizontal="right" vertical="center"/>
    </xf>
    <xf numFmtId="3" fontId="32" fillId="0" borderId="0" xfId="4" applyNumberFormat="1" applyFont="1" applyFill="1" applyBorder="1" applyAlignment="1">
      <alignment horizontal="right" vertical="center"/>
    </xf>
    <xf numFmtId="3" fontId="32" fillId="0" borderId="51" xfId="4" applyNumberFormat="1" applyFont="1" applyFill="1" applyBorder="1" applyAlignment="1">
      <alignment horizontal="right"/>
    </xf>
    <xf numFmtId="3" fontId="32" fillId="0" borderId="39" xfId="4" applyNumberFormat="1" applyFont="1" applyFill="1" applyBorder="1" applyAlignment="1">
      <alignment horizontal="right"/>
    </xf>
    <xf numFmtId="3" fontId="32" fillId="0" borderId="39" xfId="4" applyNumberFormat="1" applyFont="1" applyFill="1" applyBorder="1" applyAlignment="1">
      <alignment horizontal="right" vertical="center"/>
    </xf>
    <xf numFmtId="3" fontId="53" fillId="23" borderId="29" xfId="4" applyNumberFormat="1" applyFont="1" applyFill="1" applyBorder="1" applyAlignment="1">
      <alignment horizontal="right" vertical="center"/>
    </xf>
    <xf numFmtId="0" fontId="60" fillId="0" borderId="38" xfId="0" applyFont="1" applyBorder="1" applyAlignment="1">
      <alignment horizontal="center" vertical="center" wrapText="1"/>
    </xf>
    <xf numFmtId="3" fontId="32" fillId="0" borderId="50" xfId="4" applyNumberFormat="1" applyFont="1" applyFill="1" applyBorder="1" applyAlignment="1">
      <alignment horizontal="right" vertical="center"/>
    </xf>
    <xf numFmtId="3" fontId="59" fillId="2" borderId="47" xfId="4" applyNumberFormat="1" applyFont="1" applyFill="1" applyBorder="1" applyAlignment="1">
      <alignment horizontal="right" vertical="center"/>
    </xf>
    <xf numFmtId="3" fontId="53" fillId="6" borderId="9" xfId="4" applyNumberFormat="1" applyFont="1" applyFill="1" applyBorder="1" applyAlignment="1">
      <alignment horizontal="right" vertical="center"/>
    </xf>
    <xf numFmtId="0" fontId="52" fillId="28" borderId="5" xfId="4" applyFont="1" applyFill="1" applyBorder="1" applyAlignment="1">
      <alignment vertical="center" wrapText="1"/>
    </xf>
    <xf numFmtId="3" fontId="57" fillId="28" borderId="32" xfId="4" applyNumberFormat="1" applyFont="1" applyFill="1" applyBorder="1" applyAlignment="1">
      <alignment vertical="top" wrapText="1"/>
    </xf>
    <xf numFmtId="3" fontId="57" fillId="13" borderId="32" xfId="4" applyNumberFormat="1" applyFont="1" applyFill="1" applyBorder="1" applyAlignment="1">
      <alignment vertical="top" wrapText="1"/>
    </xf>
    <xf numFmtId="0" fontId="55" fillId="13" borderId="21" xfId="4" applyFont="1" applyFill="1" applyBorder="1" applyAlignment="1">
      <alignment vertical="top"/>
    </xf>
    <xf numFmtId="0" fontId="55" fillId="57" borderId="45" xfId="4" applyFont="1" applyFill="1" applyBorder="1" applyAlignment="1">
      <alignment horizontal="left" vertical="center"/>
    </xf>
    <xf numFmtId="0" fontId="55" fillId="57" borderId="16" xfId="4" applyFont="1" applyFill="1" applyBorder="1" applyAlignment="1">
      <alignment horizontal="left" vertical="center"/>
    </xf>
    <xf numFmtId="3" fontId="55" fillId="57" borderId="17" xfId="4" applyNumberFormat="1" applyFont="1" applyFill="1" applyBorder="1" applyAlignment="1">
      <alignment horizontal="right" vertical="center"/>
    </xf>
    <xf numFmtId="0" fontId="55" fillId="57" borderId="67" xfId="4" applyFont="1" applyFill="1" applyBorder="1" applyAlignment="1">
      <alignment horizontal="left" vertical="center"/>
    </xf>
    <xf numFmtId="0" fontId="55" fillId="57" borderId="6" xfId="4" applyFont="1" applyFill="1" applyBorder="1" applyAlignment="1">
      <alignment horizontal="left" vertical="center"/>
    </xf>
    <xf numFmtId="3" fontId="55" fillId="57" borderId="27" xfId="4" applyNumberFormat="1" applyFont="1" applyFill="1" applyBorder="1" applyAlignment="1">
      <alignment horizontal="right" vertical="center"/>
    </xf>
    <xf numFmtId="0" fontId="55" fillId="57" borderId="67" xfId="0" applyFont="1" applyFill="1" applyBorder="1" applyAlignment="1">
      <alignment horizontal="left" vertical="top"/>
    </xf>
    <xf numFmtId="0" fontId="56" fillId="57" borderId="6" xfId="0" quotePrefix="1" applyFont="1" applyFill="1" applyBorder="1" applyAlignment="1">
      <alignment horizontal="center" vertical="top"/>
    </xf>
    <xf numFmtId="3" fontId="55" fillId="57" borderId="27" xfId="0" quotePrefix="1" applyNumberFormat="1" applyFont="1" applyFill="1" applyBorder="1" applyAlignment="1">
      <alignment horizontal="right" vertical="top"/>
    </xf>
    <xf numFmtId="0" fontId="55" fillId="57" borderId="34" xfId="4" applyFont="1" applyFill="1" applyBorder="1" applyAlignment="1">
      <alignment horizontal="left" vertical="center"/>
    </xf>
    <xf numFmtId="3" fontId="55" fillId="57" borderId="29" xfId="4" applyNumberFormat="1" applyFont="1" applyFill="1" applyBorder="1" applyAlignment="1">
      <alignment horizontal="right" vertical="center"/>
    </xf>
    <xf numFmtId="0" fontId="56" fillId="57" borderId="22" xfId="0" quotePrefix="1" applyFont="1" applyFill="1" applyBorder="1" applyAlignment="1">
      <alignment horizontal="center" vertical="top"/>
    </xf>
    <xf numFmtId="0" fontId="55" fillId="57" borderId="36" xfId="4" applyFont="1" applyFill="1" applyBorder="1" applyAlignment="1">
      <alignment horizontal="left" vertical="center"/>
    </xf>
    <xf numFmtId="0" fontId="55" fillId="57" borderId="20" xfId="4" applyFont="1" applyFill="1" applyBorder="1" applyAlignment="1">
      <alignment horizontal="left" vertical="center"/>
    </xf>
    <xf numFmtId="3" fontId="55" fillId="57" borderId="9" xfId="4" applyNumberFormat="1" applyFont="1" applyFill="1" applyBorder="1" applyAlignment="1">
      <alignment horizontal="right" vertical="center"/>
    </xf>
    <xf numFmtId="0" fontId="55" fillId="57" borderId="46" xfId="0" applyFont="1" applyFill="1" applyBorder="1" applyAlignment="1">
      <alignment horizontal="left" vertical="top"/>
    </xf>
    <xf numFmtId="0" fontId="55" fillId="57" borderId="8" xfId="4" applyFont="1" applyFill="1" applyBorder="1" applyAlignment="1">
      <alignment horizontal="left" vertical="center"/>
    </xf>
    <xf numFmtId="3" fontId="55" fillId="57" borderId="20" xfId="4" applyNumberFormat="1" applyFont="1" applyFill="1" applyBorder="1" applyAlignment="1">
      <alignment horizontal="right" vertical="center"/>
    </xf>
    <xf numFmtId="0" fontId="55" fillId="57" borderId="0" xfId="4" applyFont="1" applyFill="1" applyBorder="1" applyAlignment="1">
      <alignment horizontal="left" vertical="center"/>
    </xf>
    <xf numFmtId="3" fontId="55" fillId="57" borderId="6" xfId="4" applyNumberFormat="1" applyFont="1" applyFill="1" applyBorder="1" applyAlignment="1">
      <alignment horizontal="right" vertical="center"/>
    </xf>
    <xf numFmtId="0" fontId="55" fillId="57" borderId="68" xfId="0" applyFont="1" applyFill="1" applyBorder="1" applyAlignment="1">
      <alignment horizontal="left" vertical="top"/>
    </xf>
    <xf numFmtId="3" fontId="55" fillId="57" borderId="22" xfId="0" quotePrefix="1" applyNumberFormat="1" applyFont="1" applyFill="1" applyBorder="1" applyAlignment="1">
      <alignment horizontal="right" vertical="top"/>
    </xf>
    <xf numFmtId="3" fontId="55" fillId="57" borderId="23" xfId="0" quotePrefix="1" applyNumberFormat="1" applyFont="1" applyFill="1" applyBorder="1" applyAlignment="1">
      <alignment horizontal="right" vertical="top"/>
    </xf>
    <xf numFmtId="3" fontId="46" fillId="8" borderId="67" xfId="4" applyNumberFormat="1" applyFont="1" applyFill="1" applyBorder="1" applyAlignment="1">
      <alignment vertical="top" wrapText="1"/>
    </xf>
    <xf numFmtId="0" fontId="55" fillId="57" borderId="11" xfId="4" applyFont="1" applyFill="1" applyBorder="1" applyAlignment="1">
      <alignment horizontal="left" vertical="center"/>
    </xf>
    <xf numFmtId="0" fontId="55" fillId="57" borderId="25" xfId="0" applyFont="1" applyFill="1" applyBorder="1" applyAlignment="1">
      <alignment horizontal="left" vertical="top"/>
    </xf>
    <xf numFmtId="3" fontId="57" fillId="2" borderId="32" xfId="4" applyNumberFormat="1" applyFont="1" applyFill="1" applyBorder="1" applyAlignment="1">
      <alignment vertical="center" wrapText="1"/>
    </xf>
    <xf numFmtId="0" fontId="32" fillId="0" borderId="21" xfId="0" applyFont="1" applyFill="1" applyBorder="1" applyAlignment="1">
      <alignment vertical="center"/>
    </xf>
    <xf numFmtId="0" fontId="32" fillId="0" borderId="32" xfId="0" applyFont="1" applyFill="1" applyBorder="1" applyAlignment="1">
      <alignment vertical="center" wrapText="1"/>
    </xf>
    <xf numFmtId="3" fontId="59" fillId="0" borderId="13" xfId="0" applyNumberFormat="1" applyFont="1" applyFill="1" applyBorder="1" applyAlignment="1">
      <alignment vertical="top"/>
    </xf>
    <xf numFmtId="0" fontId="0" fillId="0" borderId="30" xfId="0" applyFont="1" applyBorder="1"/>
    <xf numFmtId="0" fontId="0" fillId="0" borderId="24" xfId="0" applyFont="1" applyBorder="1" applyAlignment="1">
      <alignment vertical="center"/>
    </xf>
    <xf numFmtId="0" fontId="3" fillId="16" borderId="42" xfId="0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5" fillId="17" borderId="43" xfId="0" applyNumberFormat="1" applyFont="1" applyFill="1" applyBorder="1"/>
    <xf numFmtId="3" fontId="35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2" fillId="17" borderId="43" xfId="0" applyNumberFormat="1" applyFont="1" applyFill="1" applyBorder="1"/>
    <xf numFmtId="0" fontId="22" fillId="0" borderId="82" xfId="0" applyFont="1" applyBorder="1" applyAlignment="1">
      <alignment horizontal="center" vertical="center"/>
    </xf>
    <xf numFmtId="3" fontId="18" fillId="11" borderId="44" xfId="0" applyNumberFormat="1" applyFont="1" applyFill="1" applyBorder="1"/>
    <xf numFmtId="3" fontId="18" fillId="11" borderId="49" xfId="0" applyNumberFormat="1" applyFont="1" applyFill="1" applyBorder="1"/>
    <xf numFmtId="3" fontId="18" fillId="11" borderId="48" xfId="0" applyNumberFormat="1" applyFont="1" applyFill="1" applyBorder="1"/>
    <xf numFmtId="3" fontId="34" fillId="18" borderId="40" xfId="0" applyNumberFormat="1" applyFont="1" applyFill="1" applyBorder="1" applyAlignment="1">
      <alignment vertical="top"/>
    </xf>
    <xf numFmtId="3" fontId="34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4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57" fillId="8" borderId="34" xfId="4" applyNumberFormat="1" applyFont="1" applyFill="1" applyBorder="1" applyAlignment="1">
      <alignment vertical="top" wrapText="1"/>
    </xf>
    <xf numFmtId="3" fontId="57" fillId="8" borderId="28" xfId="4" applyNumberFormat="1" applyFont="1" applyFill="1" applyBorder="1" applyAlignment="1">
      <alignment vertical="top" wrapText="1"/>
    </xf>
    <xf numFmtId="0" fontId="57" fillId="8" borderId="34" xfId="4" applyFont="1" applyFill="1" applyBorder="1" applyAlignment="1">
      <alignment vertical="top"/>
    </xf>
    <xf numFmtId="3" fontId="61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0" fillId="0" borderId="30" xfId="0" applyNumberFormat="1" applyFont="1" applyBorder="1"/>
    <xf numFmtId="0" fontId="59" fillId="8" borderId="47" xfId="4" applyFont="1" applyFill="1" applyBorder="1" applyAlignment="1">
      <alignment vertical="center"/>
    </xf>
    <xf numFmtId="3" fontId="52" fillId="6" borderId="35" xfId="4" applyNumberFormat="1" applyFont="1" applyFill="1" applyBorder="1" applyAlignment="1">
      <alignment vertical="center"/>
    </xf>
    <xf numFmtId="3" fontId="53" fillId="6" borderId="30" xfId="4" applyNumberFormat="1" applyFont="1" applyFill="1" applyBorder="1" applyAlignment="1">
      <alignment vertical="center"/>
    </xf>
    <xf numFmtId="43" fontId="57" fillId="0" borderId="30" xfId="1" applyFont="1" applyFill="1" applyBorder="1" applyAlignment="1">
      <alignment horizontal="right" vertical="center"/>
    </xf>
    <xf numFmtId="43" fontId="32" fillId="0" borderId="30" xfId="1" applyFont="1" applyFill="1" applyBorder="1" applyAlignment="1">
      <alignment horizontal="right" vertical="center"/>
    </xf>
    <xf numFmtId="43" fontId="52" fillId="6" borderId="35" xfId="1" applyFont="1" applyFill="1" applyBorder="1" applyAlignment="1">
      <alignment vertical="center"/>
    </xf>
    <xf numFmtId="0" fontId="60" fillId="0" borderId="6" xfId="0" applyFont="1" applyBorder="1" applyAlignment="1">
      <alignment vertical="center" wrapText="1"/>
    </xf>
    <xf numFmtId="3" fontId="59" fillId="0" borderId="9" xfId="4" applyNumberFormat="1" applyFont="1" applyFill="1" applyBorder="1" applyAlignment="1">
      <alignment horizontal="right" vertical="center"/>
    </xf>
    <xf numFmtId="0" fontId="45" fillId="0" borderId="0" xfId="112" applyFont="1" applyAlignment="1">
      <alignment vertical="top"/>
    </xf>
    <xf numFmtId="0" fontId="46" fillId="0" borderId="0" xfId="112" applyFont="1" applyAlignment="1">
      <alignment vertical="top"/>
    </xf>
    <xf numFmtId="0" fontId="56" fillId="0" borderId="0" xfId="112" applyFont="1" applyFill="1" applyAlignment="1"/>
    <xf numFmtId="0" fontId="39" fillId="0" borderId="0" xfId="112" applyFont="1" applyFill="1" applyAlignment="1"/>
    <xf numFmtId="0" fontId="42" fillId="2" borderId="0" xfId="113" applyFont="1" applyFill="1" applyBorder="1" applyAlignment="1">
      <alignment horizontal="right" vertical="center"/>
    </xf>
    <xf numFmtId="0" fontId="43" fillId="2" borderId="0" xfId="112" applyFont="1" applyFill="1" applyBorder="1" applyAlignment="1">
      <alignment horizontal="right" vertical="center"/>
    </xf>
    <xf numFmtId="0" fontId="56" fillId="0" borderId="0" xfId="112" applyFont="1" applyFill="1" applyAlignment="1">
      <alignment horizontal="left"/>
    </xf>
    <xf numFmtId="0" fontId="49" fillId="0" borderId="0" xfId="112" applyFont="1" applyAlignment="1">
      <alignment vertical="top"/>
    </xf>
    <xf numFmtId="0" fontId="48" fillId="2" borderId="5" xfId="112" applyFont="1" applyFill="1" applyBorder="1" applyAlignment="1">
      <alignment horizontal="center" vertical="top"/>
    </xf>
    <xf numFmtId="0" fontId="48" fillId="2" borderId="11" xfId="112" applyFont="1" applyFill="1" applyBorder="1" applyAlignment="1">
      <alignment horizontal="center" vertical="top"/>
    </xf>
    <xf numFmtId="0" fontId="54" fillId="0" borderId="12" xfId="112" applyFont="1" applyBorder="1" applyAlignment="1">
      <alignment horizontal="center" vertical="center" wrapText="1"/>
    </xf>
    <xf numFmtId="0" fontId="45" fillId="0" borderId="12" xfId="112" applyFont="1" applyBorder="1" applyAlignment="1">
      <alignment horizontal="center" vertical="center"/>
    </xf>
    <xf numFmtId="0" fontId="54" fillId="0" borderId="12" xfId="114" applyFont="1" applyBorder="1" applyAlignment="1">
      <alignment horizontal="center" vertical="center"/>
    </xf>
    <xf numFmtId="0" fontId="49" fillId="0" borderId="37" xfId="112" applyFont="1" applyBorder="1" applyAlignment="1">
      <alignment horizontal="center" vertical="top"/>
    </xf>
    <xf numFmtId="0" fontId="49" fillId="0" borderId="47" xfId="112" applyFont="1" applyBorder="1" applyAlignment="1">
      <alignment horizontal="center" vertical="top"/>
    </xf>
    <xf numFmtId="0" fontId="49" fillId="0" borderId="47" xfId="112" quotePrefix="1" applyFont="1" applyBorder="1" applyAlignment="1">
      <alignment horizontal="center" vertical="top"/>
    </xf>
    <xf numFmtId="0" fontId="49" fillId="2" borderId="47" xfId="112" applyFont="1" applyFill="1" applyBorder="1" applyAlignment="1">
      <alignment horizontal="center" vertical="top"/>
    </xf>
    <xf numFmtId="0" fontId="49" fillId="2" borderId="47" xfId="112" quotePrefix="1" applyFont="1" applyFill="1" applyBorder="1" applyAlignment="1">
      <alignment horizontal="center" vertical="top"/>
    </xf>
    <xf numFmtId="0" fontId="49" fillId="27" borderId="75" xfId="112" quotePrefix="1" applyFont="1" applyFill="1" applyBorder="1" applyAlignment="1">
      <alignment horizontal="center" vertical="top"/>
    </xf>
    <xf numFmtId="0" fontId="49" fillId="2" borderId="48" xfId="112" quotePrefix="1" applyFont="1" applyFill="1" applyBorder="1" applyAlignment="1">
      <alignment horizontal="center" vertical="top"/>
    </xf>
    <xf numFmtId="0" fontId="55" fillId="57" borderId="19" xfId="4" applyFont="1" applyFill="1" applyBorder="1" applyAlignment="1">
      <alignment horizontal="left" vertical="center"/>
    </xf>
    <xf numFmtId="0" fontId="55" fillId="57" borderId="25" xfId="112" applyFont="1" applyFill="1" applyBorder="1" applyAlignment="1">
      <alignment horizontal="left" vertical="top"/>
    </xf>
    <xf numFmtId="0" fontId="56" fillId="57" borderId="22" xfId="112" quotePrefix="1" applyFont="1" applyFill="1" applyBorder="1" applyAlignment="1">
      <alignment horizontal="center" vertical="top"/>
    </xf>
    <xf numFmtId="3" fontId="55" fillId="57" borderId="23" xfId="112" quotePrefix="1" applyNumberFormat="1" applyFont="1" applyFill="1" applyBorder="1" applyAlignment="1">
      <alignment horizontal="right" vertical="top"/>
    </xf>
    <xf numFmtId="3" fontId="55" fillId="8" borderId="30" xfId="112" applyNumberFormat="1" applyFont="1" applyFill="1" applyBorder="1" applyAlignment="1">
      <alignment vertical="top"/>
    </xf>
    <xf numFmtId="3" fontId="55" fillId="24" borderId="30" xfId="112" applyNumberFormat="1" applyFont="1" applyFill="1" applyBorder="1" applyAlignment="1">
      <alignment vertical="top"/>
    </xf>
    <xf numFmtId="3" fontId="59" fillId="8" borderId="30" xfId="112" applyNumberFormat="1" applyFont="1" applyFill="1" applyBorder="1" applyAlignment="1">
      <alignment vertical="top"/>
    </xf>
    <xf numFmtId="3" fontId="60" fillId="8" borderId="29" xfId="114" applyNumberFormat="1" applyFont="1" applyFill="1" applyBorder="1" applyAlignment="1">
      <alignment vertical="center"/>
    </xf>
    <xf numFmtId="0" fontId="55" fillId="8" borderId="34" xfId="4" applyFont="1" applyFill="1" applyBorder="1" applyAlignment="1">
      <alignment vertical="center"/>
    </xf>
    <xf numFmtId="0" fontId="55" fillId="8" borderId="28" xfId="4" applyFont="1" applyFill="1" applyBorder="1" applyAlignment="1">
      <alignment vertical="center"/>
    </xf>
    <xf numFmtId="3" fontId="61" fillId="8" borderId="29" xfId="114" applyNumberFormat="1" applyFont="1" applyFill="1" applyBorder="1" applyAlignment="1">
      <alignment vertical="center"/>
    </xf>
    <xf numFmtId="0" fontId="52" fillId="8" borderId="19" xfId="112" applyFont="1" applyFill="1" applyBorder="1" applyAlignment="1">
      <alignment vertical="center" wrapText="1"/>
    </xf>
    <xf numFmtId="0" fontId="52" fillId="8" borderId="14" xfId="112" applyFont="1" applyFill="1" applyBorder="1" applyAlignment="1">
      <alignment horizontal="center" vertical="center" wrapText="1"/>
    </xf>
    <xf numFmtId="0" fontId="32" fillId="8" borderId="3" xfId="112" applyFont="1" applyFill="1" applyBorder="1" applyAlignment="1">
      <alignment vertical="top"/>
    </xf>
    <xf numFmtId="0" fontId="32" fillId="8" borderId="70" xfId="112" applyFont="1" applyFill="1" applyBorder="1" applyAlignment="1">
      <alignment vertical="top"/>
    </xf>
    <xf numFmtId="0" fontId="32" fillId="8" borderId="79" xfId="112" applyFont="1" applyFill="1" applyBorder="1" applyAlignment="1">
      <alignment vertical="top"/>
    </xf>
    <xf numFmtId="3" fontId="32" fillId="8" borderId="79" xfId="112" applyNumberFormat="1" applyFont="1" applyFill="1" applyBorder="1" applyAlignment="1">
      <alignment vertical="top"/>
    </xf>
    <xf numFmtId="3" fontId="32" fillId="24" borderId="70" xfId="112" applyNumberFormat="1" applyFont="1" applyFill="1" applyBorder="1" applyAlignment="1">
      <alignment vertical="top"/>
    </xf>
    <xf numFmtId="3" fontId="61" fillId="0" borderId="30" xfId="114" applyNumberFormat="1" applyFont="1" applyFill="1" applyBorder="1" applyAlignment="1">
      <alignment vertical="center"/>
    </xf>
    <xf numFmtId="3" fontId="61" fillId="0" borderId="29" xfId="114" applyNumberFormat="1" applyFont="1" applyFill="1" applyBorder="1" applyAlignment="1">
      <alignment vertical="center"/>
    </xf>
    <xf numFmtId="0" fontId="2" fillId="0" borderId="0" xfId="112" applyFont="1" applyBorder="1"/>
    <xf numFmtId="0" fontId="2" fillId="0" borderId="24" xfId="112" applyFont="1" applyBorder="1"/>
    <xf numFmtId="3" fontId="59" fillId="0" borderId="47" xfId="112" applyNumberFormat="1" applyFont="1" applyFill="1" applyBorder="1" applyAlignment="1">
      <alignment vertical="center"/>
    </xf>
    <xf numFmtId="3" fontId="60" fillId="0" borderId="30" xfId="114" applyNumberFormat="1" applyFont="1" applyFill="1" applyBorder="1" applyAlignment="1">
      <alignment vertical="center"/>
    </xf>
    <xf numFmtId="3" fontId="61" fillId="0" borderId="9" xfId="114" applyNumberFormat="1" applyFont="1" applyFill="1" applyBorder="1" applyAlignment="1">
      <alignment vertical="center"/>
    </xf>
    <xf numFmtId="0" fontId="46" fillId="0" borderId="0" xfId="112" applyFont="1" applyBorder="1" applyAlignment="1">
      <alignment vertical="top"/>
    </xf>
    <xf numFmtId="0" fontId="46" fillId="0" borderId="0" xfId="112" applyFont="1" applyBorder="1" applyAlignment="1">
      <alignment horizontal="center" vertical="top" wrapText="1"/>
    </xf>
    <xf numFmtId="0" fontId="46" fillId="0" borderId="67" xfId="112" applyFont="1" applyBorder="1" applyAlignment="1">
      <alignment vertical="top"/>
    </xf>
    <xf numFmtId="0" fontId="46" fillId="0" borderId="0" xfId="112" applyFont="1" applyAlignment="1">
      <alignment horizontal="center" vertical="top" wrapText="1"/>
    </xf>
    <xf numFmtId="0" fontId="58" fillId="8" borderId="5" xfId="0" applyFont="1" applyFill="1" applyBorder="1" applyAlignment="1">
      <alignment vertical="top"/>
    </xf>
    <xf numFmtId="0" fontId="14" fillId="0" borderId="13" xfId="4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92" fillId="0" borderId="12" xfId="0" applyFont="1" applyBorder="1" applyAlignment="1">
      <alignment horizontal="center" vertical="center" wrapText="1"/>
    </xf>
    <xf numFmtId="0" fontId="94" fillId="0" borderId="12" xfId="4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93" fillId="59" borderId="12" xfId="0" applyFont="1" applyFill="1" applyBorder="1" applyAlignment="1">
      <alignment horizontal="center" vertical="center"/>
    </xf>
    <xf numFmtId="3" fontId="59" fillId="2" borderId="9" xfId="4" applyNumberFormat="1" applyFont="1" applyFill="1" applyBorder="1" applyAlignment="1">
      <alignment horizontal="right" vertical="center"/>
    </xf>
    <xf numFmtId="3" fontId="52" fillId="8" borderId="3" xfId="4" applyNumberFormat="1" applyFont="1" applyFill="1" applyBorder="1" applyAlignment="1">
      <alignment horizontal="right" vertical="center"/>
    </xf>
    <xf numFmtId="3" fontId="59" fillId="0" borderId="72" xfId="4" applyNumberFormat="1" applyFont="1" applyFill="1" applyBorder="1" applyAlignment="1">
      <alignment horizontal="right" vertical="center"/>
    </xf>
    <xf numFmtId="3" fontId="59" fillId="2" borderId="72" xfId="4" applyNumberFormat="1" applyFont="1" applyFill="1" applyBorder="1" applyAlignment="1">
      <alignment horizontal="right" vertical="center"/>
    </xf>
    <xf numFmtId="3" fontId="59" fillId="0" borderId="76" xfId="4" applyNumberFormat="1" applyFont="1" applyFill="1" applyBorder="1" applyAlignment="1">
      <alignment horizontal="right" vertical="center"/>
    </xf>
    <xf numFmtId="3" fontId="53" fillId="23" borderId="71" xfId="4" applyNumberFormat="1" applyFont="1" applyFill="1" applyBorder="1" applyAlignment="1">
      <alignment horizontal="right" vertical="center"/>
    </xf>
    <xf numFmtId="3" fontId="55" fillId="26" borderId="31" xfId="4" applyNumberFormat="1" applyFont="1" applyFill="1" applyBorder="1" applyAlignment="1">
      <alignment horizontal="right" vertical="center"/>
    </xf>
    <xf numFmtId="3" fontId="59" fillId="26" borderId="64" xfId="4" applyNumberFormat="1" applyFont="1" applyFill="1" applyBorder="1" applyAlignment="1">
      <alignment horizontal="right" vertical="center"/>
    </xf>
    <xf numFmtId="3" fontId="52" fillId="8" borderId="2" xfId="0" applyNumberFormat="1" applyFont="1" applyFill="1" applyBorder="1" applyAlignment="1">
      <alignment vertical="center"/>
    </xf>
    <xf numFmtId="3" fontId="53" fillId="6" borderId="0" xfId="4" applyNumberFormat="1" applyFont="1" applyFill="1" applyBorder="1" applyAlignment="1">
      <alignment horizontal="right" vertical="center"/>
    </xf>
    <xf numFmtId="3" fontId="55" fillId="0" borderId="0" xfId="4" applyNumberFormat="1" applyFont="1" applyFill="1" applyBorder="1" applyAlignment="1">
      <alignment horizontal="right" vertical="center"/>
    </xf>
    <xf numFmtId="3" fontId="59" fillId="0" borderId="0" xfId="4" applyNumberFormat="1" applyFont="1" applyFill="1" applyBorder="1" applyAlignment="1">
      <alignment horizontal="right" vertical="center"/>
    </xf>
    <xf numFmtId="3" fontId="61" fillId="0" borderId="0" xfId="6" applyNumberFormat="1" applyFont="1" applyFill="1" applyBorder="1" applyAlignment="1">
      <alignment vertical="center"/>
    </xf>
    <xf numFmtId="3" fontId="53" fillId="8" borderId="10" xfId="4" applyNumberFormat="1" applyFont="1" applyFill="1" applyBorder="1" applyAlignment="1">
      <alignment horizontal="right" vertical="center"/>
    </xf>
    <xf numFmtId="3" fontId="55" fillId="0" borderId="0" xfId="4" applyNumberFormat="1" applyFont="1" applyFill="1" applyBorder="1" applyAlignment="1"/>
    <xf numFmtId="3" fontId="53" fillId="6" borderId="8" xfId="4" applyNumberFormat="1" applyFont="1" applyFill="1" applyBorder="1" applyAlignment="1">
      <alignment horizontal="right" vertical="center"/>
    </xf>
    <xf numFmtId="3" fontId="32" fillId="0" borderId="64" xfId="4" applyNumberFormat="1" applyFont="1" applyFill="1" applyBorder="1" applyAlignment="1">
      <alignment horizontal="right" vertical="center"/>
    </xf>
    <xf numFmtId="0" fontId="51" fillId="0" borderId="12" xfId="6" applyFont="1" applyBorder="1" applyAlignment="1">
      <alignment horizontal="center" vertical="center"/>
    </xf>
    <xf numFmtId="3" fontId="59" fillId="0" borderId="65" xfId="4" applyNumberFormat="1" applyFont="1" applyFill="1" applyBorder="1" applyAlignment="1">
      <alignment vertical="center"/>
    </xf>
    <xf numFmtId="3" fontId="52" fillId="23" borderId="29" xfId="4" applyNumberFormat="1" applyFont="1" applyFill="1" applyBorder="1" applyAlignment="1">
      <alignment horizontal="right" vertical="center"/>
    </xf>
    <xf numFmtId="3" fontId="60" fillId="8" borderId="72" xfId="6" applyNumberFormat="1" applyFont="1" applyFill="1" applyBorder="1" applyAlignment="1">
      <alignment vertical="center"/>
    </xf>
    <xf numFmtId="0" fontId="50" fillId="0" borderId="70" xfId="6" applyFont="1" applyBorder="1" applyAlignment="1">
      <alignment horizontal="center" vertical="center"/>
    </xf>
    <xf numFmtId="0" fontId="50" fillId="0" borderId="17" xfId="6" applyFont="1" applyBorder="1" applyAlignment="1">
      <alignment horizontal="center" vertical="center"/>
    </xf>
    <xf numFmtId="0" fontId="50" fillId="19" borderId="70" xfId="0" applyFont="1" applyFill="1" applyBorder="1" applyAlignment="1">
      <alignment horizontal="center" vertical="center" wrapText="1"/>
    </xf>
    <xf numFmtId="0" fontId="49" fillId="0" borderId="45" xfId="4" applyFont="1" applyBorder="1" applyAlignment="1">
      <alignment horizontal="center" vertical="center" wrapText="1"/>
    </xf>
    <xf numFmtId="0" fontId="47" fillId="2" borderId="7" xfId="0" applyFont="1" applyFill="1" applyBorder="1" applyAlignment="1">
      <alignment vertical="center" wrapText="1"/>
    </xf>
    <xf numFmtId="0" fontId="47" fillId="2" borderId="8" xfId="0" applyFont="1" applyFill="1" applyBorder="1" applyAlignment="1">
      <alignment vertical="center" wrapText="1"/>
    </xf>
    <xf numFmtId="0" fontId="49" fillId="2" borderId="75" xfId="112" quotePrefix="1" applyFont="1" applyFill="1" applyBorder="1" applyAlignment="1">
      <alignment horizontal="center" vertical="top"/>
    </xf>
    <xf numFmtId="0" fontId="2" fillId="0" borderId="47" xfId="112" applyFont="1" applyBorder="1"/>
    <xf numFmtId="3" fontId="16" fillId="0" borderId="50" xfId="0" quotePrefix="1" applyNumberFormat="1" applyFont="1" applyBorder="1" applyAlignment="1">
      <alignment horizontal="center"/>
    </xf>
    <xf numFmtId="43" fontId="18" fillId="3" borderId="21" xfId="1" applyFont="1" applyFill="1" applyBorder="1" applyAlignment="1">
      <alignment vertical="center" wrapText="1"/>
    </xf>
    <xf numFmtId="3" fontId="33" fillId="0" borderId="29" xfId="0" applyNumberFormat="1" applyFont="1" applyFill="1" applyBorder="1" applyAlignment="1">
      <alignment vertical="center" wrapText="1"/>
    </xf>
    <xf numFmtId="3" fontId="33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2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69" fillId="6" borderId="47" xfId="0" applyNumberFormat="1" applyFont="1" applyFill="1" applyBorder="1"/>
    <xf numFmtId="3" fontId="16" fillId="0" borderId="39" xfId="0" quotePrefix="1" applyNumberFormat="1" applyFont="1" applyBorder="1" applyAlignment="1">
      <alignment horizontal="center"/>
    </xf>
    <xf numFmtId="3" fontId="32" fillId="13" borderId="47" xfId="4" applyNumberFormat="1" applyFont="1" applyFill="1" applyBorder="1" applyAlignment="1">
      <alignment horizontal="right" vertical="center"/>
    </xf>
    <xf numFmtId="3" fontId="32" fillId="13" borderId="72" xfId="4" applyNumberFormat="1" applyFont="1" applyFill="1" applyBorder="1" applyAlignment="1">
      <alignment horizontal="right" vertical="center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3" fillId="6" borderId="79" xfId="0" applyNumberFormat="1" applyFont="1" applyFill="1" applyBorder="1"/>
    <xf numFmtId="3" fontId="33" fillId="6" borderId="31" xfId="0" applyNumberFormat="1" applyFont="1" applyFill="1" applyBorder="1"/>
    <xf numFmtId="3" fontId="15" fillId="6" borderId="76" xfId="0" applyNumberFormat="1" applyFont="1" applyFill="1" applyBorder="1"/>
    <xf numFmtId="3" fontId="3" fillId="6" borderId="79" xfId="0" applyNumberFormat="1" applyFont="1" applyFill="1" applyBorder="1"/>
    <xf numFmtId="3" fontId="33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3" fillId="6" borderId="17" xfId="0" applyNumberFormat="1" applyFont="1" applyFill="1" applyBorder="1"/>
    <xf numFmtId="3" fontId="21" fillId="2" borderId="11" xfId="0" applyNumberFormat="1" applyFont="1" applyFill="1" applyBorder="1" applyAlignment="1">
      <alignment vertical="center" wrapText="1"/>
    </xf>
    <xf numFmtId="3" fontId="16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0" fillId="14" borderId="11" xfId="0" applyNumberFormat="1" applyFont="1" applyFill="1" applyBorder="1" applyAlignment="1">
      <alignment vertical="center" wrapText="1"/>
    </xf>
    <xf numFmtId="3" fontId="30" fillId="14" borderId="25" xfId="0" applyNumberFormat="1" applyFont="1" applyFill="1" applyBorder="1" applyAlignment="1">
      <alignment vertical="center" wrapText="1"/>
    </xf>
    <xf numFmtId="3" fontId="19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3" fillId="6" borderId="19" xfId="0" applyNumberFormat="1" applyFont="1" applyFill="1" applyBorder="1"/>
    <xf numFmtId="3" fontId="33" fillId="6" borderId="32" xfId="0" applyNumberFormat="1" applyFont="1" applyFill="1" applyBorder="1"/>
    <xf numFmtId="3" fontId="15" fillId="6" borderId="77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4" fillId="12" borderId="25" xfId="0" applyNumberFormat="1" applyFont="1" applyFill="1" applyBorder="1"/>
    <xf numFmtId="0" fontId="39" fillId="0" borderId="0" xfId="0" applyFont="1" applyFill="1" applyAlignment="1">
      <alignment vertical="center"/>
    </xf>
    <xf numFmtId="3" fontId="52" fillId="8" borderId="7" xfId="4" applyNumberFormat="1" applyFont="1" applyFill="1" applyBorder="1" applyAlignment="1">
      <alignment horizontal="right" vertical="center"/>
    </xf>
    <xf numFmtId="3" fontId="52" fillId="24" borderId="7" xfId="4" applyNumberFormat="1" applyFont="1" applyFill="1" applyBorder="1" applyAlignment="1">
      <alignment horizontal="right" vertical="center"/>
    </xf>
    <xf numFmtId="3" fontId="50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3" fontId="95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71" fillId="0" borderId="0" xfId="0" applyFont="1" applyFill="1"/>
    <xf numFmtId="0" fontId="95" fillId="0" borderId="0" xfId="0" applyFont="1"/>
    <xf numFmtId="0" fontId="52" fillId="8" borderId="87" xfId="0" applyFont="1" applyFill="1" applyBorder="1" applyAlignment="1">
      <alignment vertical="center" wrapText="1"/>
    </xf>
    <xf numFmtId="0" fontId="32" fillId="8" borderId="17" xfId="0" applyFont="1" applyFill="1" applyBorder="1" applyAlignment="1">
      <alignment vertical="top"/>
    </xf>
    <xf numFmtId="0" fontId="32" fillId="8" borderId="35" xfId="0" applyFont="1" applyFill="1" applyBorder="1" applyAlignment="1">
      <alignment vertical="top"/>
    </xf>
    <xf numFmtId="0" fontId="60" fillId="0" borderId="0" xfId="0" applyFont="1" applyBorder="1"/>
    <xf numFmtId="0" fontId="52" fillId="8" borderId="6" xfId="0" applyFont="1" applyFill="1" applyBorder="1" applyAlignment="1">
      <alignment horizontal="center" vertical="center" wrapText="1"/>
    </xf>
    <xf numFmtId="0" fontId="32" fillId="8" borderId="7" xfId="0" applyFont="1" applyFill="1" applyBorder="1" applyAlignment="1">
      <alignment vertical="top"/>
    </xf>
    <xf numFmtId="3" fontId="32" fillId="8" borderId="7" xfId="0" applyNumberFormat="1" applyFont="1" applyFill="1" applyBorder="1" applyAlignment="1">
      <alignment vertical="top"/>
    </xf>
    <xf numFmtId="3" fontId="32" fillId="24" borderId="35" xfId="0" applyNumberFormat="1" applyFont="1" applyFill="1" applyBorder="1" applyAlignment="1">
      <alignment vertical="top"/>
    </xf>
    <xf numFmtId="3" fontId="32" fillId="24" borderId="30" xfId="4" applyNumberFormat="1" applyFont="1" applyFill="1" applyBorder="1" applyAlignment="1">
      <alignment horizontal="center" vertical="top"/>
    </xf>
    <xf numFmtId="3" fontId="2" fillId="0" borderId="0" xfId="112" applyNumberFormat="1" applyFont="1"/>
    <xf numFmtId="0" fontId="2" fillId="0" borderId="0" xfId="112" applyFont="1"/>
    <xf numFmtId="0" fontId="46" fillId="0" borderId="0" xfId="112" applyFont="1" applyAlignment="1">
      <alignment vertical="center"/>
    </xf>
    <xf numFmtId="3" fontId="46" fillId="0" borderId="0" xfId="112" applyNumberFormat="1" applyFont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2" fillId="0" borderId="71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18" fillId="11" borderId="30" xfId="0" applyNumberFormat="1" applyFont="1" applyFill="1" applyBorder="1" applyAlignment="1">
      <alignment vertical="center"/>
    </xf>
    <xf numFmtId="3" fontId="18" fillId="11" borderId="71" xfId="0" applyNumberFormat="1" applyFont="1" applyFill="1" applyBorder="1" applyAlignment="1">
      <alignment vertical="center"/>
    </xf>
    <xf numFmtId="3" fontId="18" fillId="11" borderId="49" xfId="0" applyNumberFormat="1" applyFont="1" applyFill="1" applyBorder="1" applyAlignment="1">
      <alignment vertical="center"/>
    </xf>
    <xf numFmtId="3" fontId="18" fillId="11" borderId="32" xfId="0" applyNumberFormat="1" applyFont="1" applyFill="1" applyBorder="1" applyAlignment="1">
      <alignment vertical="center"/>
    </xf>
    <xf numFmtId="3" fontId="18" fillId="11" borderId="29" xfId="0" applyNumberFormat="1" applyFont="1" applyFill="1" applyBorder="1" applyAlignment="1">
      <alignment vertical="center"/>
    </xf>
    <xf numFmtId="3" fontId="33" fillId="6" borderId="63" xfId="0" applyNumberFormat="1" applyFont="1" applyFill="1" applyBorder="1"/>
    <xf numFmtId="3" fontId="33" fillId="6" borderId="62" xfId="0" applyNumberFormat="1" applyFont="1" applyFill="1" applyBorder="1"/>
    <xf numFmtId="3" fontId="33" fillId="6" borderId="33" xfId="0" applyNumberFormat="1" applyFont="1" applyFill="1" applyBorder="1"/>
    <xf numFmtId="3" fontId="33" fillId="6" borderId="65" xfId="0" applyNumberFormat="1" applyFont="1" applyFill="1" applyBorder="1"/>
    <xf numFmtId="0" fontId="60" fillId="0" borderId="20" xfId="0" applyFont="1" applyBorder="1" applyAlignment="1">
      <alignment vertical="center" wrapText="1"/>
    </xf>
    <xf numFmtId="0" fontId="32" fillId="28" borderId="32" xfId="4" applyFont="1" applyFill="1" applyBorder="1" applyAlignment="1">
      <alignment vertical="center" wrapText="1"/>
    </xf>
    <xf numFmtId="0" fontId="32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3" fontId="97" fillId="2" borderId="0" xfId="0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43" fontId="61" fillId="0" borderId="29" xfId="1" applyFont="1" applyFill="1" applyBorder="1" applyAlignment="1">
      <alignment vertical="center"/>
    </xf>
    <xf numFmtId="43" fontId="32" fillId="0" borderId="63" xfId="1" applyFont="1" applyFill="1" applyBorder="1" applyAlignment="1">
      <alignment horizontal="right" vertical="center"/>
    </xf>
    <xf numFmtId="43" fontId="52" fillId="6" borderId="29" xfId="1" applyFont="1" applyFill="1" applyBorder="1" applyAlignment="1"/>
    <xf numFmtId="43" fontId="61" fillId="0" borderId="9" xfId="1" applyFont="1" applyFill="1" applyBorder="1" applyAlignment="1">
      <alignment vertical="center"/>
    </xf>
    <xf numFmtId="43" fontId="60" fillId="0" borderId="30" xfId="1" applyFont="1" applyFill="1" applyBorder="1" applyAlignment="1">
      <alignment vertical="center"/>
    </xf>
    <xf numFmtId="3" fontId="32" fillId="0" borderId="47" xfId="4" applyNumberFormat="1" applyFont="1" applyFill="1" applyBorder="1" applyAlignment="1">
      <alignment vertical="center"/>
    </xf>
    <xf numFmtId="43" fontId="32" fillId="0" borderId="47" xfId="1" applyFont="1" applyFill="1" applyBorder="1" applyAlignment="1">
      <alignment vertical="center"/>
    </xf>
    <xf numFmtId="0" fontId="52" fillId="8" borderId="85" xfId="0" applyFont="1" applyFill="1" applyBorder="1" applyAlignment="1">
      <alignment vertical="center" wrapText="1"/>
    </xf>
    <xf numFmtId="0" fontId="32" fillId="8" borderId="0" xfId="0" applyFont="1" applyFill="1" applyBorder="1" applyAlignment="1">
      <alignment vertical="top"/>
    </xf>
    <xf numFmtId="0" fontId="53" fillId="6" borderId="34" xfId="4" applyFont="1" applyFill="1" applyBorder="1" applyAlignment="1">
      <alignment vertical="center"/>
    </xf>
    <xf numFmtId="0" fontId="53" fillId="6" borderId="32" xfId="4" applyFont="1" applyFill="1" applyBorder="1" applyAlignment="1">
      <alignment vertical="center"/>
    </xf>
    <xf numFmtId="0" fontId="53" fillId="6" borderId="84" xfId="4" applyFont="1" applyFill="1" applyBorder="1" applyAlignment="1">
      <alignment vertical="center"/>
    </xf>
    <xf numFmtId="0" fontId="53" fillId="6" borderId="30" xfId="4" applyFont="1" applyFill="1" applyBorder="1" applyAlignment="1">
      <alignment vertical="center"/>
    </xf>
    <xf numFmtId="0" fontId="53" fillId="6" borderId="31" xfId="4" applyFont="1" applyFill="1" applyBorder="1" applyAlignment="1">
      <alignment vertical="center"/>
    </xf>
    <xf numFmtId="3" fontId="61" fillId="33" borderId="30" xfId="6" applyNumberFormat="1" applyFont="1" applyFill="1" applyBorder="1" applyAlignment="1">
      <alignment horizontal="right" vertical="center"/>
    </xf>
    <xf numFmtId="3" fontId="61" fillId="33" borderId="30" xfId="6" applyNumberFormat="1" applyFont="1" applyFill="1" applyBorder="1" applyAlignment="1">
      <alignment vertical="center"/>
    </xf>
    <xf numFmtId="3" fontId="55" fillId="33" borderId="30" xfId="4" applyNumberFormat="1" applyFont="1" applyFill="1" applyBorder="1" applyAlignment="1">
      <alignment horizontal="right" vertical="center"/>
    </xf>
    <xf numFmtId="3" fontId="55" fillId="33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0" fillId="33" borderId="30" xfId="6" applyNumberFormat="1" applyFont="1" applyFill="1" applyBorder="1" applyAlignment="1">
      <alignment horizontal="right" vertical="center"/>
    </xf>
    <xf numFmtId="3" fontId="32" fillId="33" borderId="30" xfId="4" applyNumberFormat="1" applyFont="1" applyFill="1" applyBorder="1" applyAlignment="1">
      <alignment horizontal="right" vertical="center"/>
    </xf>
    <xf numFmtId="3" fontId="32" fillId="24" borderId="30" xfId="4" applyNumberFormat="1" applyFont="1" applyFill="1" applyBorder="1" applyAlignment="1">
      <alignment vertical="center"/>
    </xf>
    <xf numFmtId="0" fontId="53" fillId="6" borderId="85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horizontal="right"/>
    </xf>
    <xf numFmtId="3" fontId="60" fillId="0" borderId="47" xfId="6" applyNumberFormat="1" applyFont="1" applyFill="1" applyBorder="1" applyAlignment="1">
      <alignment horizontal="right" vertical="center"/>
    </xf>
    <xf numFmtId="0" fontId="98" fillId="0" borderId="80" xfId="4" applyFont="1" applyFill="1" applyBorder="1" applyAlignment="1">
      <alignment horizontal="center" vertical="center"/>
    </xf>
    <xf numFmtId="3" fontId="106" fillId="2" borderId="0" xfId="0" applyNumberFormat="1" applyFont="1" applyFill="1" applyAlignment="1">
      <alignment vertical="center"/>
    </xf>
    <xf numFmtId="0" fontId="45" fillId="13" borderId="25" xfId="4" applyFont="1" applyFill="1" applyBorder="1" applyAlignment="1">
      <alignment horizontal="center" vertical="top"/>
    </xf>
    <xf numFmtId="3" fontId="32" fillId="13" borderId="69" xfId="4" applyNumberFormat="1" applyFont="1" applyFill="1" applyBorder="1" applyAlignment="1">
      <alignment vertical="top" wrapText="1"/>
    </xf>
    <xf numFmtId="3" fontId="46" fillId="28" borderId="41" xfId="4" applyNumberFormat="1" applyFont="1" applyFill="1" applyBorder="1" applyAlignment="1">
      <alignment horizontal="center" vertical="top" wrapText="1"/>
    </xf>
    <xf numFmtId="43" fontId="0" fillId="0" borderId="30" xfId="0" applyNumberFormat="1" applyFont="1" applyBorder="1"/>
    <xf numFmtId="3" fontId="53" fillId="0" borderId="30" xfId="4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3" fontId="59" fillId="0" borderId="72" xfId="4" applyNumberFormat="1" applyFont="1" applyFill="1" applyBorder="1" applyAlignment="1">
      <alignment horizontal="right"/>
    </xf>
    <xf numFmtId="3" fontId="59" fillId="0" borderId="74" xfId="4" applyNumberFormat="1" applyFont="1" applyFill="1" applyBorder="1" applyAlignment="1">
      <alignment horizontal="right"/>
    </xf>
    <xf numFmtId="0" fontId="53" fillId="8" borderId="19" xfId="4" applyFont="1" applyFill="1" applyBorder="1" applyAlignment="1">
      <alignment vertical="center" wrapText="1"/>
    </xf>
    <xf numFmtId="3" fontId="60" fillId="0" borderId="74" xfId="6" applyNumberFormat="1" applyFont="1" applyFill="1" applyBorder="1" applyAlignment="1">
      <alignment vertical="center"/>
    </xf>
    <xf numFmtId="0" fontId="53" fillId="8" borderId="19" xfId="4" applyFont="1" applyFill="1" applyBorder="1" applyAlignment="1">
      <alignment vertical="top" wrapText="1"/>
    </xf>
    <xf numFmtId="0" fontId="53" fillId="8" borderId="19" xfId="4" applyFont="1" applyFill="1" applyBorder="1" applyAlignment="1">
      <alignment horizontal="left" vertical="center" wrapText="1"/>
    </xf>
    <xf numFmtId="43" fontId="53" fillId="6" borderId="29" xfId="1" applyFont="1" applyFill="1" applyBorder="1" applyAlignment="1">
      <alignment horizontal="right" vertical="center"/>
    </xf>
    <xf numFmtId="43" fontId="55" fillId="0" borderId="29" xfId="1" applyFont="1" applyFill="1" applyBorder="1" applyAlignment="1">
      <alignment horizontal="right" vertical="center"/>
    </xf>
    <xf numFmtId="43" fontId="59" fillId="0" borderId="29" xfId="1" applyFont="1" applyFill="1" applyBorder="1" applyAlignment="1">
      <alignment horizontal="right" vertical="center"/>
    </xf>
    <xf numFmtId="43" fontId="55" fillId="2" borderId="29" xfId="1" applyFont="1" applyFill="1" applyBorder="1" applyAlignment="1"/>
    <xf numFmtId="43" fontId="59" fillId="2" borderId="47" xfId="1" applyFont="1" applyFill="1" applyBorder="1" applyAlignment="1"/>
    <xf numFmtId="43" fontId="53" fillId="6" borderId="30" xfId="1" applyFont="1" applyFill="1" applyBorder="1" applyAlignment="1">
      <alignment horizontal="right" vertical="center"/>
    </xf>
    <xf numFmtId="3" fontId="59" fillId="0" borderId="29" xfId="4" applyNumberFormat="1" applyFont="1" applyFill="1" applyBorder="1" applyAlignment="1">
      <alignment vertical="center"/>
    </xf>
    <xf numFmtId="43" fontId="61" fillId="0" borderId="30" xfId="1" applyFont="1" applyFill="1" applyBorder="1" applyAlignment="1">
      <alignment vertical="center"/>
    </xf>
    <xf numFmtId="43" fontId="32" fillId="0" borderId="47" xfId="1" applyFont="1" applyFill="1" applyBorder="1" applyAlignment="1">
      <alignment horizontal="right" vertical="center"/>
    </xf>
    <xf numFmtId="43" fontId="52" fillId="6" borderId="30" xfId="1" applyFont="1" applyFill="1" applyBorder="1" applyAlignment="1">
      <alignment horizontal="right" vertical="center"/>
    </xf>
    <xf numFmtId="43" fontId="55" fillId="0" borderId="30" xfId="1" applyFont="1" applyFill="1" applyBorder="1" applyAlignment="1">
      <alignment horizontal="right" vertical="center"/>
    </xf>
    <xf numFmtId="3" fontId="52" fillId="8" borderId="0" xfId="4" applyNumberFormat="1" applyFont="1" applyFill="1" applyBorder="1" applyAlignment="1">
      <alignment horizontal="right" vertical="center"/>
    </xf>
    <xf numFmtId="3" fontId="52" fillId="24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59" fillId="0" borderId="51" xfId="4" applyNumberFormat="1" applyFont="1" applyFill="1" applyBorder="1" applyAlignment="1"/>
    <xf numFmtId="3" fontId="32" fillId="0" borderId="50" xfId="4" applyNumberFormat="1" applyFont="1" applyFill="1" applyBorder="1" applyAlignment="1">
      <alignment horizontal="right"/>
    </xf>
    <xf numFmtId="3" fontId="59" fillId="0" borderId="39" xfId="4" applyNumberFormat="1" applyFont="1" applyFill="1" applyBorder="1" applyAlignment="1">
      <alignment horizontal="right"/>
    </xf>
    <xf numFmtId="3" fontId="59" fillId="0" borderId="50" xfId="4" applyNumberFormat="1" applyFont="1" applyFill="1" applyBorder="1" applyAlignment="1">
      <alignment horizontal="right"/>
    </xf>
    <xf numFmtId="3" fontId="32" fillId="0" borderId="78" xfId="4" applyNumberFormat="1" applyFont="1" applyFill="1" applyBorder="1" applyAlignment="1">
      <alignment horizontal="right"/>
    </xf>
    <xf numFmtId="3" fontId="53" fillId="27" borderId="51" xfId="4" applyNumberFormat="1" applyFont="1" applyFill="1" applyBorder="1" applyAlignment="1">
      <alignment horizontal="center" vertical="center"/>
    </xf>
    <xf numFmtId="0" fontId="50" fillId="0" borderId="40" xfId="0" applyFont="1" applyBorder="1" applyAlignment="1">
      <alignment horizontal="center" vertical="center" wrapText="1"/>
    </xf>
    <xf numFmtId="3" fontId="59" fillId="0" borderId="74" xfId="0" applyNumberFormat="1" applyFont="1" applyFill="1" applyBorder="1" applyAlignment="1">
      <alignment horizontal="right" vertical="center"/>
    </xf>
    <xf numFmtId="3" fontId="59" fillId="0" borderId="75" xfId="0" applyNumberFormat="1" applyFont="1" applyFill="1" applyBorder="1" applyAlignment="1">
      <alignment horizontal="right" vertical="center"/>
    </xf>
    <xf numFmtId="3" fontId="55" fillId="0" borderId="47" xfId="0" applyNumberFormat="1" applyFont="1" applyFill="1" applyBorder="1" applyAlignment="1">
      <alignment horizontal="right" vertical="center"/>
    </xf>
    <xf numFmtId="3" fontId="55" fillId="0" borderId="72" xfId="0" applyNumberFormat="1" applyFont="1" applyFill="1" applyBorder="1" applyAlignment="1">
      <alignment horizontal="right" vertical="center"/>
    </xf>
    <xf numFmtId="3" fontId="32" fillId="0" borderId="47" xfId="0" applyNumberFormat="1" applyFont="1" applyFill="1" applyBorder="1" applyAlignment="1">
      <alignment horizontal="right" vertical="center"/>
    </xf>
    <xf numFmtId="43" fontId="51" fillId="6" borderId="29" xfId="1" applyFont="1" applyFill="1" applyBorder="1" applyAlignment="1">
      <alignment horizontal="right" vertical="center"/>
    </xf>
    <xf numFmtId="43" fontId="61" fillId="0" borderId="29" xfId="1" applyFont="1" applyFill="1" applyBorder="1" applyAlignment="1">
      <alignment horizontal="right" vertical="center"/>
    </xf>
    <xf numFmtId="3" fontId="59" fillId="0" borderId="64" xfId="4" applyNumberFormat="1" applyFont="1" applyFill="1" applyBorder="1" applyAlignment="1">
      <alignment horizontal="right" vertical="center"/>
    </xf>
    <xf numFmtId="3" fontId="59" fillId="2" borderId="65" xfId="4" applyNumberFormat="1" applyFont="1" applyFill="1" applyBorder="1" applyAlignment="1">
      <alignment horizontal="right" vertical="center"/>
    </xf>
    <xf numFmtId="43" fontId="59" fillId="0" borderId="65" xfId="1" applyFont="1" applyFill="1" applyBorder="1" applyAlignment="1">
      <alignment horizontal="right" vertical="center"/>
    </xf>
    <xf numFmtId="43" fontId="59" fillId="0" borderId="30" xfId="1" applyFont="1" applyFill="1" applyBorder="1" applyAlignment="1">
      <alignment horizontal="right" vertical="center"/>
    </xf>
    <xf numFmtId="43" fontId="55" fillId="0" borderId="71" xfId="1" applyFont="1" applyFill="1" applyBorder="1" applyAlignment="1">
      <alignment horizontal="right" vertical="center"/>
    </xf>
    <xf numFmtId="43" fontId="59" fillId="0" borderId="47" xfId="1" applyFont="1" applyFill="1" applyBorder="1" applyAlignment="1">
      <alignment horizontal="right" vertical="center"/>
    </xf>
    <xf numFmtId="43" fontId="59" fillId="0" borderId="75" xfId="1" applyFont="1" applyFill="1" applyBorder="1" applyAlignment="1">
      <alignment horizontal="right" vertical="center"/>
    </xf>
    <xf numFmtId="0" fontId="14" fillId="18" borderId="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/>
    </xf>
    <xf numFmtId="0" fontId="3" fillId="18" borderId="42" xfId="0" applyFont="1" applyFill="1" applyBorder="1" applyAlignment="1">
      <alignment vertical="center"/>
    </xf>
    <xf numFmtId="0" fontId="3" fillId="18" borderId="5" xfId="0" applyFont="1" applyFill="1" applyBorder="1" applyAlignment="1">
      <alignment vertical="center"/>
    </xf>
    <xf numFmtId="0" fontId="3" fillId="18" borderId="4" xfId="0" applyFont="1" applyFill="1" applyBorder="1" applyAlignment="1">
      <alignment vertical="center"/>
    </xf>
    <xf numFmtId="0" fontId="14" fillId="18" borderId="24" xfId="0" applyFont="1" applyFill="1" applyBorder="1" applyAlignment="1">
      <alignment horizontal="center" vertical="center"/>
    </xf>
    <xf numFmtId="3" fontId="14" fillId="18" borderId="12" xfId="0" applyNumberFormat="1" applyFont="1" applyFill="1" applyBorder="1" applyAlignment="1">
      <alignment vertical="center"/>
    </xf>
    <xf numFmtId="3" fontId="14" fillId="18" borderId="74" xfId="0" applyNumberFormat="1" applyFont="1" applyFill="1" applyBorder="1" applyAlignment="1">
      <alignment vertical="center"/>
    </xf>
    <xf numFmtId="3" fontId="14" fillId="18" borderId="41" xfId="0" applyNumberFormat="1" applyFont="1" applyFill="1" applyBorder="1" applyAlignment="1">
      <alignment vertical="center"/>
    </xf>
    <xf numFmtId="3" fontId="14" fillId="18" borderId="25" xfId="0" applyNumberFormat="1" applyFont="1" applyFill="1" applyBorder="1" applyAlignment="1">
      <alignment vertical="center"/>
    </xf>
    <xf numFmtId="3" fontId="14" fillId="18" borderId="23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16" borderId="0" xfId="0" applyFont="1" applyFill="1" applyBorder="1"/>
    <xf numFmtId="3" fontId="3" fillId="8" borderId="0" xfId="0" applyNumberFormat="1" applyFont="1" applyFill="1" applyBorder="1"/>
    <xf numFmtId="3" fontId="13" fillId="16" borderId="0" xfId="0" applyNumberFormat="1" applyFont="1" applyFill="1" applyBorder="1" applyAlignment="1">
      <alignment horizontal="center"/>
    </xf>
    <xf numFmtId="3" fontId="3" fillId="8" borderId="0" xfId="0" applyNumberFormat="1" applyFont="1" applyFill="1" applyBorder="1" applyAlignment="1">
      <alignment vertical="center"/>
    </xf>
    <xf numFmtId="0" fontId="3" fillId="18" borderId="0" xfId="0" applyFont="1" applyFill="1" applyBorder="1" applyAlignment="1">
      <alignment vertical="center"/>
    </xf>
    <xf numFmtId="3" fontId="14" fillId="18" borderId="0" xfId="0" applyNumberFormat="1" applyFont="1" applyFill="1" applyBorder="1" applyAlignment="1">
      <alignment vertical="center"/>
    </xf>
    <xf numFmtId="3" fontId="18" fillId="11" borderId="0" xfId="0" applyNumberFormat="1" applyFont="1" applyFill="1" applyBorder="1"/>
    <xf numFmtId="3" fontId="34" fillId="18" borderId="0" xfId="0" applyNumberFormat="1" applyFont="1" applyFill="1" applyBorder="1" applyAlignment="1">
      <alignment vertical="top"/>
    </xf>
    <xf numFmtId="3" fontId="14" fillId="18" borderId="0" xfId="0" applyNumberFormat="1" applyFont="1" applyFill="1" applyBorder="1" applyAlignment="1">
      <alignment horizontal="center"/>
    </xf>
    <xf numFmtId="43" fontId="3" fillId="11" borderId="0" xfId="1" applyFont="1" applyFill="1" applyBorder="1"/>
    <xf numFmtId="43" fontId="3" fillId="11" borderId="0" xfId="1" applyFont="1" applyFill="1" applyBorder="1" applyAlignment="1">
      <alignment vertical="center"/>
    </xf>
    <xf numFmtId="3" fontId="3" fillId="18" borderId="0" xfId="0" applyNumberFormat="1" applyFont="1" applyFill="1" applyBorder="1"/>
    <xf numFmtId="3" fontId="61" fillId="25" borderId="10" xfId="6" applyNumberFormat="1" applyFont="1" applyFill="1" applyBorder="1" applyAlignment="1">
      <alignment horizontal="center" vertical="center"/>
    </xf>
    <xf numFmtId="3" fontId="61" fillId="25" borderId="74" xfId="6" applyNumberFormat="1" applyFont="1" applyFill="1" applyBorder="1" applyAlignment="1">
      <alignment horizontal="center" vertical="center"/>
    </xf>
    <xf numFmtId="3" fontId="55" fillId="26" borderId="10" xfId="4" applyNumberFormat="1" applyFont="1" applyFill="1" applyBorder="1" applyAlignment="1">
      <alignment horizontal="right" vertical="center"/>
    </xf>
    <xf numFmtId="3" fontId="63" fillId="26" borderId="0" xfId="4" applyNumberFormat="1" applyFont="1" applyFill="1" applyBorder="1" applyAlignment="1">
      <alignment horizontal="right" vertical="center"/>
    </xf>
    <xf numFmtId="0" fontId="23" fillId="63" borderId="38" xfId="0" applyFont="1" applyFill="1" applyBorder="1" applyAlignment="1">
      <alignment vertical="center"/>
    </xf>
    <xf numFmtId="3" fontId="21" fillId="63" borderId="39" xfId="0" applyNumberFormat="1" applyFont="1" applyFill="1" applyBorder="1" applyAlignment="1">
      <alignment vertical="center" wrapText="1"/>
    </xf>
    <xf numFmtId="3" fontId="17" fillId="63" borderId="39" xfId="0" applyNumberFormat="1" applyFont="1" applyFill="1" applyBorder="1" applyAlignment="1">
      <alignment vertical="center" wrapText="1"/>
    </xf>
    <xf numFmtId="3" fontId="21" fillId="63" borderId="40" xfId="0" applyNumberFormat="1" applyFont="1" applyFill="1" applyBorder="1" applyAlignment="1">
      <alignment vertical="center" wrapText="1"/>
    </xf>
    <xf numFmtId="3" fontId="21" fillId="63" borderId="12" xfId="0" applyNumberFormat="1" applyFont="1" applyFill="1" applyBorder="1" applyAlignment="1">
      <alignment vertical="center" wrapText="1"/>
    </xf>
    <xf numFmtId="3" fontId="17" fillId="63" borderId="12" xfId="0" applyNumberFormat="1" applyFont="1" applyFill="1" applyBorder="1" applyAlignment="1">
      <alignment vertical="center" wrapText="1"/>
    </xf>
    <xf numFmtId="3" fontId="21" fillId="63" borderId="41" xfId="0" applyNumberFormat="1" applyFont="1" applyFill="1" applyBorder="1" applyAlignment="1">
      <alignment horizontal="center" vertical="center" wrapText="1"/>
    </xf>
    <xf numFmtId="0" fontId="16" fillId="0" borderId="66" xfId="0" quotePrefix="1" applyFont="1" applyBorder="1" applyAlignment="1">
      <alignment horizontal="center"/>
    </xf>
    <xf numFmtId="3" fontId="17" fillId="4" borderId="45" xfId="0" applyNumberFormat="1" applyFont="1" applyFill="1" applyBorder="1" applyAlignment="1">
      <alignment horizontal="right" vertical="center" wrapText="1"/>
    </xf>
    <xf numFmtId="3" fontId="14" fillId="4" borderId="36" xfId="0" applyNumberFormat="1" applyFont="1" applyFill="1" applyBorder="1" applyAlignment="1">
      <alignment horizontal="right" vertical="center" wrapText="1"/>
    </xf>
    <xf numFmtId="3" fontId="14" fillId="4" borderId="69" xfId="0" applyNumberFormat="1" applyFont="1" applyFill="1" applyBorder="1" applyAlignment="1">
      <alignment horizontal="right" vertical="center" wrapText="1"/>
    </xf>
    <xf numFmtId="3" fontId="16" fillId="0" borderId="36" xfId="0" applyNumberFormat="1" applyFont="1" applyFill="1" applyBorder="1" applyAlignment="1">
      <alignment vertical="center" wrapText="1"/>
    </xf>
    <xf numFmtId="3" fontId="20" fillId="8" borderId="36" xfId="0" applyNumberFormat="1" applyFont="1" applyFill="1" applyBorder="1" applyAlignment="1">
      <alignment horizontal="right" vertical="center" wrapText="1"/>
    </xf>
    <xf numFmtId="3" fontId="3" fillId="0" borderId="36" xfId="0" applyNumberFormat="1" applyFont="1" applyFill="1" applyBorder="1" applyAlignment="1">
      <alignment vertical="center" wrapText="1"/>
    </xf>
    <xf numFmtId="3" fontId="20" fillId="8" borderId="34" xfId="0" applyNumberFormat="1" applyFont="1" applyFill="1" applyBorder="1" applyAlignment="1">
      <alignment vertical="center" wrapText="1"/>
    </xf>
    <xf numFmtId="3" fontId="21" fillId="6" borderId="34" xfId="0" applyNumberFormat="1" applyFont="1" applyFill="1" applyBorder="1" applyAlignment="1">
      <alignment wrapText="1"/>
    </xf>
    <xf numFmtId="3" fontId="16" fillId="2" borderId="67" xfId="0" applyNumberFormat="1" applyFont="1" applyFill="1" applyBorder="1" applyAlignment="1">
      <alignment vertical="center" wrapText="1"/>
    </xf>
    <xf numFmtId="43" fontId="3" fillId="0" borderId="47" xfId="1" applyFont="1" applyFill="1" applyBorder="1" applyAlignment="1">
      <alignment vertical="center" wrapText="1"/>
    </xf>
    <xf numFmtId="3" fontId="3" fillId="0" borderId="47" xfId="0" applyNumberFormat="1" applyFont="1" applyFill="1" applyBorder="1" applyAlignment="1">
      <alignment vertical="center" wrapText="1"/>
    </xf>
    <xf numFmtId="3" fontId="3" fillId="2" borderId="69" xfId="0" applyNumberFormat="1" applyFont="1" applyFill="1" applyBorder="1" applyAlignment="1">
      <alignment vertical="center" wrapText="1"/>
    </xf>
    <xf numFmtId="3" fontId="108" fillId="0" borderId="0" xfId="0" applyNumberFormat="1" applyFont="1" applyFill="1" applyAlignment="1">
      <alignment vertical="center"/>
    </xf>
    <xf numFmtId="0" fontId="32" fillId="0" borderId="25" xfId="0" applyFont="1" applyFill="1" applyBorder="1" applyAlignment="1">
      <alignment horizontal="left" vertical="center"/>
    </xf>
    <xf numFmtId="3" fontId="3" fillId="8" borderId="35" xfId="0" applyNumberFormat="1" applyFont="1" applyFill="1" applyBorder="1"/>
    <xf numFmtId="3" fontId="21" fillId="63" borderId="80" xfId="0" applyNumberFormat="1" applyFont="1" applyFill="1" applyBorder="1" applyAlignment="1">
      <alignment vertical="center" wrapText="1"/>
    </xf>
    <xf numFmtId="3" fontId="21" fillId="63" borderId="69" xfId="0" applyNumberFormat="1" applyFont="1" applyFill="1" applyBorder="1" applyAlignment="1">
      <alignment vertical="center" wrapText="1"/>
    </xf>
    <xf numFmtId="0" fontId="13" fillId="0" borderId="63" xfId="0" applyFont="1" applyBorder="1" applyAlignment="1">
      <alignment horizontal="center" vertical="center"/>
    </xf>
    <xf numFmtId="3" fontId="16" fillId="0" borderId="4" xfId="0" quotePrefix="1" applyNumberFormat="1" applyFont="1" applyBorder="1" applyAlignment="1">
      <alignment horizontal="center"/>
    </xf>
    <xf numFmtId="3" fontId="16" fillId="0" borderId="35" xfId="0" applyNumberFormat="1" applyFont="1" applyFill="1" applyBorder="1" applyAlignment="1">
      <alignment vertical="center" wrapText="1"/>
    </xf>
    <xf numFmtId="43" fontId="3" fillId="2" borderId="35" xfId="1" applyFont="1" applyFill="1" applyBorder="1" applyAlignment="1">
      <alignment vertical="center" wrapText="1"/>
    </xf>
    <xf numFmtId="43" fontId="3" fillId="0" borderId="23" xfId="1" applyFont="1" applyFill="1" applyBorder="1" applyAlignment="1">
      <alignment vertical="center" wrapText="1"/>
    </xf>
    <xf numFmtId="43" fontId="3" fillId="0" borderId="12" xfId="1" applyFont="1" applyFill="1" applyBorder="1" applyAlignment="1">
      <alignment vertical="center" wrapText="1"/>
    </xf>
    <xf numFmtId="3" fontId="52" fillId="6" borderId="65" xfId="4" applyNumberFormat="1" applyFont="1" applyFill="1" applyBorder="1" applyAlignment="1"/>
    <xf numFmtId="3" fontId="61" fillId="0" borderId="13" xfId="6" applyNumberFormat="1" applyFont="1" applyFill="1" applyBorder="1" applyAlignment="1">
      <alignment vertical="center"/>
    </xf>
    <xf numFmtId="3" fontId="61" fillId="0" borderId="0" xfId="6" applyNumberFormat="1" applyFont="1" applyFill="1" applyBorder="1" applyAlignment="1">
      <alignment horizontal="right" vertical="center"/>
    </xf>
    <xf numFmtId="3" fontId="51" fillId="6" borderId="0" xfId="6" applyNumberFormat="1" applyFont="1" applyFill="1" applyBorder="1" applyAlignment="1">
      <alignment horizontal="right" vertical="center"/>
    </xf>
    <xf numFmtId="3" fontId="32" fillId="13" borderId="79" xfId="4" applyNumberFormat="1" applyFont="1" applyFill="1" applyBorder="1" applyAlignment="1">
      <alignment horizontal="right" vertical="center"/>
    </xf>
    <xf numFmtId="3" fontId="32" fillId="13" borderId="18" xfId="4" applyNumberFormat="1" applyFont="1" applyFill="1" applyBorder="1" applyAlignment="1">
      <alignment horizontal="right" vertical="center"/>
    </xf>
    <xf numFmtId="3" fontId="32" fillId="0" borderId="71" xfId="4" applyNumberFormat="1" applyFont="1" applyFill="1" applyBorder="1" applyAlignment="1">
      <alignment horizontal="right" vertical="center"/>
    </xf>
    <xf numFmtId="3" fontId="52" fillId="6" borderId="27" xfId="4" applyNumberFormat="1" applyFont="1" applyFill="1" applyBorder="1" applyAlignment="1"/>
    <xf numFmtId="0" fontId="110" fillId="33" borderId="13" xfId="0" applyFont="1" applyFill="1" applyBorder="1" applyAlignment="1">
      <alignment horizontal="center" vertical="center"/>
    </xf>
    <xf numFmtId="3" fontId="107" fillId="33" borderId="15" xfId="0" quotePrefix="1" applyNumberFormat="1" applyFont="1" applyFill="1" applyBorder="1" applyAlignment="1">
      <alignment horizontal="center"/>
    </xf>
    <xf numFmtId="3" fontId="111" fillId="33" borderId="17" xfId="0" applyNumberFormat="1" applyFont="1" applyFill="1" applyBorder="1" applyAlignment="1">
      <alignment horizontal="right" vertical="center" wrapText="1"/>
    </xf>
    <xf numFmtId="3" fontId="110" fillId="33" borderId="9" xfId="0" quotePrefix="1" applyNumberFormat="1" applyFont="1" applyFill="1" applyBorder="1" applyAlignment="1">
      <alignment horizontal="right" vertical="center"/>
    </xf>
    <xf numFmtId="3" fontId="110" fillId="33" borderId="23" xfId="0" quotePrefix="1" applyNumberFormat="1" applyFont="1" applyFill="1" applyBorder="1" applyAlignment="1">
      <alignment horizontal="right" vertical="center"/>
    </xf>
    <xf numFmtId="3" fontId="107" fillId="33" borderId="0" xfId="0" applyNumberFormat="1" applyFont="1" applyFill="1" applyBorder="1" applyAlignment="1">
      <alignment vertical="center" wrapText="1"/>
    </xf>
    <xf numFmtId="3" fontId="111" fillId="33" borderId="30" xfId="0" applyNumberFormat="1" applyFont="1" applyFill="1" applyBorder="1" applyAlignment="1">
      <alignment horizontal="right" vertical="center" wrapText="1"/>
    </xf>
    <xf numFmtId="3" fontId="112" fillId="33" borderId="9" xfId="0" applyNumberFormat="1" applyFont="1" applyFill="1" applyBorder="1" applyAlignment="1">
      <alignment horizontal="right" vertical="center" wrapText="1"/>
    </xf>
    <xf numFmtId="3" fontId="108" fillId="33" borderId="9" xfId="0" applyNumberFormat="1" applyFont="1" applyFill="1" applyBorder="1" applyAlignment="1">
      <alignment vertical="center" wrapText="1"/>
    </xf>
    <xf numFmtId="3" fontId="108" fillId="33" borderId="29" xfId="0" applyNumberFormat="1" applyFont="1" applyFill="1" applyBorder="1" applyAlignment="1">
      <alignment vertical="center" wrapText="1"/>
    </xf>
    <xf numFmtId="3" fontId="108" fillId="33" borderId="30" xfId="0" applyNumberFormat="1" applyFont="1" applyFill="1" applyBorder="1" applyAlignment="1">
      <alignment vertical="center" wrapText="1"/>
    </xf>
    <xf numFmtId="3" fontId="108" fillId="33" borderId="27" xfId="0" applyNumberFormat="1" applyFont="1" applyFill="1" applyBorder="1" applyAlignment="1">
      <alignment vertical="center" wrapText="1"/>
    </xf>
    <xf numFmtId="3" fontId="112" fillId="33" borderId="29" xfId="0" applyNumberFormat="1" applyFont="1" applyFill="1" applyBorder="1" applyAlignment="1">
      <alignment vertical="center" wrapText="1"/>
    </xf>
    <xf numFmtId="3" fontId="111" fillId="33" borderId="30" xfId="0" applyNumberFormat="1" applyFont="1" applyFill="1" applyBorder="1" applyAlignment="1">
      <alignment wrapText="1"/>
    </xf>
    <xf numFmtId="43" fontId="108" fillId="33" borderId="27" xfId="1" applyFont="1" applyFill="1" applyBorder="1" applyAlignment="1">
      <alignment vertical="center" wrapText="1"/>
    </xf>
    <xf numFmtId="3" fontId="112" fillId="33" borderId="30" xfId="0" applyNumberFormat="1" applyFont="1" applyFill="1" applyBorder="1" applyAlignment="1">
      <alignment vertical="center" wrapText="1"/>
    </xf>
    <xf numFmtId="3" fontId="107" fillId="33" borderId="9" xfId="0" applyNumberFormat="1" applyFont="1" applyFill="1" applyBorder="1" applyAlignment="1">
      <alignment vertical="center" wrapText="1"/>
    </xf>
    <xf numFmtId="3" fontId="111" fillId="33" borderId="39" xfId="0" applyNumberFormat="1" applyFont="1" applyFill="1" applyBorder="1" applyAlignment="1">
      <alignment vertical="center" wrapText="1"/>
    </xf>
    <xf numFmtId="3" fontId="111" fillId="33" borderId="12" xfId="0" applyNumberFormat="1" applyFont="1" applyFill="1" applyBorder="1" applyAlignment="1">
      <alignment vertical="center" wrapText="1"/>
    </xf>
    <xf numFmtId="3" fontId="110" fillId="33" borderId="47" xfId="0" quotePrefix="1" applyNumberFormat="1" applyFont="1" applyFill="1" applyBorder="1" applyAlignment="1">
      <alignment horizontal="right"/>
    </xf>
    <xf numFmtId="3" fontId="112" fillId="33" borderId="35" xfId="0" applyNumberFormat="1" applyFont="1" applyFill="1" applyBorder="1" applyAlignment="1">
      <alignment horizontal="right" vertical="center" wrapText="1"/>
    </xf>
    <xf numFmtId="3" fontId="108" fillId="33" borderId="35" xfId="0" applyNumberFormat="1" applyFont="1" applyFill="1" applyBorder="1" applyAlignment="1">
      <alignment vertical="center" wrapText="1"/>
    </xf>
    <xf numFmtId="3" fontId="111" fillId="33" borderId="30" xfId="0" applyNumberFormat="1" applyFont="1" applyFill="1" applyBorder="1" applyAlignment="1">
      <alignment vertical="center" wrapText="1"/>
    </xf>
    <xf numFmtId="3" fontId="108" fillId="33" borderId="47" xfId="0" applyNumberFormat="1" applyFont="1" applyFill="1" applyBorder="1" applyAlignment="1">
      <alignment vertical="center" wrapText="1"/>
    </xf>
    <xf numFmtId="3" fontId="111" fillId="33" borderId="0" xfId="0" applyNumberFormat="1" applyFont="1" applyFill="1" applyBorder="1" applyAlignment="1">
      <alignment vertical="center" wrapText="1"/>
    </xf>
    <xf numFmtId="3" fontId="111" fillId="33" borderId="54" xfId="0" applyNumberFormat="1" applyFont="1" applyFill="1" applyBorder="1" applyAlignment="1">
      <alignment vertical="center" wrapText="1"/>
    </xf>
    <xf numFmtId="3" fontId="113" fillId="33" borderId="35" xfId="0" applyNumberFormat="1" applyFont="1" applyFill="1" applyBorder="1" applyAlignment="1">
      <alignment vertical="center" wrapText="1"/>
    </xf>
    <xf numFmtId="3" fontId="111" fillId="33" borderId="58" xfId="0" applyNumberFormat="1" applyFont="1" applyFill="1" applyBorder="1" applyAlignment="1">
      <alignment vertical="center" wrapText="1"/>
    </xf>
    <xf numFmtId="3" fontId="3" fillId="2" borderId="49" xfId="0" applyNumberFormat="1" applyFont="1" applyFill="1" applyBorder="1" applyAlignment="1">
      <alignment vertical="center" wrapText="1"/>
    </xf>
    <xf numFmtId="3" fontId="22" fillId="8" borderId="36" xfId="0" applyNumberFormat="1" applyFont="1" applyFill="1" applyBorder="1" applyAlignment="1">
      <alignment vertical="center" wrapText="1"/>
    </xf>
    <xf numFmtId="0" fontId="48" fillId="33" borderId="12" xfId="4" applyFont="1" applyFill="1" applyBorder="1" applyAlignment="1">
      <alignment horizontal="center" vertical="center" wrapText="1"/>
    </xf>
    <xf numFmtId="0" fontId="53" fillId="33" borderId="12" xfId="4" applyFont="1" applyFill="1" applyBorder="1" applyAlignment="1">
      <alignment horizontal="center" vertical="center" wrapText="1"/>
    </xf>
    <xf numFmtId="3" fontId="52" fillId="24" borderId="70" xfId="4" applyNumberFormat="1" applyFont="1" applyFill="1" applyBorder="1" applyAlignment="1">
      <alignment horizontal="right" vertical="center"/>
    </xf>
    <xf numFmtId="3" fontId="32" fillId="8" borderId="76" xfId="4" applyNumberFormat="1" applyFont="1" applyFill="1" applyBorder="1" applyAlignment="1">
      <alignment vertical="top" wrapText="1"/>
    </xf>
    <xf numFmtId="3" fontId="69" fillId="0" borderId="42" xfId="0" applyNumberFormat="1" applyFont="1" applyFill="1" applyBorder="1" applyAlignment="1">
      <alignment horizontal="center" vertical="center" wrapText="1"/>
    </xf>
    <xf numFmtId="3" fontId="52" fillId="6" borderId="64" xfId="4" applyNumberFormat="1" applyFont="1" applyFill="1" applyBorder="1" applyAlignment="1"/>
    <xf numFmtId="0" fontId="52" fillId="13" borderId="36" xfId="4" applyFont="1" applyFill="1" applyBorder="1" applyAlignment="1">
      <alignment vertical="center" wrapText="1"/>
    </xf>
    <xf numFmtId="3" fontId="59" fillId="0" borderId="30" xfId="4" applyNumberFormat="1" applyFont="1" applyFill="1" applyBorder="1" applyAlignment="1"/>
    <xf numFmtId="3" fontId="61" fillId="26" borderId="10" xfId="6" applyNumberFormat="1" applyFont="1" applyFill="1" applyBorder="1" applyAlignment="1">
      <alignment vertical="center"/>
    </xf>
    <xf numFmtId="3" fontId="59" fillId="26" borderId="10" xfId="4" applyNumberFormat="1" applyFont="1" applyFill="1" applyBorder="1" applyAlignment="1">
      <alignment horizontal="right" vertical="center"/>
    </xf>
    <xf numFmtId="3" fontId="59" fillId="26" borderId="8" xfId="4" applyNumberFormat="1" applyFont="1" applyFill="1" applyBorder="1" applyAlignment="1">
      <alignment horizontal="right" vertical="center"/>
    </xf>
    <xf numFmtId="3" fontId="59" fillId="0" borderId="72" xfId="4" applyNumberFormat="1" applyFont="1" applyFill="1" applyBorder="1" applyAlignment="1"/>
    <xf numFmtId="3" fontId="59" fillId="0" borderId="47" xfId="4" applyNumberFormat="1" applyFont="1" applyFill="1" applyBorder="1" applyAlignment="1"/>
    <xf numFmtId="0" fontId="52" fillId="8" borderId="19" xfId="4" applyFont="1" applyFill="1" applyBorder="1" applyAlignment="1">
      <alignment vertical="top" wrapText="1"/>
    </xf>
    <xf numFmtId="3" fontId="59" fillId="0" borderId="71" xfId="4" applyNumberFormat="1" applyFont="1" applyFill="1" applyBorder="1" applyAlignment="1">
      <alignment horizontal="right" vertical="center"/>
    </xf>
    <xf numFmtId="3" fontId="53" fillId="24" borderId="2" xfId="4" applyNumberFormat="1" applyFont="1" applyFill="1" applyBorder="1" applyAlignment="1">
      <alignment horizontal="right" vertical="center"/>
    </xf>
    <xf numFmtId="3" fontId="32" fillId="2" borderId="74" xfId="4" applyNumberFormat="1" applyFont="1" applyFill="1" applyBorder="1" applyAlignment="1"/>
    <xf numFmtId="43" fontId="59" fillId="0" borderId="29" xfId="1" applyFont="1" applyFill="1" applyBorder="1" applyAlignment="1"/>
    <xf numFmtId="43" fontId="59" fillId="0" borderId="72" xfId="1" applyFont="1" applyFill="1" applyBorder="1" applyAlignment="1"/>
    <xf numFmtId="0" fontId="41" fillId="0" borderId="0" xfId="112" applyFont="1" applyFill="1" applyAlignment="1">
      <alignment horizontal="left"/>
    </xf>
    <xf numFmtId="0" fontId="54" fillId="33" borderId="12" xfId="114" applyFont="1" applyFill="1" applyBorder="1" applyAlignment="1">
      <alignment horizontal="center" vertical="center"/>
    </xf>
    <xf numFmtId="0" fontId="52" fillId="8" borderId="16" xfId="0" applyFont="1" applyFill="1" applyBorder="1" applyAlignment="1">
      <alignment horizontal="center" vertical="center" wrapText="1"/>
    </xf>
    <xf numFmtId="0" fontId="0" fillId="0" borderId="33" xfId="0" applyFont="1" applyBorder="1"/>
    <xf numFmtId="0" fontId="0" fillId="0" borderId="25" xfId="0" applyFont="1" applyBorder="1" applyAlignment="1">
      <alignment vertical="center"/>
    </xf>
    <xf numFmtId="0" fontId="53" fillId="6" borderId="29" xfId="4" applyFont="1" applyFill="1" applyBorder="1" applyAlignment="1">
      <alignment vertical="center"/>
    </xf>
    <xf numFmtId="3" fontId="14" fillId="15" borderId="39" xfId="0" applyNumberFormat="1" applyFont="1" applyFill="1" applyBorder="1" applyAlignment="1">
      <alignment vertical="center"/>
    </xf>
    <xf numFmtId="3" fontId="14" fillId="15" borderId="78" xfId="0" applyNumberFormat="1" applyFont="1" applyFill="1" applyBorder="1" applyAlignment="1">
      <alignment vertical="center"/>
    </xf>
    <xf numFmtId="3" fontId="14" fillId="15" borderId="52" xfId="0" applyNumberFormat="1" applyFont="1" applyFill="1" applyBorder="1" applyAlignment="1">
      <alignment vertical="center"/>
    </xf>
    <xf numFmtId="3" fontId="14" fillId="15" borderId="50" xfId="0" applyNumberFormat="1" applyFont="1" applyFill="1" applyBorder="1" applyAlignment="1">
      <alignment vertical="center"/>
    </xf>
    <xf numFmtId="3" fontId="14" fillId="16" borderId="12" xfId="5" applyNumberFormat="1" applyFont="1" applyFill="1" applyBorder="1" applyAlignment="1">
      <alignment vertical="center"/>
    </xf>
    <xf numFmtId="3" fontId="14" fillId="16" borderId="41" xfId="5" applyNumberFormat="1" applyFont="1" applyFill="1" applyBorder="1" applyAlignment="1">
      <alignment vertical="center"/>
    </xf>
    <xf numFmtId="3" fontId="14" fillId="16" borderId="25" xfId="5" applyNumberFormat="1" applyFont="1" applyFill="1" applyBorder="1" applyAlignment="1">
      <alignment vertical="center"/>
    </xf>
    <xf numFmtId="3" fontId="14" fillId="16" borderId="23" xfId="5" applyNumberFormat="1" applyFont="1" applyFill="1" applyBorder="1" applyAlignment="1">
      <alignment vertical="center"/>
    </xf>
    <xf numFmtId="3" fontId="14" fillId="16" borderId="24" xfId="5" applyNumberFormat="1" applyFont="1" applyFill="1" applyBorder="1" applyAlignment="1">
      <alignment vertical="center"/>
    </xf>
    <xf numFmtId="43" fontId="59" fillId="0" borderId="72" xfId="1" applyFont="1" applyFill="1" applyBorder="1" applyAlignment="1">
      <alignment horizontal="right" vertical="center"/>
    </xf>
    <xf numFmtId="0" fontId="13" fillId="2" borderId="2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47" fillId="2" borderId="2" xfId="0" applyFont="1" applyFill="1" applyBorder="1" applyAlignment="1">
      <alignment vertical="center" wrapText="1"/>
    </xf>
    <xf numFmtId="0" fontId="47" fillId="2" borderId="3" xfId="0" applyFont="1" applyFill="1" applyBorder="1" applyAlignment="1">
      <alignment vertical="center" wrapText="1"/>
    </xf>
    <xf numFmtId="0" fontId="47" fillId="2" borderId="3" xfId="112" applyFont="1" applyFill="1" applyBorder="1" applyAlignment="1">
      <alignment vertical="center" wrapText="1"/>
    </xf>
    <xf numFmtId="0" fontId="47" fillId="2" borderId="8" xfId="112" applyFont="1" applyFill="1" applyBorder="1" applyAlignment="1">
      <alignment vertical="center" wrapText="1"/>
    </xf>
    <xf numFmtId="3" fontId="55" fillId="0" borderId="96" xfId="4" applyNumberFormat="1" applyFont="1" applyFill="1" applyBorder="1" applyAlignment="1">
      <alignment horizontal="right" vertical="center"/>
    </xf>
    <xf numFmtId="3" fontId="55" fillId="0" borderId="98" xfId="4" applyNumberFormat="1" applyFont="1" applyFill="1" applyBorder="1" applyAlignment="1">
      <alignment horizontal="right" vertical="center"/>
    </xf>
    <xf numFmtId="43" fontId="61" fillId="0" borderId="98" xfId="1" applyFont="1" applyFill="1" applyBorder="1" applyAlignment="1">
      <alignment horizontal="right" vertical="center"/>
    </xf>
    <xf numFmtId="3" fontId="55" fillId="26" borderId="98" xfId="4" applyNumberFormat="1" applyFont="1" applyFill="1" applyBorder="1" applyAlignment="1">
      <alignment horizontal="right" vertical="center"/>
    </xf>
    <xf numFmtId="3" fontId="59" fillId="0" borderId="100" xfId="4" applyNumberFormat="1" applyFont="1" applyFill="1" applyBorder="1" applyAlignment="1"/>
    <xf numFmtId="3" fontId="59" fillId="0" borderId="96" xfId="4" applyNumberFormat="1" applyFont="1" applyFill="1" applyBorder="1" applyAlignment="1">
      <alignment horizontal="right" vertical="center"/>
    </xf>
    <xf numFmtId="3" fontId="32" fillId="0" borderId="96" xfId="4" applyNumberFormat="1" applyFont="1" applyFill="1" applyBorder="1" applyAlignment="1">
      <alignment horizontal="right" vertical="center"/>
    </xf>
    <xf numFmtId="3" fontId="59" fillId="0" borderId="98" xfId="4" applyNumberFormat="1" applyFont="1" applyFill="1" applyBorder="1" applyAlignment="1"/>
    <xf numFmtId="43" fontId="59" fillId="0" borderId="100" xfId="1" applyFont="1" applyFill="1" applyBorder="1" applyAlignment="1">
      <alignment horizontal="right" vertical="center"/>
    </xf>
    <xf numFmtId="3" fontId="59" fillId="26" borderId="98" xfId="4" applyNumberFormat="1" applyFont="1" applyFill="1" applyBorder="1" applyAlignment="1">
      <alignment horizontal="right" vertical="center"/>
    </xf>
    <xf numFmtId="3" fontId="32" fillId="0" borderId="101" xfId="4" applyNumberFormat="1" applyFont="1" applyFill="1" applyBorder="1" applyAlignment="1">
      <alignment horizontal="right" vertical="center"/>
    </xf>
    <xf numFmtId="43" fontId="59" fillId="0" borderId="101" xfId="1" applyFont="1" applyFill="1" applyBorder="1" applyAlignment="1">
      <alignment horizontal="right" vertical="center"/>
    </xf>
    <xf numFmtId="43" fontId="32" fillId="0" borderId="101" xfId="1" applyFont="1" applyFill="1" applyBorder="1" applyAlignment="1">
      <alignment horizontal="right" vertical="center"/>
    </xf>
    <xf numFmtId="3" fontId="52" fillId="6" borderId="96" xfId="4" applyNumberFormat="1" applyFont="1" applyFill="1" applyBorder="1" applyAlignment="1"/>
    <xf numFmtId="43" fontId="52" fillId="6" borderId="96" xfId="1" applyFont="1" applyFill="1" applyBorder="1" applyAlignment="1"/>
    <xf numFmtId="43" fontId="55" fillId="0" borderId="96" xfId="1" applyFont="1" applyFill="1" applyBorder="1" applyAlignment="1">
      <alignment horizontal="right" vertical="center"/>
    </xf>
    <xf numFmtId="43" fontId="55" fillId="0" borderId="98" xfId="1" applyFont="1" applyFill="1" applyBorder="1" applyAlignment="1">
      <alignment horizontal="right" vertical="center"/>
    </xf>
    <xf numFmtId="3" fontId="59" fillId="0" borderId="98" xfId="4" applyNumberFormat="1" applyFont="1" applyFill="1" applyBorder="1" applyAlignment="1">
      <alignment horizontal="right" vertical="center"/>
    </xf>
    <xf numFmtId="3" fontId="60" fillId="0" borderId="98" xfId="6" applyNumberFormat="1" applyFont="1" applyFill="1" applyBorder="1" applyAlignment="1">
      <alignment vertical="center"/>
    </xf>
    <xf numFmtId="3" fontId="53" fillId="23" borderId="96" xfId="4" applyNumberFormat="1" applyFont="1" applyFill="1" applyBorder="1" applyAlignment="1">
      <alignment horizontal="right" vertical="center"/>
    </xf>
    <xf numFmtId="3" fontId="32" fillId="0" borderId="100" xfId="4" applyNumberFormat="1" applyFont="1" applyFill="1" applyBorder="1" applyAlignment="1">
      <alignment horizontal="right" vertical="center"/>
    </xf>
    <xf numFmtId="3" fontId="61" fillId="0" borderId="98" xfId="6" applyNumberFormat="1" applyFont="1" applyFill="1" applyBorder="1" applyAlignment="1">
      <alignment vertical="center"/>
    </xf>
    <xf numFmtId="3" fontId="61" fillId="0" borderId="96" xfId="6" applyNumberFormat="1" applyFont="1" applyFill="1" applyBorder="1" applyAlignment="1">
      <alignment vertical="center"/>
    </xf>
    <xf numFmtId="3" fontId="52" fillId="6" borderId="98" xfId="4" applyNumberFormat="1" applyFont="1" applyFill="1" applyBorder="1" applyAlignment="1"/>
    <xf numFmtId="3" fontId="48" fillId="23" borderId="96" xfId="4" applyNumberFormat="1" applyFont="1" applyFill="1" applyBorder="1" applyAlignment="1">
      <alignment horizontal="right" vertical="center"/>
    </xf>
    <xf numFmtId="3" fontId="32" fillId="24" borderId="96" xfId="4" applyNumberFormat="1" applyFont="1" applyFill="1" applyBorder="1" applyAlignment="1">
      <alignment vertical="top"/>
    </xf>
    <xf numFmtId="0" fontId="53" fillId="6" borderId="99" xfId="4" applyFont="1" applyFill="1" applyBorder="1" applyAlignment="1">
      <alignment horizontal="left" vertical="center"/>
    </xf>
    <xf numFmtId="3" fontId="55" fillId="2" borderId="99" xfId="4" applyNumberFormat="1" applyFont="1" applyFill="1" applyBorder="1" applyAlignment="1">
      <alignment vertical="center" wrapText="1"/>
    </xf>
    <xf numFmtId="3" fontId="55" fillId="0" borderId="101" xfId="4" applyNumberFormat="1" applyFont="1" applyFill="1" applyBorder="1" applyAlignment="1">
      <alignment horizontal="right" vertical="center"/>
    </xf>
    <xf numFmtId="3" fontId="55" fillId="0" borderId="100" xfId="4" applyNumberFormat="1" applyFont="1" applyFill="1" applyBorder="1" applyAlignment="1">
      <alignment horizontal="right" vertical="center"/>
    </xf>
    <xf numFmtId="0" fontId="0" fillId="0" borderId="0" xfId="0" applyFont="1"/>
    <xf numFmtId="0" fontId="0" fillId="0" borderId="24" xfId="0" applyFont="1" applyBorder="1"/>
    <xf numFmtId="3" fontId="0" fillId="0" borderId="0" xfId="0" applyNumberFormat="1" applyFont="1" applyFill="1" applyBorder="1"/>
    <xf numFmtId="3" fontId="59" fillId="0" borderId="72" xfId="0" applyNumberFormat="1" applyFont="1" applyFill="1" applyBorder="1" applyAlignment="1">
      <alignment vertical="center"/>
    </xf>
    <xf numFmtId="3" fontId="55" fillId="2" borderId="102" xfId="4" applyNumberFormat="1" applyFont="1" applyFill="1" applyBorder="1" applyAlignment="1">
      <alignment vertical="top" wrapText="1"/>
    </xf>
    <xf numFmtId="0" fontId="32" fillId="0" borderId="102" xfId="4" applyFont="1" applyFill="1" applyBorder="1" applyAlignment="1">
      <alignment vertical="top"/>
    </xf>
    <xf numFmtId="0" fontId="0" fillId="0" borderId="66" xfId="0" applyFont="1" applyBorder="1"/>
    <xf numFmtId="3" fontId="55" fillId="22" borderId="101" xfId="4" applyNumberFormat="1" applyFont="1" applyFill="1" applyBorder="1" applyAlignment="1">
      <alignment horizontal="right" vertical="center"/>
    </xf>
    <xf numFmtId="0" fontId="2" fillId="0" borderId="27" xfId="112" applyFont="1" applyBorder="1"/>
    <xf numFmtId="0" fontId="25" fillId="13" borderId="37" xfId="0" applyFont="1" applyFill="1" applyBorder="1" applyAlignment="1">
      <alignment vertical="center"/>
    </xf>
    <xf numFmtId="3" fontId="26" fillId="13" borderId="47" xfId="0" applyNumberFormat="1" applyFont="1" applyFill="1" applyBorder="1" applyAlignment="1">
      <alignment vertical="center" wrapText="1"/>
    </xf>
    <xf numFmtId="3" fontId="113" fillId="33" borderId="47" xfId="0" applyNumberFormat="1" applyFont="1" applyFill="1" applyBorder="1" applyAlignment="1">
      <alignment vertical="center" wrapText="1"/>
    </xf>
    <xf numFmtId="3" fontId="21" fillId="13" borderId="77" xfId="0" applyNumberFormat="1" applyFont="1" applyFill="1" applyBorder="1" applyAlignment="1">
      <alignment horizontal="center" vertical="center" wrapText="1"/>
    </xf>
    <xf numFmtId="0" fontId="47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9" borderId="0" xfId="0" applyFont="1" applyFill="1" applyBorder="1" applyAlignment="1">
      <alignment vertical="top"/>
    </xf>
    <xf numFmtId="0" fontId="0" fillId="61" borderId="0" xfId="0" applyFont="1" applyFill="1" applyBorder="1" applyAlignment="1">
      <alignment vertical="top"/>
    </xf>
    <xf numFmtId="0" fontId="56" fillId="0" borderId="0" xfId="0" applyFont="1" applyFill="1" applyBorder="1" applyAlignment="1"/>
    <xf numFmtId="0" fontId="65" fillId="33" borderId="0" xfId="0" applyFont="1" applyFill="1" applyBorder="1" applyAlignment="1">
      <alignment vertical="top"/>
    </xf>
    <xf numFmtId="3" fontId="50" fillId="61" borderId="0" xfId="0" applyNumberFormat="1" applyFont="1" applyFill="1" applyBorder="1" applyAlignment="1">
      <alignment vertical="top"/>
    </xf>
    <xf numFmtId="3" fontId="0" fillId="61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56" fillId="0" borderId="0" xfId="0" applyFont="1" applyFill="1" applyBorder="1" applyAlignment="1">
      <alignment horizontal="left"/>
    </xf>
    <xf numFmtId="0" fontId="39" fillId="0" borderId="0" xfId="0" applyFont="1" applyFill="1" applyBorder="1" applyAlignment="1"/>
    <xf numFmtId="0" fontId="41" fillId="0" borderId="0" xfId="0" applyFont="1" applyFill="1" applyBorder="1" applyAlignment="1">
      <alignment horizontal="left"/>
    </xf>
    <xf numFmtId="0" fontId="62" fillId="0" borderId="0" xfId="0" applyFont="1" applyFill="1" applyBorder="1" applyAlignment="1">
      <alignment vertical="top"/>
    </xf>
    <xf numFmtId="0" fontId="45" fillId="2" borderId="2" xfId="0" applyFont="1" applyFill="1" applyBorder="1" applyAlignment="1">
      <alignment vertical="center" wrapText="1"/>
    </xf>
    <xf numFmtId="0" fontId="45" fillId="2" borderId="3" xfId="0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top"/>
    </xf>
    <xf numFmtId="0" fontId="49" fillId="0" borderId="0" xfId="0" applyFont="1" applyBorder="1" applyAlignment="1">
      <alignment vertical="top"/>
    </xf>
    <xf numFmtId="0" fontId="45" fillId="2" borderId="7" xfId="0" applyFont="1" applyFill="1" applyBorder="1" applyAlignment="1">
      <alignment vertical="center" wrapText="1"/>
    </xf>
    <xf numFmtId="0" fontId="45" fillId="2" borderId="8" xfId="0" applyFont="1" applyFill="1" applyBorder="1" applyAlignment="1">
      <alignment vertical="center" wrapText="1"/>
    </xf>
    <xf numFmtId="0" fontId="45" fillId="2" borderId="74" xfId="0" applyFont="1" applyFill="1" applyBorder="1" applyAlignment="1">
      <alignment horizontal="center" vertical="center" wrapText="1"/>
    </xf>
    <xf numFmtId="0" fontId="45" fillId="2" borderId="24" xfId="0" applyFont="1" applyFill="1" applyBorder="1" applyAlignment="1">
      <alignment horizontal="center" vertical="center" wrapText="1"/>
    </xf>
    <xf numFmtId="0" fontId="53" fillId="33" borderId="13" xfId="4" applyFont="1" applyFill="1" applyBorder="1" applyAlignment="1">
      <alignment horizontal="center" vertical="center" wrapText="1"/>
    </xf>
    <xf numFmtId="0" fontId="53" fillId="0" borderId="23" xfId="4" applyFont="1" applyBorder="1" applyAlignment="1">
      <alignment horizontal="center" vertical="center" wrapText="1"/>
    </xf>
    <xf numFmtId="0" fontId="49" fillId="0" borderId="52" xfId="0" applyFont="1" applyBorder="1" applyAlignment="1">
      <alignment horizontal="center" vertical="top"/>
    </xf>
    <xf numFmtId="0" fontId="49" fillId="0" borderId="51" xfId="0" quotePrefix="1" applyFont="1" applyBorder="1" applyAlignment="1">
      <alignment horizontal="center" vertical="top"/>
    </xf>
    <xf numFmtId="0" fontId="49" fillId="27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52" fillId="60" borderId="70" xfId="0" applyNumberFormat="1" applyFont="1" applyFill="1" applyBorder="1" applyAlignment="1">
      <alignment vertical="center"/>
    </xf>
    <xf numFmtId="3" fontId="52" fillId="62" borderId="70" xfId="0" applyNumberFormat="1" applyFont="1" applyFill="1" applyBorder="1" applyAlignment="1">
      <alignment vertical="center"/>
    </xf>
    <xf numFmtId="3" fontId="89" fillId="0" borderId="0" xfId="0" applyNumberFormat="1" applyFont="1" applyBorder="1" applyAlignment="1">
      <alignment vertical="top"/>
    </xf>
    <xf numFmtId="3" fontId="45" fillId="0" borderId="0" xfId="0" applyNumberFormat="1" applyFont="1" applyBorder="1" applyAlignment="1">
      <alignment vertical="top"/>
    </xf>
    <xf numFmtId="0" fontId="45" fillId="0" borderId="0" xfId="0" applyFont="1" applyBorder="1" applyAlignment="1">
      <alignment vertical="top"/>
    </xf>
    <xf numFmtId="3" fontId="57" fillId="8" borderId="96" xfId="0" applyNumberFormat="1" applyFont="1" applyFill="1" applyBorder="1" applyAlignment="1">
      <alignment vertical="center"/>
    </xf>
    <xf numFmtId="3" fontId="57" fillId="24" borderId="96" xfId="0" applyNumberFormat="1" applyFont="1" applyFill="1" applyBorder="1" applyAlignment="1">
      <alignment vertical="center"/>
    </xf>
    <xf numFmtId="3" fontId="46" fillId="8" borderId="43" xfId="0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46" fillId="34" borderId="0" xfId="0" applyFont="1" applyFill="1" applyBorder="1" applyAlignment="1">
      <alignment vertical="center"/>
    </xf>
    <xf numFmtId="3" fontId="32" fillId="29" borderId="96" xfId="0" applyNumberFormat="1" applyFont="1" applyFill="1" applyBorder="1" applyAlignment="1">
      <alignment vertical="center"/>
    </xf>
    <xf numFmtId="3" fontId="32" fillId="24" borderId="96" xfId="0" applyNumberFormat="1" applyFont="1" applyFill="1" applyBorder="1" applyAlignment="1">
      <alignment vertical="center"/>
    </xf>
    <xf numFmtId="0" fontId="89" fillId="0" borderId="0" xfId="0" applyFont="1" applyBorder="1" applyAlignment="1">
      <alignment vertical="top"/>
    </xf>
    <xf numFmtId="0" fontId="32" fillId="8" borderId="36" xfId="4" applyFont="1" applyFill="1" applyBorder="1" applyAlignment="1">
      <alignment horizontal="left" vertical="center"/>
    </xf>
    <xf numFmtId="3" fontId="32" fillId="29" borderId="28" xfId="0" applyNumberFormat="1" applyFont="1" applyFill="1" applyBorder="1" applyAlignment="1">
      <alignment vertical="center" wrapText="1"/>
    </xf>
    <xf numFmtId="3" fontId="32" fillId="60" borderId="96" xfId="0" applyNumberFormat="1" applyFont="1" applyFill="1" applyBorder="1" applyAlignment="1">
      <alignment vertical="center"/>
    </xf>
    <xf numFmtId="3" fontId="32" fillId="62" borderId="96" xfId="0" applyNumberFormat="1" applyFont="1" applyFill="1" applyBorder="1" applyAlignment="1">
      <alignment vertical="center"/>
    </xf>
    <xf numFmtId="3" fontId="32" fillId="29" borderId="9" xfId="0" applyNumberFormat="1" applyFont="1" applyFill="1" applyBorder="1" applyAlignment="1">
      <alignment vertical="center"/>
    </xf>
    <xf numFmtId="43" fontId="32" fillId="24" borderId="96" xfId="1" applyFont="1" applyFill="1" applyBorder="1" applyAlignment="1">
      <alignment vertical="center"/>
    </xf>
    <xf numFmtId="3" fontId="57" fillId="59" borderId="9" xfId="0" applyNumberFormat="1" applyFont="1" applyFill="1" applyBorder="1" applyAlignment="1">
      <alignment vertical="center"/>
    </xf>
    <xf numFmtId="3" fontId="57" fillId="61" borderId="9" xfId="0" applyNumberFormat="1" applyFont="1" applyFill="1" applyBorder="1" applyAlignment="1">
      <alignment vertical="center"/>
    </xf>
    <xf numFmtId="0" fontId="32" fillId="8" borderId="104" xfId="0" applyFont="1" applyFill="1" applyBorder="1" applyAlignment="1">
      <alignment vertical="top" wrapText="1"/>
    </xf>
    <xf numFmtId="0" fontId="32" fillId="8" borderId="97" xfId="0" applyFont="1" applyFill="1" applyBorder="1" applyAlignment="1">
      <alignment vertical="top" wrapText="1"/>
    </xf>
    <xf numFmtId="3" fontId="46" fillId="8" borderId="43" xfId="0" applyNumberFormat="1" applyFont="1" applyFill="1" applyBorder="1" applyAlignment="1">
      <alignment horizontal="center" vertical="top" wrapText="1"/>
    </xf>
    <xf numFmtId="0" fontId="46" fillId="0" borderId="0" xfId="0" applyFont="1" applyFill="1" applyBorder="1" applyAlignment="1">
      <alignment vertical="top"/>
    </xf>
    <xf numFmtId="0" fontId="46" fillId="34" borderId="0" xfId="0" applyFont="1" applyFill="1" applyBorder="1" applyAlignment="1">
      <alignment vertical="top"/>
    </xf>
    <xf numFmtId="3" fontId="57" fillId="59" borderId="96" xfId="0" applyNumberFormat="1" applyFont="1" applyFill="1" applyBorder="1" applyAlignment="1">
      <alignment vertical="center"/>
    </xf>
    <xf numFmtId="3" fontId="57" fillId="61" borderId="96" xfId="0" applyNumberFormat="1" applyFont="1" applyFill="1" applyBorder="1" applyAlignment="1">
      <alignment vertical="center"/>
    </xf>
    <xf numFmtId="0" fontId="32" fillId="8" borderId="28" xfId="0" applyFont="1" applyFill="1" applyBorder="1" applyAlignment="1">
      <alignment vertical="top" wrapText="1"/>
    </xf>
    <xf numFmtId="0" fontId="32" fillId="8" borderId="77" xfId="0" applyFont="1" applyFill="1" applyBorder="1" applyAlignment="1">
      <alignment vertical="top" wrapText="1"/>
    </xf>
    <xf numFmtId="3" fontId="46" fillId="8" borderId="41" xfId="0" applyNumberFormat="1" applyFont="1" applyFill="1" applyBorder="1" applyAlignment="1">
      <alignment horizontal="center" vertical="top" wrapText="1"/>
    </xf>
    <xf numFmtId="3" fontId="46" fillId="0" borderId="0" xfId="0" applyNumberFormat="1" applyFont="1" applyFill="1" applyBorder="1" applyAlignment="1">
      <alignment vertical="top"/>
    </xf>
    <xf numFmtId="0" fontId="32" fillId="24" borderId="2" xfId="0" applyFont="1" applyFill="1" applyBorder="1" applyAlignment="1">
      <alignment vertical="center"/>
    </xf>
    <xf numFmtId="3" fontId="53" fillId="6" borderId="98" xfId="0" applyNumberFormat="1" applyFont="1" applyFill="1" applyBorder="1" applyAlignment="1">
      <alignment vertical="top"/>
    </xf>
    <xf numFmtId="3" fontId="53" fillId="59" borderId="98" xfId="0" applyNumberFormat="1" applyFont="1" applyFill="1" applyBorder="1" applyAlignment="1">
      <alignment vertical="top"/>
    </xf>
    <xf numFmtId="3" fontId="53" fillId="61" borderId="98" xfId="0" applyNumberFormat="1" applyFont="1" applyFill="1" applyBorder="1" applyAlignment="1">
      <alignment vertical="top"/>
    </xf>
    <xf numFmtId="3" fontId="53" fillId="23" borderId="98" xfId="0" applyNumberFormat="1" applyFont="1" applyFill="1" applyBorder="1" applyAlignment="1">
      <alignment vertical="top"/>
    </xf>
    <xf numFmtId="3" fontId="55" fillId="2" borderId="98" xfId="0" applyNumberFormat="1" applyFont="1" applyFill="1" applyBorder="1" applyAlignment="1">
      <alignment vertical="top"/>
    </xf>
    <xf numFmtId="3" fontId="55" fillId="59" borderId="98" xfId="0" applyNumberFormat="1" applyFont="1" applyFill="1" applyBorder="1" applyAlignment="1">
      <alignment vertical="top"/>
    </xf>
    <xf numFmtId="3" fontId="55" fillId="61" borderId="98" xfId="0" applyNumberFormat="1" applyFont="1" applyFill="1" applyBorder="1" applyAlignment="1">
      <alignment vertical="top"/>
    </xf>
    <xf numFmtId="3" fontId="53" fillId="26" borderId="96" xfId="0" applyNumberFormat="1" applyFont="1" applyFill="1" applyBorder="1" applyAlignment="1">
      <alignment vertical="top"/>
    </xf>
    <xf numFmtId="3" fontId="46" fillId="2" borderId="0" xfId="0" applyNumberFormat="1" applyFont="1" applyFill="1" applyBorder="1" applyAlignment="1">
      <alignment vertical="top"/>
    </xf>
    <xf numFmtId="0" fontId="46" fillId="2" borderId="0" xfId="0" applyFont="1" applyFill="1" applyBorder="1" applyAlignment="1">
      <alignment vertical="top"/>
    </xf>
    <xf numFmtId="3" fontId="59" fillId="0" borderId="98" xfId="0" applyNumberFormat="1" applyFont="1" applyFill="1" applyBorder="1" applyAlignment="1">
      <alignment vertical="top"/>
    </xf>
    <xf numFmtId="3" fontId="59" fillId="59" borderId="98" xfId="0" applyNumberFormat="1" applyFont="1" applyFill="1" applyBorder="1" applyAlignment="1">
      <alignment vertical="top"/>
    </xf>
    <xf numFmtId="3" fontId="59" fillId="61" borderId="98" xfId="0" applyNumberFormat="1" applyFont="1" applyFill="1" applyBorder="1" applyAlignment="1">
      <alignment vertical="top"/>
    </xf>
    <xf numFmtId="3" fontId="55" fillId="0" borderId="98" xfId="0" applyNumberFormat="1" applyFont="1" applyFill="1" applyBorder="1" applyAlignment="1">
      <alignment vertical="top"/>
    </xf>
    <xf numFmtId="0" fontId="59" fillId="0" borderId="104" xfId="0" applyFont="1" applyFill="1" applyBorder="1" applyAlignment="1">
      <alignment horizontal="left" vertical="center" wrapText="1"/>
    </xf>
    <xf numFmtId="3" fontId="59" fillId="0" borderId="101" xfId="0" applyNumberFormat="1" applyFont="1" applyFill="1" applyBorder="1" applyAlignment="1">
      <alignment horizontal="right" vertical="center"/>
    </xf>
    <xf numFmtId="3" fontId="59" fillId="59" borderId="101" xfId="0" applyNumberFormat="1" applyFont="1" applyFill="1" applyBorder="1" applyAlignment="1">
      <alignment horizontal="right" vertical="center"/>
    </xf>
    <xf numFmtId="3" fontId="59" fillId="61" borderId="101" xfId="0" applyNumberFormat="1" applyFont="1" applyFill="1" applyBorder="1" applyAlignment="1">
      <alignment horizontal="right" vertical="center"/>
    </xf>
    <xf numFmtId="3" fontId="59" fillId="0" borderId="96" xfId="0" applyNumberFormat="1" applyFont="1" applyFill="1" applyBorder="1" applyAlignment="1">
      <alignment vertical="top"/>
    </xf>
    <xf numFmtId="3" fontId="59" fillId="59" borderId="96" xfId="0" applyNumberFormat="1" applyFont="1" applyFill="1" applyBorder="1" applyAlignment="1">
      <alignment vertical="top"/>
    </xf>
    <xf numFmtId="3" fontId="59" fillId="61" borderId="96" xfId="0" applyNumberFormat="1" applyFont="1" applyFill="1" applyBorder="1" applyAlignment="1">
      <alignment vertical="top"/>
    </xf>
    <xf numFmtId="0" fontId="55" fillId="2" borderId="102" xfId="4" applyFont="1" applyFill="1" applyBorder="1" applyAlignment="1">
      <alignment vertical="top"/>
    </xf>
    <xf numFmtId="0" fontId="59" fillId="0" borderId="77" xfId="4" applyFont="1" applyFill="1" applyBorder="1" applyAlignment="1">
      <alignment vertical="center"/>
    </xf>
    <xf numFmtId="3" fontId="59" fillId="59" borderId="47" xfId="0" applyNumberFormat="1" applyFont="1" applyFill="1" applyBorder="1" applyAlignment="1">
      <alignment horizontal="right" vertical="center"/>
    </xf>
    <xf numFmtId="3" fontId="59" fillId="61" borderId="47" xfId="0" applyNumberFormat="1" applyFont="1" applyFill="1" applyBorder="1" applyAlignment="1">
      <alignment horizontal="right" vertical="center"/>
    </xf>
    <xf numFmtId="3" fontId="53" fillId="26" borderId="10" xfId="0" applyNumberFormat="1" applyFont="1" applyFill="1" applyBorder="1" applyAlignment="1">
      <alignment vertical="top"/>
    </xf>
    <xf numFmtId="3" fontId="53" fillId="6" borderId="96" xfId="0" applyNumberFormat="1" applyFont="1" applyFill="1" applyBorder="1" applyAlignment="1">
      <alignment vertical="top"/>
    </xf>
    <xf numFmtId="3" fontId="55" fillId="2" borderId="96" xfId="0" applyNumberFormat="1" applyFont="1" applyFill="1" applyBorder="1" applyAlignment="1">
      <alignment vertical="top"/>
    </xf>
    <xf numFmtId="3" fontId="55" fillId="0" borderId="96" xfId="0" applyNumberFormat="1" applyFont="1" applyFill="1" applyBorder="1" applyAlignment="1">
      <alignment vertical="top"/>
    </xf>
    <xf numFmtId="0" fontId="32" fillId="24" borderId="2" xfId="0" applyFont="1" applyFill="1" applyBorder="1" applyAlignment="1">
      <alignment vertical="top"/>
    </xf>
    <xf numFmtId="3" fontId="48" fillId="0" borderId="26" xfId="0" applyNumberFormat="1" applyFont="1" applyFill="1" applyBorder="1" applyAlignment="1">
      <alignment vertical="top" wrapText="1"/>
    </xf>
    <xf numFmtId="0" fontId="49" fillId="0" borderId="0" xfId="0" applyFont="1" applyFill="1" applyBorder="1" applyAlignment="1">
      <alignment vertical="top" wrapText="1"/>
    </xf>
    <xf numFmtId="3" fontId="53" fillId="23" borderId="96" xfId="0" applyNumberFormat="1" applyFont="1" applyFill="1" applyBorder="1" applyAlignment="1">
      <alignment vertical="top"/>
    </xf>
    <xf numFmtId="3" fontId="55" fillId="26" borderId="96" xfId="0" applyNumberFormat="1" applyFont="1" applyFill="1" applyBorder="1" applyAlignment="1">
      <alignment vertical="top"/>
    </xf>
    <xf numFmtId="0" fontId="49" fillId="0" borderId="26" xfId="0" applyFont="1" applyFill="1" applyBorder="1" applyAlignment="1">
      <alignment vertical="top" wrapText="1"/>
    </xf>
    <xf numFmtId="3" fontId="59" fillId="0" borderId="98" xfId="0" applyNumberFormat="1" applyFont="1" applyFill="1" applyBorder="1" applyAlignment="1">
      <alignment vertical="center"/>
    </xf>
    <xf numFmtId="3" fontId="59" fillId="0" borderId="96" xfId="0" applyNumberFormat="1" applyFont="1" applyFill="1" applyBorder="1" applyAlignment="1">
      <alignment vertical="center"/>
    </xf>
    <xf numFmtId="3" fontId="59" fillId="59" borderId="96" xfId="0" applyNumberFormat="1" applyFont="1" applyFill="1" applyBorder="1" applyAlignment="1">
      <alignment horizontal="right" vertical="center"/>
    </xf>
    <xf numFmtId="3" fontId="59" fillId="0" borderId="96" xfId="0" applyNumberFormat="1" applyFont="1" applyFill="1" applyBorder="1" applyAlignment="1">
      <alignment horizontal="right" vertical="center"/>
    </xf>
    <xf numFmtId="0" fontId="49" fillId="0" borderId="0" xfId="0" applyFont="1" applyFill="1" applyBorder="1" applyAlignment="1">
      <alignment vertical="center" wrapText="1"/>
    </xf>
    <xf numFmtId="3" fontId="49" fillId="0" borderId="47" xfId="0" applyNumberFormat="1" applyFont="1" applyFill="1" applyBorder="1" applyAlignment="1">
      <alignment horizontal="right" vertical="center"/>
    </xf>
    <xf numFmtId="0" fontId="71" fillId="0" borderId="0" xfId="0" applyFont="1" applyBorder="1"/>
    <xf numFmtId="3" fontId="41" fillId="0" borderId="0" xfId="0" applyNumberFormat="1" applyFont="1" applyFill="1" applyBorder="1" applyAlignment="1">
      <alignment horizontal="right" vertical="center"/>
    </xf>
    <xf numFmtId="3" fontId="53" fillId="59" borderId="9" xfId="0" applyNumberFormat="1" applyFont="1" applyFill="1" applyBorder="1" applyAlignment="1">
      <alignment vertical="top"/>
    </xf>
    <xf numFmtId="3" fontId="53" fillId="61" borderId="9" xfId="0" applyNumberFormat="1" applyFont="1" applyFill="1" applyBorder="1" applyAlignment="1">
      <alignment vertical="top"/>
    </xf>
    <xf numFmtId="0" fontId="55" fillId="2" borderId="99" xfId="4" applyFont="1" applyFill="1" applyBorder="1" applyAlignment="1">
      <alignment vertical="top"/>
    </xf>
    <xf numFmtId="3" fontId="59" fillId="61" borderId="47" xfId="0" applyNumberFormat="1" applyFont="1" applyFill="1" applyBorder="1" applyAlignment="1">
      <alignment vertical="top"/>
    </xf>
    <xf numFmtId="3" fontId="55" fillId="2" borderId="98" xfId="0" applyNumberFormat="1" applyFont="1" applyFill="1" applyBorder="1" applyAlignment="1">
      <alignment vertical="center"/>
    </xf>
    <xf numFmtId="3" fontId="55" fillId="59" borderId="98" xfId="0" applyNumberFormat="1" applyFont="1" applyFill="1" applyBorder="1" applyAlignment="1">
      <alignment vertical="center"/>
    </xf>
    <xf numFmtId="3" fontId="55" fillId="61" borderId="98" xfId="0" applyNumberFormat="1" applyFont="1" applyFill="1" applyBorder="1" applyAlignment="1">
      <alignment vertical="center"/>
    </xf>
    <xf numFmtId="3" fontId="55" fillId="27" borderId="98" xfId="0" applyNumberFormat="1" applyFont="1" applyFill="1" applyBorder="1" applyAlignment="1">
      <alignment vertical="center"/>
    </xf>
    <xf numFmtId="0" fontId="46" fillId="2" borderId="0" xfId="0" applyFont="1" applyFill="1" applyBorder="1" applyAlignment="1">
      <alignment vertical="center"/>
    </xf>
    <xf numFmtId="3" fontId="32" fillId="0" borderId="96" xfId="0" applyNumberFormat="1" applyFont="1" applyFill="1" applyBorder="1" applyAlignment="1">
      <alignment vertical="top"/>
    </xf>
    <xf numFmtId="3" fontId="32" fillId="0" borderId="35" xfId="0" applyNumberFormat="1" applyFont="1" applyFill="1" applyBorder="1" applyAlignment="1">
      <alignment vertical="top"/>
    </xf>
    <xf numFmtId="3" fontId="55" fillId="0" borderId="9" xfId="0" applyNumberFormat="1" applyFont="1" applyFill="1" applyBorder="1" applyAlignment="1">
      <alignment vertical="top"/>
    </xf>
    <xf numFmtId="3" fontId="55" fillId="26" borderId="9" xfId="0" applyNumberFormat="1" applyFont="1" applyFill="1" applyBorder="1" applyAlignment="1">
      <alignment vertical="top"/>
    </xf>
    <xf numFmtId="3" fontId="53" fillId="6" borderId="98" xfId="0" applyNumberFormat="1" applyFont="1" applyFill="1" applyBorder="1" applyAlignment="1">
      <alignment vertical="center"/>
    </xf>
    <xf numFmtId="3" fontId="53" fillId="23" borderId="96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68" fillId="58" borderId="9" xfId="0" applyNumberFormat="1" applyFont="1" applyFill="1" applyBorder="1" applyAlignment="1">
      <alignment vertical="center"/>
    </xf>
    <xf numFmtId="3" fontId="68" fillId="58" borderId="35" xfId="0" applyNumberFormat="1" applyFont="1" applyFill="1" applyBorder="1" applyAlignment="1">
      <alignment vertical="center"/>
    </xf>
    <xf numFmtId="3" fontId="59" fillId="57" borderId="35" xfId="0" applyNumberFormat="1" applyFont="1" applyFill="1" applyBorder="1" applyAlignment="1">
      <alignment vertical="top"/>
    </xf>
    <xf numFmtId="3" fontId="65" fillId="0" borderId="0" xfId="0" applyNumberFormat="1" applyFont="1" applyBorder="1" applyAlignment="1">
      <alignment vertical="center"/>
    </xf>
    <xf numFmtId="0" fontId="51" fillId="0" borderId="28" xfId="0" applyFont="1" applyBorder="1" applyAlignment="1">
      <alignment horizontal="center" vertical="center" wrapText="1"/>
    </xf>
    <xf numFmtId="0" fontId="56" fillId="63" borderId="6" xfId="0" applyFont="1" applyFill="1" applyBorder="1" applyAlignment="1">
      <alignment vertical="top"/>
    </xf>
    <xf numFmtId="3" fontId="56" fillId="63" borderId="9" xfId="0" applyNumberFormat="1" applyFont="1" applyFill="1" applyBorder="1" applyAlignment="1">
      <alignment vertical="center"/>
    </xf>
    <xf numFmtId="3" fontId="56" fillId="63" borderId="9" xfId="0" applyNumberFormat="1" applyFont="1" applyFill="1" applyBorder="1" applyAlignment="1">
      <alignment vertical="top"/>
    </xf>
    <xf numFmtId="3" fontId="56" fillId="63" borderId="9" xfId="0" applyNumberFormat="1" applyFont="1" applyFill="1" applyBorder="1" applyAlignment="1">
      <alignment horizontal="right" vertical="center"/>
    </xf>
    <xf numFmtId="3" fontId="56" fillId="67" borderId="35" xfId="0" applyNumberFormat="1" applyFont="1" applyFill="1" applyBorder="1" applyAlignment="1">
      <alignment vertical="center"/>
    </xf>
    <xf numFmtId="0" fontId="56" fillId="64" borderId="28" xfId="0" applyFont="1" applyFill="1" applyBorder="1" applyAlignment="1">
      <alignment vertical="top"/>
    </xf>
    <xf numFmtId="3" fontId="56" fillId="58" borderId="9" xfId="0" applyNumberFormat="1" applyFont="1" applyFill="1" applyBorder="1" applyAlignment="1">
      <alignment horizontal="right"/>
    </xf>
    <xf numFmtId="3" fontId="56" fillId="58" borderId="9" xfId="0" applyNumberFormat="1" applyFont="1" applyFill="1" applyBorder="1" applyAlignment="1">
      <alignment horizontal="right" vertical="center"/>
    </xf>
    <xf numFmtId="0" fontId="56" fillId="65" borderId="28" xfId="0" applyFont="1" applyFill="1" applyBorder="1" applyAlignment="1">
      <alignment vertical="top"/>
    </xf>
    <xf numFmtId="3" fontId="56" fillId="57" borderId="9" xfId="0" applyNumberFormat="1" applyFont="1" applyFill="1" applyBorder="1" applyAlignment="1">
      <alignment horizontal="right" vertical="center"/>
    </xf>
    <xf numFmtId="0" fontId="59" fillId="57" borderId="28" xfId="0" applyFont="1" applyFill="1" applyBorder="1" applyAlignment="1">
      <alignment vertical="top"/>
    </xf>
    <xf numFmtId="3" fontId="53" fillId="6" borderId="9" xfId="0" applyNumberFormat="1" applyFont="1" applyFill="1" applyBorder="1" applyAlignment="1">
      <alignment vertical="center"/>
    </xf>
    <xf numFmtId="3" fontId="53" fillId="59" borderId="9" xfId="0" applyNumberFormat="1" applyFont="1" applyFill="1" applyBorder="1" applyAlignment="1">
      <alignment vertical="center"/>
    </xf>
    <xf numFmtId="3" fontId="53" fillId="61" borderId="9" xfId="0" applyNumberFormat="1" applyFont="1" applyFill="1" applyBorder="1" applyAlignment="1">
      <alignment vertical="center"/>
    </xf>
    <xf numFmtId="3" fontId="53" fillId="6" borderId="96" xfId="0" applyNumberFormat="1" applyFont="1" applyFill="1" applyBorder="1" applyAlignment="1">
      <alignment vertical="center"/>
    </xf>
    <xf numFmtId="3" fontId="49" fillId="0" borderId="26" xfId="0" applyNumberFormat="1" applyFont="1" applyFill="1" applyBorder="1" applyAlignment="1">
      <alignment vertical="top" wrapText="1"/>
    </xf>
    <xf numFmtId="3" fontId="55" fillId="0" borderId="96" xfId="0" applyNumberFormat="1" applyFont="1" applyFill="1" applyBorder="1" applyAlignment="1">
      <alignment vertical="center"/>
    </xf>
    <xf numFmtId="3" fontId="59" fillId="24" borderId="96" xfId="0" applyNumberFormat="1" applyFont="1" applyFill="1" applyBorder="1" applyAlignment="1">
      <alignment vertical="center"/>
    </xf>
    <xf numFmtId="3" fontId="55" fillId="59" borderId="9" xfId="4" applyNumberFormat="1" applyFont="1" applyFill="1" applyBorder="1" applyAlignment="1">
      <alignment horizontal="right" vertical="center"/>
    </xf>
    <xf numFmtId="3" fontId="55" fillId="61" borderId="9" xfId="4" applyNumberFormat="1" applyFont="1" applyFill="1" applyBorder="1" applyAlignment="1">
      <alignment horizontal="right" vertical="center"/>
    </xf>
    <xf numFmtId="3" fontId="55" fillId="59" borderId="27" xfId="4" applyNumberFormat="1" applyFont="1" applyFill="1" applyBorder="1" applyAlignment="1">
      <alignment horizontal="right" vertical="center"/>
    </xf>
    <xf numFmtId="3" fontId="55" fillId="61" borderId="27" xfId="4" applyNumberFormat="1" applyFont="1" applyFill="1" applyBorder="1" applyAlignment="1">
      <alignment horizontal="right" vertical="center"/>
    </xf>
    <xf numFmtId="3" fontId="55" fillId="57" borderId="12" xfId="4" applyNumberFormat="1" applyFont="1" applyFill="1" applyBorder="1" applyAlignment="1">
      <alignment horizontal="right" vertical="center"/>
    </xf>
    <xf numFmtId="0" fontId="52" fillId="29" borderId="11" xfId="0" applyFont="1" applyFill="1" applyBorder="1" applyAlignment="1">
      <alignment vertical="center"/>
    </xf>
    <xf numFmtId="3" fontId="53" fillId="23" borderId="35" xfId="0" applyNumberFormat="1" applyFont="1" applyFill="1" applyBorder="1" applyAlignment="1">
      <alignment vertical="center"/>
    </xf>
    <xf numFmtId="3" fontId="45" fillId="0" borderId="0" xfId="0" applyNumberFormat="1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3" fontId="55" fillId="8" borderId="96" xfId="0" applyNumberFormat="1" applyFont="1" applyFill="1" applyBorder="1" applyAlignment="1">
      <alignment vertical="center"/>
    </xf>
    <xf numFmtId="3" fontId="55" fillId="59" borderId="96" xfId="0" applyNumberFormat="1" applyFont="1" applyFill="1" applyBorder="1" applyAlignment="1">
      <alignment vertical="center"/>
    </xf>
    <xf numFmtId="3" fontId="55" fillId="61" borderId="96" xfId="0" applyNumberFormat="1" applyFont="1" applyFill="1" applyBorder="1" applyAlignment="1">
      <alignment vertical="center"/>
    </xf>
    <xf numFmtId="3" fontId="55" fillId="24" borderId="96" xfId="0" applyNumberFormat="1" applyFont="1" applyFill="1" applyBorder="1" applyAlignment="1">
      <alignment vertical="center"/>
    </xf>
    <xf numFmtId="0" fontId="49" fillId="0" borderId="0" xfId="0" applyFont="1" applyFill="1" applyBorder="1" applyAlignment="1">
      <alignment vertical="center"/>
    </xf>
    <xf numFmtId="3" fontId="49" fillId="0" borderId="0" xfId="0" applyNumberFormat="1" applyFont="1" applyFill="1" applyBorder="1" applyAlignment="1">
      <alignment vertical="center"/>
    </xf>
    <xf numFmtId="0" fontId="49" fillId="34" borderId="0" xfId="0" applyFont="1" applyFill="1" applyBorder="1" applyAlignment="1">
      <alignment vertical="center"/>
    </xf>
    <xf numFmtId="3" fontId="59" fillId="29" borderId="96" xfId="0" applyNumberFormat="1" applyFont="1" applyFill="1" applyBorder="1" applyAlignment="1">
      <alignment vertical="center"/>
    </xf>
    <xf numFmtId="3" fontId="59" fillId="60" borderId="96" xfId="0" applyNumberFormat="1" applyFont="1" applyFill="1" applyBorder="1" applyAlignment="1">
      <alignment vertical="center"/>
    </xf>
    <xf numFmtId="3" fontId="59" fillId="62" borderId="96" xfId="0" applyNumberFormat="1" applyFont="1" applyFill="1" applyBorder="1" applyAlignment="1">
      <alignment vertical="center"/>
    </xf>
    <xf numFmtId="3" fontId="52" fillId="60" borderId="35" xfId="0" applyNumberFormat="1" applyFont="1" applyFill="1" applyBorder="1" applyAlignment="1">
      <alignment vertical="center"/>
    </xf>
    <xf numFmtId="3" fontId="52" fillId="62" borderId="35" xfId="0" applyNumberFormat="1" applyFont="1" applyFill="1" applyBorder="1" applyAlignment="1">
      <alignment vertical="center"/>
    </xf>
    <xf numFmtId="3" fontId="59" fillId="29" borderId="13" xfId="0" applyNumberFormat="1" applyFont="1" applyFill="1" applyBorder="1" applyAlignment="1">
      <alignment vertical="center"/>
    </xf>
    <xf numFmtId="0" fontId="53" fillId="8" borderId="19" xfId="0" applyFont="1" applyFill="1" applyBorder="1" applyAlignment="1">
      <alignment vertical="center" wrapText="1"/>
    </xf>
    <xf numFmtId="0" fontId="53" fillId="8" borderId="16" xfId="0" applyFont="1" applyFill="1" applyBorder="1" applyAlignment="1">
      <alignment horizontal="center" vertical="center" wrapText="1"/>
    </xf>
    <xf numFmtId="43" fontId="53" fillId="6" borderId="98" xfId="1" applyFont="1" applyFill="1" applyBorder="1" applyAlignment="1">
      <alignment vertical="top"/>
    </xf>
    <xf numFmtId="43" fontId="55" fillId="0" borderId="98" xfId="1" applyFont="1" applyFill="1" applyBorder="1" applyAlignment="1">
      <alignment vertical="top"/>
    </xf>
    <xf numFmtId="3" fontId="55" fillId="26" borderId="98" xfId="0" applyNumberFormat="1" applyFont="1" applyFill="1" applyBorder="1" applyAlignment="1">
      <alignment vertical="top"/>
    </xf>
    <xf numFmtId="0" fontId="59" fillId="0" borderId="77" xfId="0" applyFont="1" applyFill="1" applyBorder="1" applyAlignment="1">
      <alignment vertical="top"/>
    </xf>
    <xf numFmtId="3" fontId="59" fillId="59" borderId="47" xfId="0" applyNumberFormat="1" applyFont="1" applyFill="1" applyBorder="1" applyAlignment="1">
      <alignment vertical="top"/>
    </xf>
    <xf numFmtId="43" fontId="59" fillId="0" borderId="47" xfId="1" applyFont="1" applyFill="1" applyBorder="1" applyAlignment="1">
      <alignment vertical="top"/>
    </xf>
    <xf numFmtId="3" fontId="32" fillId="24" borderId="47" xfId="0" applyNumberFormat="1" applyFont="1" applyFill="1" applyBorder="1" applyAlignment="1">
      <alignment vertical="center"/>
    </xf>
    <xf numFmtId="3" fontId="52" fillId="23" borderId="98" xfId="0" applyNumberFormat="1" applyFont="1" applyFill="1" applyBorder="1" applyAlignment="1">
      <alignment vertical="top"/>
    </xf>
    <xf numFmtId="3" fontId="57" fillId="27" borderId="98" xfId="0" applyNumberFormat="1" applyFont="1" applyFill="1" applyBorder="1" applyAlignment="1">
      <alignment vertical="center"/>
    </xf>
    <xf numFmtId="3" fontId="52" fillId="23" borderId="3" xfId="0" applyNumberFormat="1" applyFont="1" applyFill="1" applyBorder="1" applyAlignment="1">
      <alignment vertical="top"/>
    </xf>
    <xf numFmtId="0" fontId="59" fillId="6" borderId="98" xfId="0" applyFont="1" applyFill="1" applyBorder="1" applyAlignment="1">
      <alignment vertical="top"/>
    </xf>
    <xf numFmtId="43" fontId="55" fillId="2" borderId="98" xfId="1" applyFont="1" applyFill="1" applyBorder="1" applyAlignment="1">
      <alignment vertical="center"/>
    </xf>
    <xf numFmtId="0" fontId="0" fillId="0" borderId="32" xfId="0" applyFont="1" applyBorder="1"/>
    <xf numFmtId="3" fontId="0" fillId="0" borderId="96" xfId="0" applyNumberFormat="1" applyFont="1" applyBorder="1"/>
    <xf numFmtId="3" fontId="0" fillId="59" borderId="96" xfId="0" applyNumberFormat="1" applyFont="1" applyFill="1" applyBorder="1"/>
    <xf numFmtId="3" fontId="0" fillId="61" borderId="96" xfId="0" applyNumberFormat="1" applyFont="1" applyFill="1" applyBorder="1"/>
    <xf numFmtId="43" fontId="0" fillId="0" borderId="96" xfId="1" applyFont="1" applyBorder="1"/>
    <xf numFmtId="43" fontId="0" fillId="0" borderId="101" xfId="1" applyFont="1" applyBorder="1"/>
    <xf numFmtId="3" fontId="60" fillId="0" borderId="96" xfId="0" applyNumberFormat="1" applyFont="1" applyBorder="1"/>
    <xf numFmtId="3" fontId="60" fillId="59" borderId="96" xfId="0" applyNumberFormat="1" applyFont="1" applyFill="1" applyBorder="1"/>
    <xf numFmtId="3" fontId="60" fillId="61" borderId="96" xfId="0" applyNumberFormat="1" applyFont="1" applyFill="1" applyBorder="1"/>
    <xf numFmtId="43" fontId="60" fillId="0" borderId="96" xfId="1" applyFont="1" applyBorder="1"/>
    <xf numFmtId="43" fontId="53" fillId="6" borderId="96" xfId="1" applyFont="1" applyFill="1" applyBorder="1" applyAlignment="1">
      <alignment vertical="top"/>
    </xf>
    <xf numFmtId="43" fontId="55" fillId="2" borderId="35" xfId="1" applyFont="1" applyFill="1" applyBorder="1" applyAlignment="1">
      <alignment vertical="center"/>
    </xf>
    <xf numFmtId="43" fontId="55" fillId="2" borderId="9" xfId="1" applyFont="1" applyFill="1" applyBorder="1" applyAlignment="1">
      <alignment vertical="center"/>
    </xf>
    <xf numFmtId="3" fontId="60" fillId="0" borderId="47" xfId="0" applyNumberFormat="1" applyFont="1" applyBorder="1"/>
    <xf numFmtId="3" fontId="60" fillId="59" borderId="47" xfId="0" applyNumberFormat="1" applyFont="1" applyFill="1" applyBorder="1"/>
    <xf numFmtId="3" fontId="60" fillId="61" borderId="47" xfId="0" applyNumberFormat="1" applyFont="1" applyFill="1" applyBorder="1"/>
    <xf numFmtId="43" fontId="60" fillId="0" borderId="47" xfId="1" applyFont="1" applyBorder="1"/>
    <xf numFmtId="43" fontId="60" fillId="0" borderId="12" xfId="1" applyFont="1" applyBorder="1"/>
    <xf numFmtId="0" fontId="64" fillId="0" borderId="0" xfId="0" applyFon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65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47" fillId="0" borderId="1" xfId="0" applyFont="1" applyBorder="1" applyAlignment="1">
      <alignment vertical="top"/>
    </xf>
    <xf numFmtId="0" fontId="48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9" borderId="3" xfId="0" applyFont="1" applyFill="1" applyBorder="1" applyAlignment="1">
      <alignment vertical="top"/>
    </xf>
    <xf numFmtId="0" fontId="0" fillId="61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47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47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9" borderId="24" xfId="0" applyFont="1" applyFill="1" applyBorder="1" applyAlignment="1">
      <alignment vertical="top"/>
    </xf>
    <xf numFmtId="0" fontId="0" fillId="61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9" borderId="26" xfId="0" applyFont="1" applyFill="1" applyBorder="1" applyAlignment="1">
      <alignment vertical="top"/>
    </xf>
    <xf numFmtId="3" fontId="32" fillId="13" borderId="98" xfId="4" applyNumberFormat="1" applyFont="1" applyFill="1" applyBorder="1" applyAlignment="1">
      <alignment horizontal="right" vertical="center"/>
    </xf>
    <xf numFmtId="3" fontId="60" fillId="13" borderId="98" xfId="6" applyNumberFormat="1" applyFont="1" applyFill="1" applyBorder="1" applyAlignment="1">
      <alignment vertical="center"/>
    </xf>
    <xf numFmtId="3" fontId="56" fillId="0" borderId="101" xfId="0" applyNumberFormat="1" applyFont="1" applyFill="1" applyBorder="1" applyAlignment="1">
      <alignment vertical="center"/>
    </xf>
    <xf numFmtId="3" fontId="53" fillId="6" borderId="35" xfId="0" applyNumberFormat="1" applyFont="1" applyFill="1" applyBorder="1" applyAlignment="1">
      <alignment vertical="center"/>
    </xf>
    <xf numFmtId="3" fontId="59" fillId="8" borderId="18" xfId="0" applyNumberFormat="1" applyFont="1" applyFill="1" applyBorder="1" applyAlignment="1">
      <alignment vertical="top"/>
    </xf>
    <xf numFmtId="0" fontId="59" fillId="8" borderId="18" xfId="0" applyFont="1" applyFill="1" applyBorder="1" applyAlignment="1">
      <alignment vertical="top"/>
    </xf>
    <xf numFmtId="0" fontId="59" fillId="59" borderId="18" xfId="0" applyFont="1" applyFill="1" applyBorder="1" applyAlignment="1">
      <alignment vertical="top"/>
    </xf>
    <xf numFmtId="3" fontId="59" fillId="59" borderId="18" xfId="0" applyNumberFormat="1" applyFont="1" applyFill="1" applyBorder="1" applyAlignment="1">
      <alignment vertical="top"/>
    </xf>
    <xf numFmtId="3" fontId="59" fillId="61" borderId="18" xfId="0" applyNumberFormat="1" applyFont="1" applyFill="1" applyBorder="1" applyAlignment="1">
      <alignment vertical="top"/>
    </xf>
    <xf numFmtId="0" fontId="59" fillId="61" borderId="18" xfId="0" applyFont="1" applyFill="1" applyBorder="1" applyAlignment="1">
      <alignment vertical="top"/>
    </xf>
    <xf numFmtId="0" fontId="59" fillId="8" borderId="17" xfId="0" applyFont="1" applyFill="1" applyBorder="1" applyAlignment="1">
      <alignment vertical="top"/>
    </xf>
    <xf numFmtId="3" fontId="59" fillId="8" borderId="79" xfId="0" applyNumberFormat="1" applyFont="1" applyFill="1" applyBorder="1" applyAlignment="1">
      <alignment vertical="top"/>
    </xf>
    <xf numFmtId="3" fontId="32" fillId="8" borderId="18" xfId="0" applyNumberFormat="1" applyFont="1" applyFill="1" applyBorder="1" applyAlignment="1">
      <alignment vertical="top"/>
    </xf>
    <xf numFmtId="0" fontId="32" fillId="59" borderId="18" xfId="0" applyFont="1" applyFill="1" applyBorder="1" applyAlignment="1">
      <alignment vertical="top"/>
    </xf>
    <xf numFmtId="3" fontId="32" fillId="59" borderId="18" xfId="0" applyNumberFormat="1" applyFont="1" applyFill="1" applyBorder="1" applyAlignment="1">
      <alignment vertical="top"/>
    </xf>
    <xf numFmtId="3" fontId="32" fillId="61" borderId="18" xfId="0" applyNumberFormat="1" applyFont="1" applyFill="1" applyBorder="1" applyAlignment="1">
      <alignment vertical="top"/>
    </xf>
    <xf numFmtId="0" fontId="32" fillId="61" borderId="18" xfId="0" applyFont="1" applyFill="1" applyBorder="1" applyAlignment="1">
      <alignment vertical="top"/>
    </xf>
    <xf numFmtId="0" fontId="62" fillId="2" borderId="24" xfId="0" applyFont="1" applyFill="1" applyBorder="1" applyAlignment="1">
      <alignment vertical="top"/>
    </xf>
    <xf numFmtId="0" fontId="62" fillId="0" borderId="24" xfId="0" applyFont="1" applyFill="1" applyBorder="1" applyAlignment="1">
      <alignment vertical="top"/>
    </xf>
    <xf numFmtId="0" fontId="53" fillId="8" borderId="21" xfId="0" applyFont="1" applyFill="1" applyBorder="1" applyAlignment="1">
      <alignment vertical="center" wrapText="1"/>
    </xf>
    <xf numFmtId="0" fontId="33" fillId="0" borderId="21" xfId="4" applyFont="1" applyFill="1" applyBorder="1" applyAlignment="1">
      <alignment vertical="center" wrapText="1"/>
    </xf>
    <xf numFmtId="3" fontId="32" fillId="60" borderId="9" xfId="0" applyNumberFormat="1" applyFont="1" applyFill="1" applyBorder="1" applyAlignment="1">
      <alignment vertical="center"/>
    </xf>
    <xf numFmtId="3" fontId="32" fillId="62" borderId="9" xfId="0" applyNumberFormat="1" applyFont="1" applyFill="1" applyBorder="1" applyAlignment="1">
      <alignment vertical="center"/>
    </xf>
    <xf numFmtId="3" fontId="32" fillId="24" borderId="109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10" xfId="0" applyFont="1" applyBorder="1"/>
    <xf numFmtId="0" fontId="0" fillId="0" borderId="109" xfId="0" applyFont="1" applyBorder="1"/>
    <xf numFmtId="3" fontId="0" fillId="0" borderId="109" xfId="0" applyNumberFormat="1" applyFont="1" applyBorder="1"/>
    <xf numFmtId="0" fontId="71" fillId="0" borderId="109" xfId="0" applyFont="1" applyBorder="1"/>
    <xf numFmtId="3" fontId="32" fillId="24" borderId="109" xfId="4" applyNumberFormat="1" applyFont="1" applyFill="1" applyBorder="1" applyAlignment="1">
      <alignment horizontal="right" vertical="center"/>
    </xf>
    <xf numFmtId="3" fontId="32" fillId="8" borderId="109" xfId="4" applyNumberFormat="1" applyFont="1" applyFill="1" applyBorder="1" applyAlignment="1">
      <alignment horizontal="right" vertical="center"/>
    </xf>
    <xf numFmtId="3" fontId="53" fillId="23" borderId="109" xfId="4" applyNumberFormat="1" applyFont="1" applyFill="1" applyBorder="1" applyAlignment="1">
      <alignment horizontal="right" vertical="center"/>
    </xf>
    <xf numFmtId="3" fontId="61" fillId="0" borderId="109" xfId="6" applyNumberFormat="1" applyFont="1" applyFill="1" applyBorder="1" applyAlignment="1">
      <alignment vertical="center"/>
    </xf>
    <xf numFmtId="3" fontId="55" fillId="0" borderId="109" xfId="4" applyNumberFormat="1" applyFont="1" applyFill="1" applyBorder="1" applyAlignment="1">
      <alignment horizontal="right" vertical="center"/>
    </xf>
    <xf numFmtId="3" fontId="60" fillId="0" borderId="109" xfId="6" applyNumberFormat="1" applyFont="1" applyFill="1" applyBorder="1" applyAlignment="1">
      <alignment vertical="center"/>
    </xf>
    <xf numFmtId="3" fontId="32" fillId="0" borderId="109" xfId="4" applyNumberFormat="1" applyFont="1" applyFill="1" applyBorder="1" applyAlignment="1">
      <alignment horizontal="right" vertical="center"/>
    </xf>
    <xf numFmtId="3" fontId="53" fillId="6" borderId="109" xfId="4" applyNumberFormat="1" applyFont="1" applyFill="1" applyBorder="1" applyAlignment="1">
      <alignment horizontal="right" vertical="center"/>
    </xf>
    <xf numFmtId="3" fontId="59" fillId="0" borderId="109" xfId="4" applyNumberFormat="1" applyFont="1" applyFill="1" applyBorder="1" applyAlignment="1">
      <alignment horizontal="right" vertical="center"/>
    </xf>
    <xf numFmtId="3" fontId="55" fillId="26" borderId="109" xfId="4" applyNumberFormat="1" applyFont="1" applyFill="1" applyBorder="1" applyAlignment="1">
      <alignment horizontal="right" vertical="center"/>
    </xf>
    <xf numFmtId="0" fontId="0" fillId="0" borderId="109" xfId="0" applyFont="1" applyFill="1" applyBorder="1"/>
    <xf numFmtId="0" fontId="0" fillId="0" borderId="109" xfId="0" applyFont="1" applyBorder="1" applyAlignment="1">
      <alignment vertical="center"/>
    </xf>
    <xf numFmtId="0" fontId="53" fillId="0" borderId="0" xfId="0" applyFont="1" applyBorder="1" applyAlignment="1">
      <alignment vertical="top"/>
    </xf>
    <xf numFmtId="3" fontId="49" fillId="0" borderId="0" xfId="0" applyNumberFormat="1" applyFont="1" applyBorder="1" applyAlignment="1">
      <alignment vertical="top"/>
    </xf>
    <xf numFmtId="0" fontId="91" fillId="0" borderId="0" xfId="0" applyFont="1" applyFill="1" applyBorder="1" applyAlignment="1">
      <alignment vertical="top"/>
    </xf>
    <xf numFmtId="0" fontId="91" fillId="31" borderId="0" xfId="0" applyFont="1" applyFill="1" applyBorder="1" applyAlignment="1">
      <alignment vertical="top"/>
    </xf>
    <xf numFmtId="0" fontId="47" fillId="2" borderId="27" xfId="0" applyFont="1" applyFill="1" applyBorder="1" applyAlignment="1">
      <alignment vertical="center" wrapText="1"/>
    </xf>
    <xf numFmtId="0" fontId="47" fillId="2" borderId="0" xfId="0" applyFont="1" applyFill="1" applyBorder="1" applyAlignment="1">
      <alignment vertical="center" wrapText="1"/>
    </xf>
    <xf numFmtId="0" fontId="47" fillId="2" borderId="10" xfId="0" applyFont="1" applyFill="1" applyBorder="1" applyAlignment="1">
      <alignment vertical="center" wrapText="1"/>
    </xf>
    <xf numFmtId="0" fontId="49" fillId="0" borderId="11" xfId="0" applyFont="1" applyBorder="1" applyAlignment="1">
      <alignment horizontal="center" vertical="top"/>
    </xf>
    <xf numFmtId="0" fontId="49" fillId="0" borderId="27" xfId="0" applyFont="1" applyBorder="1" applyAlignment="1">
      <alignment horizontal="center" vertical="top"/>
    </xf>
    <xf numFmtId="0" fontId="49" fillId="0" borderId="13" xfId="0" applyFont="1" applyBorder="1" applyAlignment="1">
      <alignment horizontal="center" vertical="top"/>
    </xf>
    <xf numFmtId="0" fontId="49" fillId="2" borderId="13" xfId="0" quotePrefix="1" applyFont="1" applyFill="1" applyBorder="1" applyAlignment="1">
      <alignment horizontal="center" vertical="top"/>
    </xf>
    <xf numFmtId="0" fontId="49" fillId="27" borderId="10" xfId="0" quotePrefix="1" applyFont="1" applyFill="1" applyBorder="1" applyAlignment="1">
      <alignment horizontal="center" vertical="top"/>
    </xf>
    <xf numFmtId="0" fontId="32" fillId="8" borderId="11" xfId="4" applyFont="1" applyFill="1" applyBorder="1" applyAlignment="1">
      <alignment vertical="top"/>
    </xf>
    <xf numFmtId="3" fontId="53" fillId="23" borderId="13" xfId="4" applyNumberFormat="1" applyFont="1" applyFill="1" applyBorder="1" applyAlignment="1">
      <alignment horizontal="right" vertical="center"/>
    </xf>
    <xf numFmtId="3" fontId="15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31" borderId="0" xfId="0" applyFont="1" applyFill="1" applyBorder="1" applyAlignment="1">
      <alignment vertical="center"/>
    </xf>
    <xf numFmtId="0" fontId="32" fillId="8" borderId="27" xfId="4" applyFont="1" applyFill="1" applyBorder="1" applyAlignment="1">
      <alignment vertical="top"/>
    </xf>
    <xf numFmtId="3" fontId="32" fillId="8" borderId="13" xfId="4" applyNumberFormat="1" applyFont="1" applyFill="1" applyBorder="1" applyAlignment="1">
      <alignment vertical="top"/>
    </xf>
    <xf numFmtId="3" fontId="60" fillId="0" borderId="0" xfId="0" applyNumberFormat="1" applyFont="1" applyFill="1" applyBorder="1"/>
    <xf numFmtId="0" fontId="53" fillId="6" borderId="6" xfId="4" applyFont="1" applyFill="1" applyBorder="1" applyAlignment="1">
      <alignment horizontal="left" vertical="center"/>
    </xf>
    <xf numFmtId="3" fontId="53" fillId="6" borderId="13" xfId="4" applyNumberFormat="1" applyFont="1" applyFill="1" applyBorder="1" applyAlignment="1">
      <alignment vertical="center"/>
    </xf>
    <xf numFmtId="0" fontId="52" fillId="8" borderId="11" xfId="4" applyFont="1" applyFill="1" applyBorder="1" applyAlignment="1">
      <alignment horizontal="left" vertical="center" wrapText="1"/>
    </xf>
    <xf numFmtId="3" fontId="32" fillId="24" borderId="10" xfId="4" applyNumberFormat="1" applyFont="1" applyFill="1" applyBorder="1" applyAlignment="1">
      <alignment horizontal="right" vertical="center"/>
    </xf>
    <xf numFmtId="0" fontId="52" fillId="6" borderId="11" xfId="4" applyFont="1" applyFill="1" applyBorder="1" applyAlignment="1">
      <alignment horizontal="left" vertical="center"/>
    </xf>
    <xf numFmtId="0" fontId="57" fillId="0" borderId="11" xfId="4" applyFont="1" applyFill="1" applyBorder="1" applyAlignment="1">
      <alignment vertical="top"/>
    </xf>
    <xf numFmtId="0" fontId="32" fillId="0" borderId="11" xfId="4" applyFont="1" applyFill="1" applyBorder="1" applyAlignment="1">
      <alignment vertical="top"/>
    </xf>
    <xf numFmtId="3" fontId="32" fillId="0" borderId="13" xfId="0" applyNumberFormat="1" applyFont="1" applyFill="1" applyBorder="1" applyAlignment="1">
      <alignment vertical="top"/>
    </xf>
    <xf numFmtId="3" fontId="32" fillId="0" borderId="13" xfId="4" applyNumberFormat="1" applyFont="1" applyFill="1" applyBorder="1" applyAlignment="1">
      <alignment vertical="top"/>
    </xf>
    <xf numFmtId="3" fontId="32" fillId="26" borderId="13" xfId="4" applyNumberFormat="1" applyFont="1" applyFill="1" applyBorder="1" applyAlignment="1">
      <alignment vertical="top"/>
    </xf>
    <xf numFmtId="3" fontId="46" fillId="0" borderId="0" xfId="0" applyNumberFormat="1" applyFont="1" applyBorder="1" applyAlignment="1">
      <alignment vertical="top"/>
    </xf>
    <xf numFmtId="0" fontId="57" fillId="0" borderId="11" xfId="4" applyFont="1" applyFill="1" applyBorder="1" applyAlignment="1">
      <alignment horizontal="left" vertical="center"/>
    </xf>
    <xf numFmtId="3" fontId="32" fillId="0" borderId="27" xfId="4" applyNumberFormat="1" applyFont="1" applyFill="1" applyBorder="1" applyAlignment="1">
      <alignment horizontal="right" vertical="center"/>
    </xf>
    <xf numFmtId="3" fontId="53" fillId="8" borderId="27" xfId="4" applyNumberFormat="1" applyFont="1" applyFill="1" applyBorder="1" applyAlignment="1">
      <alignment horizontal="center" vertical="center"/>
    </xf>
    <xf numFmtId="0" fontId="59" fillId="0" borderId="0" xfId="0" applyFont="1" applyBorder="1" applyAlignment="1">
      <alignment vertical="top"/>
    </xf>
    <xf numFmtId="3" fontId="53" fillId="6" borderId="27" xfId="4" applyNumberFormat="1" applyFont="1" applyFill="1" applyBorder="1" applyAlignment="1">
      <alignment vertical="center"/>
    </xf>
    <xf numFmtId="3" fontId="53" fillId="23" borderId="13" xfId="4" applyNumberFormat="1" applyFont="1" applyFill="1" applyBorder="1" applyAlignment="1">
      <alignment vertical="center"/>
    </xf>
    <xf numFmtId="3" fontId="55" fillId="26" borderId="13" xfId="4" applyNumberFormat="1" applyFont="1" applyFill="1" applyBorder="1" applyAlignment="1">
      <alignment horizontal="right" vertical="center"/>
    </xf>
    <xf numFmtId="3" fontId="55" fillId="0" borderId="13" xfId="4" applyNumberFormat="1" applyFont="1" applyFill="1" applyBorder="1" applyAlignment="1">
      <alignment horizontal="right" vertical="center"/>
    </xf>
    <xf numFmtId="0" fontId="59" fillId="0" borderId="0" xfId="0" applyFont="1" applyBorder="1" applyAlignment="1"/>
    <xf numFmtId="0" fontId="32" fillId="0" borderId="0" xfId="0" applyFont="1" applyBorder="1" applyAlignment="1">
      <alignment vertical="top"/>
    </xf>
    <xf numFmtId="3" fontId="59" fillId="0" borderId="13" xfId="4" applyNumberFormat="1" applyFont="1" applyFill="1" applyBorder="1" applyAlignment="1">
      <alignment vertical="top"/>
    </xf>
    <xf numFmtId="3" fontId="59" fillId="8" borderId="13" xfId="4" applyNumberFormat="1" applyFont="1" applyFill="1" applyBorder="1" applyAlignment="1">
      <alignment horizontal="right" vertical="center"/>
    </xf>
    <xf numFmtId="0" fontId="60" fillId="0" borderId="0" xfId="0" applyFont="1" applyFill="1" applyBorder="1"/>
    <xf numFmtId="0" fontId="32" fillId="0" borderId="0" xfId="4" applyFont="1" applyFill="1" applyBorder="1" applyAlignment="1">
      <alignment horizontal="center" vertical="center" wrapText="1"/>
    </xf>
    <xf numFmtId="0" fontId="52" fillId="8" borderId="11" xfId="0" applyFont="1" applyFill="1" applyBorder="1" applyAlignment="1">
      <alignment vertical="center" wrapText="1"/>
    </xf>
    <xf numFmtId="0" fontId="32" fillId="8" borderId="10" xfId="0" applyFont="1" applyFill="1" applyBorder="1" applyAlignment="1">
      <alignment vertical="top"/>
    </xf>
    <xf numFmtId="3" fontId="32" fillId="8" borderId="10" xfId="0" applyNumberFormat="1" applyFont="1" applyFill="1" applyBorder="1" applyAlignment="1">
      <alignment vertical="top"/>
    </xf>
    <xf numFmtId="3" fontId="32" fillId="24" borderId="13" xfId="0" applyNumberFormat="1" applyFont="1" applyFill="1" applyBorder="1" applyAlignment="1">
      <alignment vertical="top"/>
    </xf>
    <xf numFmtId="0" fontId="52" fillId="6" borderId="67" xfId="4" applyFont="1" applyFill="1" applyBorder="1" applyAlignment="1">
      <alignment horizontal="left" vertical="center"/>
    </xf>
    <xf numFmtId="3" fontId="52" fillId="6" borderId="13" xfId="4" applyNumberFormat="1" applyFont="1" applyFill="1" applyBorder="1" applyAlignment="1"/>
    <xf numFmtId="0" fontId="57" fillId="2" borderId="67" xfId="4" applyFont="1" applyFill="1" applyBorder="1" applyAlignment="1">
      <alignment vertical="top"/>
    </xf>
    <xf numFmtId="3" fontId="61" fillId="0" borderId="27" xfId="6" applyNumberFormat="1" applyFont="1" applyFill="1" applyBorder="1" applyAlignment="1">
      <alignment vertical="center"/>
    </xf>
    <xf numFmtId="0" fontId="32" fillId="0" borderId="11" xfId="4" applyFont="1" applyFill="1" applyBorder="1" applyAlignment="1">
      <alignment horizontal="left" vertical="center"/>
    </xf>
    <xf numFmtId="3" fontId="60" fillId="0" borderId="27" xfId="6" applyNumberFormat="1" applyFont="1" applyFill="1" applyBorder="1" applyAlignment="1">
      <alignment vertical="center"/>
    </xf>
    <xf numFmtId="3" fontId="60" fillId="0" borderId="13" xfId="6" applyNumberFormat="1" applyFont="1" applyFill="1" applyBorder="1" applyAlignment="1">
      <alignment vertical="center"/>
    </xf>
    <xf numFmtId="3" fontId="32" fillId="2" borderId="13" xfId="4" applyNumberFormat="1" applyFont="1" applyFill="1" applyBorder="1" applyAlignment="1">
      <alignment horizontal="right" vertical="center"/>
    </xf>
    <xf numFmtId="3" fontId="52" fillId="8" borderId="27" xfId="4" applyNumberFormat="1" applyFont="1" applyFill="1" applyBorder="1" applyAlignment="1">
      <alignment horizontal="center" vertical="center"/>
    </xf>
    <xf numFmtId="0" fontId="32" fillId="33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49" fillId="0" borderId="13" xfId="1" applyFont="1" applyFill="1" applyBorder="1" applyAlignment="1">
      <alignment vertical="top"/>
    </xf>
    <xf numFmtId="43" fontId="49" fillId="0" borderId="13" xfId="1" applyFont="1" applyFill="1" applyBorder="1" applyAlignment="1">
      <alignment vertical="top" wrapText="1"/>
    </xf>
    <xf numFmtId="3" fontId="46" fillId="0" borderId="13" xfId="4" applyNumberFormat="1" applyFont="1" applyFill="1" applyBorder="1" applyAlignment="1">
      <alignment horizontal="right" vertical="center"/>
    </xf>
    <xf numFmtId="3" fontId="46" fillId="2" borderId="13" xfId="4" applyNumberFormat="1" applyFont="1" applyFill="1" applyBorder="1" applyAlignment="1">
      <alignment horizontal="right" vertical="center"/>
    </xf>
    <xf numFmtId="3" fontId="46" fillId="26" borderId="10" xfId="4" applyNumberFormat="1" applyFont="1" applyFill="1" applyBorder="1" applyAlignment="1">
      <alignment vertical="top"/>
    </xf>
    <xf numFmtId="3" fontId="59" fillId="24" borderId="10" xfId="4" applyNumberFormat="1" applyFont="1" applyFill="1" applyBorder="1" applyAlignment="1">
      <alignment horizontal="right" vertical="center"/>
    </xf>
    <xf numFmtId="3" fontId="48" fillId="6" borderId="6" xfId="4" applyNumberFormat="1" applyFont="1" applyFill="1" applyBorder="1" applyAlignment="1">
      <alignment vertical="center"/>
    </xf>
    <xf numFmtId="3" fontId="59" fillId="0" borderId="27" xfId="0" applyNumberFormat="1" applyFont="1" applyFill="1" applyBorder="1" applyAlignment="1">
      <alignment vertical="top"/>
    </xf>
    <xf numFmtId="3" fontId="55" fillId="26" borderId="27" xfId="4" applyNumberFormat="1" applyFont="1" applyFill="1" applyBorder="1" applyAlignment="1">
      <alignment horizontal="right" vertical="center"/>
    </xf>
    <xf numFmtId="4" fontId="59" fillId="0" borderId="13" xfId="4" applyNumberFormat="1" applyFont="1" applyFill="1" applyBorder="1" applyAlignment="1">
      <alignment vertical="top"/>
    </xf>
    <xf numFmtId="3" fontId="59" fillId="0" borderId="13" xfId="0" applyNumberFormat="1" applyFont="1" applyFill="1" applyBorder="1" applyAlignment="1">
      <alignment vertical="center"/>
    </xf>
    <xf numFmtId="3" fontId="59" fillId="0" borderId="13" xfId="4" applyNumberFormat="1" applyFont="1" applyFill="1" applyBorder="1" applyAlignment="1">
      <alignment vertical="center"/>
    </xf>
    <xf numFmtId="0" fontId="49" fillId="0" borderId="0" xfId="0" applyFont="1" applyBorder="1" applyAlignment="1">
      <alignment vertical="center"/>
    </xf>
    <xf numFmtId="0" fontId="45" fillId="8" borderId="11" xfId="4" applyFont="1" applyFill="1" applyBorder="1" applyAlignment="1">
      <alignment horizontal="left" vertical="center" wrapText="1"/>
    </xf>
    <xf numFmtId="3" fontId="48" fillId="8" borderId="27" xfId="4" applyNumberFormat="1" applyFont="1" applyFill="1" applyBorder="1" applyAlignment="1">
      <alignment horizontal="center" vertical="center"/>
    </xf>
    <xf numFmtId="3" fontId="46" fillId="8" borderId="27" xfId="4" applyNumberFormat="1" applyFont="1" applyFill="1" applyBorder="1" applyAlignment="1">
      <alignment horizontal="right" vertical="center"/>
    </xf>
    <xf numFmtId="3" fontId="46" fillId="8" borderId="13" xfId="4" applyNumberFormat="1" applyFont="1" applyFill="1" applyBorder="1" applyAlignment="1">
      <alignment horizontal="right" vertical="center"/>
    </xf>
    <xf numFmtId="3" fontId="46" fillId="24" borderId="10" xfId="4" applyNumberFormat="1" applyFont="1" applyFill="1" applyBorder="1" applyAlignment="1">
      <alignment horizontal="right" vertical="center"/>
    </xf>
    <xf numFmtId="0" fontId="45" fillId="6" borderId="11" xfId="4" applyFont="1" applyFill="1" applyBorder="1" applyAlignment="1">
      <alignment horizontal="left" vertical="center"/>
    </xf>
    <xf numFmtId="3" fontId="45" fillId="6" borderId="27" xfId="4" applyNumberFormat="1" applyFont="1" applyFill="1" applyBorder="1" applyAlignment="1">
      <alignment vertical="center"/>
    </xf>
    <xf numFmtId="43" fontId="45" fillId="6" borderId="13" xfId="1" applyFont="1" applyFill="1" applyBorder="1" applyAlignment="1">
      <alignment vertical="center"/>
    </xf>
    <xf numFmtId="3" fontId="45" fillId="6" borderId="13" xfId="4" applyNumberFormat="1" applyFont="1" applyFill="1" applyBorder="1" applyAlignment="1">
      <alignment vertical="center"/>
    </xf>
    <xf numFmtId="3" fontId="45" fillId="6" borderId="0" xfId="4" applyNumberFormat="1" applyFont="1" applyFill="1" applyBorder="1" applyAlignment="1">
      <alignment vertical="center"/>
    </xf>
    <xf numFmtId="4" fontId="45" fillId="6" borderId="0" xfId="4" applyNumberFormat="1" applyFont="1" applyFill="1" applyBorder="1" applyAlignment="1">
      <alignment vertical="center"/>
    </xf>
    <xf numFmtId="3" fontId="48" fillId="6" borderId="13" xfId="4" applyNumberFormat="1" applyFont="1" applyFill="1" applyBorder="1" applyAlignment="1">
      <alignment vertical="center"/>
    </xf>
    <xf numFmtId="3" fontId="48" fillId="23" borderId="10" xfId="4" applyNumberFormat="1" applyFont="1" applyFill="1" applyBorder="1" applyAlignment="1">
      <alignment vertical="center"/>
    </xf>
    <xf numFmtId="0" fontId="58" fillId="0" borderId="11" xfId="4" applyFont="1" applyFill="1" applyBorder="1" applyAlignment="1">
      <alignment vertical="top"/>
    </xf>
    <xf numFmtId="3" fontId="63" fillId="0" borderId="27" xfId="4" applyNumberFormat="1" applyFont="1" applyFill="1" applyBorder="1" applyAlignment="1">
      <alignment horizontal="right" vertical="center"/>
    </xf>
    <xf numFmtId="43" fontId="63" fillId="0" borderId="27" xfId="1" applyFont="1" applyFill="1" applyBorder="1" applyAlignment="1">
      <alignment horizontal="right" vertical="center"/>
    </xf>
    <xf numFmtId="3" fontId="58" fillId="0" borderId="13" xfId="4" applyNumberFormat="1" applyFont="1" applyFill="1" applyBorder="1" applyAlignment="1">
      <alignment horizontal="right" vertical="center"/>
    </xf>
    <xf numFmtId="4" fontId="58" fillId="0" borderId="13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horizontal="right" vertical="center"/>
    </xf>
    <xf numFmtId="3" fontId="63" fillId="26" borderId="10" xfId="4" applyNumberFormat="1" applyFont="1" applyFill="1" applyBorder="1" applyAlignment="1">
      <alignment horizontal="right" vertical="center"/>
    </xf>
    <xf numFmtId="0" fontId="46" fillId="0" borderId="11" xfId="4" applyFont="1" applyFill="1" applyBorder="1" applyAlignment="1">
      <alignment vertical="top"/>
    </xf>
    <xf numFmtId="3" fontId="49" fillId="0" borderId="27" xfId="0" applyNumberFormat="1" applyFont="1" applyFill="1" applyBorder="1" applyAlignment="1">
      <alignment vertical="top"/>
    </xf>
    <xf numFmtId="43" fontId="46" fillId="0" borderId="27" xfId="1" applyFont="1" applyFill="1" applyBorder="1" applyAlignment="1">
      <alignment vertical="top"/>
    </xf>
    <xf numFmtId="3" fontId="46" fillId="0" borderId="27" xfId="4" applyNumberFormat="1" applyFont="1" applyFill="1" applyBorder="1" applyAlignment="1">
      <alignment vertical="top"/>
    </xf>
    <xf numFmtId="3" fontId="46" fillId="0" borderId="13" xfId="4" applyNumberFormat="1" applyFont="1" applyFill="1" applyBorder="1" applyAlignment="1">
      <alignment vertical="top"/>
    </xf>
    <xf numFmtId="4" fontId="46" fillId="0" borderId="13" xfId="4" applyNumberFormat="1" applyFont="1" applyFill="1" applyBorder="1" applyAlignment="1">
      <alignment vertical="top"/>
    </xf>
    <xf numFmtId="0" fontId="46" fillId="0" borderId="11" xfId="4" applyFont="1" applyFill="1" applyBorder="1" applyAlignment="1">
      <alignment vertical="top" wrapText="1"/>
    </xf>
    <xf numFmtId="43" fontId="49" fillId="0" borderId="27" xfId="1" applyFont="1" applyFill="1" applyBorder="1" applyAlignment="1">
      <alignment vertical="top"/>
    </xf>
    <xf numFmtId="3" fontId="49" fillId="0" borderId="27" xfId="4" applyNumberFormat="1" applyFont="1" applyFill="1" applyBorder="1" applyAlignment="1">
      <alignment vertical="top"/>
    </xf>
    <xf numFmtId="3" fontId="49" fillId="0" borderId="13" xfId="4" applyNumberFormat="1" applyFont="1" applyFill="1" applyBorder="1" applyAlignment="1">
      <alignment vertical="top"/>
    </xf>
    <xf numFmtId="0" fontId="58" fillId="0" borderId="11" xfId="4" applyFont="1" applyFill="1" applyBorder="1" applyAlignment="1">
      <alignment horizontal="left" vertical="center"/>
    </xf>
    <xf numFmtId="3" fontId="58" fillId="0" borderId="27" xfId="4" applyNumberFormat="1" applyFont="1" applyFill="1" applyBorder="1" applyAlignment="1">
      <alignment horizontal="right" vertical="center"/>
    </xf>
    <xf numFmtId="4" fontId="58" fillId="0" borderId="27" xfId="4" applyNumberFormat="1" applyFont="1" applyFill="1" applyBorder="1" applyAlignment="1">
      <alignment horizontal="right" vertical="center"/>
    </xf>
    <xf numFmtId="43" fontId="48" fillId="6" borderId="13" xfId="1" applyFont="1" applyFill="1" applyBorder="1" applyAlignment="1">
      <alignment vertical="center"/>
    </xf>
    <xf numFmtId="3" fontId="48" fillId="23" borderId="10" xfId="4" applyNumberFormat="1" applyFont="1" applyFill="1" applyBorder="1" applyAlignment="1">
      <alignment horizontal="center" vertical="center"/>
    </xf>
    <xf numFmtId="3" fontId="46" fillId="37" borderId="13" xfId="4" applyNumberFormat="1" applyFont="1" applyFill="1" applyBorder="1" applyAlignment="1">
      <alignment vertical="top"/>
    </xf>
    <xf numFmtId="43" fontId="63" fillId="0" borderId="13" xfId="1" applyFont="1" applyFill="1" applyBorder="1" applyAlignment="1">
      <alignment horizontal="right" vertical="center"/>
    </xf>
    <xf numFmtId="3" fontId="49" fillId="0" borderId="13" xfId="4" applyNumberFormat="1" applyFont="1" applyFill="1" applyBorder="1" applyAlignment="1">
      <alignment vertical="center"/>
    </xf>
    <xf numFmtId="3" fontId="46" fillId="0" borderId="13" xfId="4" applyNumberFormat="1" applyFont="1" applyFill="1" applyBorder="1" applyAlignment="1">
      <alignment vertical="center"/>
    </xf>
    <xf numFmtId="0" fontId="91" fillId="2" borderId="0" xfId="0" applyFont="1" applyFill="1" applyBorder="1" applyAlignment="1">
      <alignment vertical="center"/>
    </xf>
    <xf numFmtId="3" fontId="91" fillId="2" borderId="0" xfId="0" applyNumberFormat="1" applyFont="1" applyFill="1" applyBorder="1" applyAlignment="1">
      <alignment horizontal="left" vertical="center"/>
    </xf>
    <xf numFmtId="0" fontId="91" fillId="38" borderId="0" xfId="0" applyFont="1" applyFill="1" applyBorder="1" applyAlignment="1">
      <alignment vertical="center"/>
    </xf>
    <xf numFmtId="0" fontId="49" fillId="0" borderId="0" xfId="0" applyFont="1" applyBorder="1" applyAlignment="1">
      <alignment horizontal="center" vertical="top" wrapText="1"/>
    </xf>
    <xf numFmtId="0" fontId="49" fillId="0" borderId="67" xfId="0" applyFont="1" applyBorder="1" applyAlignment="1">
      <alignment vertical="top"/>
    </xf>
    <xf numFmtId="3" fontId="53" fillId="23" borderId="35" xfId="4" applyNumberFormat="1" applyFont="1" applyFill="1" applyBorder="1" applyAlignment="1">
      <alignment horizontal="right" vertical="center"/>
    </xf>
    <xf numFmtId="3" fontId="53" fillId="6" borderId="35" xfId="4" applyNumberFormat="1" applyFont="1" applyFill="1" applyBorder="1" applyAlignment="1">
      <alignment vertical="center"/>
    </xf>
    <xf numFmtId="0" fontId="57" fillId="8" borderId="32" xfId="4" applyFont="1" applyFill="1" applyBorder="1" applyAlignment="1">
      <alignment vertical="top"/>
    </xf>
    <xf numFmtId="0" fontId="55" fillId="8" borderId="98" xfId="4" applyFont="1" applyFill="1" applyBorder="1" applyAlignment="1">
      <alignment horizontal="left" vertical="center"/>
    </xf>
    <xf numFmtId="3" fontId="55" fillId="8" borderId="96" xfId="4" applyNumberFormat="1" applyFont="1" applyFill="1" applyBorder="1" applyAlignment="1">
      <alignment vertical="top"/>
    </xf>
    <xf numFmtId="3" fontId="55" fillId="24" borderId="96" xfId="4" applyNumberFormat="1" applyFont="1" applyFill="1" applyBorder="1" applyAlignment="1">
      <alignment vertical="top"/>
    </xf>
    <xf numFmtId="0" fontId="55" fillId="8" borderId="21" xfId="4" applyFont="1" applyFill="1" applyBorder="1" applyAlignment="1">
      <alignment horizontal="left" vertical="center"/>
    </xf>
    <xf numFmtId="0" fontId="55" fillId="8" borderId="20" xfId="4" applyFont="1" applyFill="1" applyBorder="1" applyAlignment="1">
      <alignment horizontal="left" vertical="center"/>
    </xf>
    <xf numFmtId="3" fontId="55" fillId="8" borderId="35" xfId="4" applyNumberFormat="1" applyFont="1" applyFill="1" applyBorder="1" applyAlignment="1">
      <alignment vertical="top"/>
    </xf>
    <xf numFmtId="3" fontId="55" fillId="24" borderId="35" xfId="4" applyNumberFormat="1" applyFont="1" applyFill="1" applyBorder="1" applyAlignment="1">
      <alignment vertical="top"/>
    </xf>
    <xf numFmtId="0" fontId="55" fillId="8" borderId="9" xfId="4" applyFont="1" applyFill="1" applyBorder="1" applyAlignment="1">
      <alignment horizontal="left" vertical="center"/>
    </xf>
    <xf numFmtId="0" fontId="32" fillId="8" borderId="32" xfId="4" applyFont="1" applyFill="1" applyBorder="1" applyAlignment="1">
      <alignment vertical="top"/>
    </xf>
    <xf numFmtId="3" fontId="32" fillId="8" borderId="96" xfId="4" applyNumberFormat="1" applyFont="1" applyFill="1" applyBorder="1" applyAlignment="1">
      <alignment vertical="top"/>
    </xf>
    <xf numFmtId="0" fontId="52" fillId="8" borderId="32" xfId="4" applyFont="1" applyFill="1" applyBorder="1" applyAlignment="1">
      <alignment horizontal="left" vertical="center" wrapText="1"/>
    </xf>
    <xf numFmtId="3" fontId="32" fillId="8" borderId="96" xfId="4" applyNumberFormat="1" applyFont="1" applyFill="1" applyBorder="1" applyAlignment="1">
      <alignment horizontal="right" vertical="center"/>
    </xf>
    <xf numFmtId="3" fontId="52" fillId="6" borderId="28" xfId="4" applyNumberFormat="1" applyFont="1" applyFill="1" applyBorder="1" applyAlignment="1">
      <alignment vertical="center"/>
    </xf>
    <xf numFmtId="3" fontId="52" fillId="6" borderId="96" xfId="4" applyNumberFormat="1" applyFont="1" applyFill="1" applyBorder="1" applyAlignment="1">
      <alignment vertical="center"/>
    </xf>
    <xf numFmtId="3" fontId="52" fillId="6" borderId="115" xfId="4" applyNumberFormat="1" applyFont="1" applyFill="1" applyBorder="1" applyAlignment="1">
      <alignment vertical="center"/>
    </xf>
    <xf numFmtId="3" fontId="52" fillId="23" borderId="96" xfId="4" applyNumberFormat="1" applyFont="1" applyFill="1" applyBorder="1" applyAlignment="1">
      <alignment vertical="center"/>
    </xf>
    <xf numFmtId="0" fontId="57" fillId="0" borderId="32" xfId="4" applyFont="1" applyFill="1" applyBorder="1" applyAlignment="1">
      <alignment vertical="top"/>
    </xf>
    <xf numFmtId="3" fontId="57" fillId="0" borderId="115" xfId="4" applyNumberFormat="1" applyFont="1" applyFill="1" applyBorder="1" applyAlignment="1">
      <alignment horizontal="right" vertical="center"/>
    </xf>
    <xf numFmtId="3" fontId="57" fillId="0" borderId="96" xfId="4" applyNumberFormat="1" applyFont="1" applyFill="1" applyBorder="1" applyAlignment="1">
      <alignment horizontal="right" vertical="center"/>
    </xf>
    <xf numFmtId="3" fontId="57" fillId="26" borderId="96" xfId="4" applyNumberFormat="1" applyFont="1" applyFill="1" applyBorder="1" applyAlignment="1">
      <alignment horizontal="right" vertical="center"/>
    </xf>
    <xf numFmtId="3" fontId="32" fillId="0" borderId="96" xfId="4" applyNumberFormat="1" applyFont="1" applyFill="1" applyBorder="1" applyAlignment="1">
      <alignment vertical="top"/>
    </xf>
    <xf numFmtId="3" fontId="32" fillId="0" borderId="107" xfId="4" applyNumberFormat="1" applyFont="1" applyFill="1" applyBorder="1" applyAlignment="1">
      <alignment vertical="top"/>
    </xf>
    <xf numFmtId="3" fontId="32" fillId="26" borderId="96" xfId="4" applyNumberFormat="1" applyFont="1" applyFill="1" applyBorder="1" applyAlignment="1">
      <alignment vertical="top"/>
    </xf>
    <xf numFmtId="0" fontId="32" fillId="0" borderId="32" xfId="4" applyFont="1" applyFill="1" applyBorder="1" applyAlignment="1">
      <alignment vertical="top" wrapText="1"/>
    </xf>
    <xf numFmtId="3" fontId="32" fillId="0" borderId="98" xfId="4" applyNumberFormat="1" applyFont="1" applyFill="1" applyBorder="1" applyAlignment="1">
      <alignment vertical="top"/>
    </xf>
    <xf numFmtId="0" fontId="57" fillId="0" borderId="32" xfId="4" applyFont="1" applyFill="1" applyBorder="1" applyAlignment="1">
      <alignment horizontal="left" vertical="center"/>
    </xf>
    <xf numFmtId="3" fontId="57" fillId="0" borderId="98" xfId="4" applyNumberFormat="1" applyFont="1" applyFill="1" applyBorder="1" applyAlignment="1">
      <alignment horizontal="right" vertical="center"/>
    </xf>
    <xf numFmtId="3" fontId="59" fillId="0" borderId="115" xfId="4" applyNumberFormat="1" applyFont="1" applyFill="1" applyBorder="1" applyAlignment="1">
      <alignment horizontal="right" vertical="center"/>
    </xf>
    <xf numFmtId="3" fontId="32" fillId="0" borderId="98" xfId="4" applyNumberFormat="1" applyFont="1" applyFill="1" applyBorder="1" applyAlignment="1">
      <alignment horizontal="right" vertical="center"/>
    </xf>
    <xf numFmtId="3" fontId="32" fillId="0" borderId="107" xfId="4" applyNumberFormat="1" applyFont="1" applyFill="1" applyBorder="1" applyAlignment="1">
      <alignment horizontal="right" vertical="center"/>
    </xf>
    <xf numFmtId="3" fontId="57" fillId="0" borderId="107" xfId="4" applyNumberFormat="1" applyFont="1" applyFill="1" applyBorder="1" applyAlignment="1">
      <alignment horizontal="right" vertical="center"/>
    </xf>
    <xf numFmtId="3" fontId="32" fillId="8" borderId="98" xfId="4" applyNumberFormat="1" applyFont="1" applyFill="1" applyBorder="1" applyAlignment="1">
      <alignment horizontal="right" vertical="center"/>
    </xf>
    <xf numFmtId="3" fontId="32" fillId="24" borderId="96" xfId="4" applyNumberFormat="1" applyFont="1" applyFill="1" applyBorder="1" applyAlignment="1">
      <alignment horizontal="right" vertical="center"/>
    </xf>
    <xf numFmtId="3" fontId="52" fillId="6" borderId="98" xfId="4" applyNumberFormat="1" applyFont="1" applyFill="1" applyBorder="1" applyAlignment="1">
      <alignment vertical="center"/>
    </xf>
    <xf numFmtId="43" fontId="52" fillId="6" borderId="96" xfId="1" applyFont="1" applyFill="1" applyBorder="1" applyAlignment="1">
      <alignment vertical="center"/>
    </xf>
    <xf numFmtId="43" fontId="52" fillId="6" borderId="115" xfId="1" applyFont="1" applyFill="1" applyBorder="1" applyAlignment="1">
      <alignment vertical="center"/>
    </xf>
    <xf numFmtId="43" fontId="52" fillId="23" borderId="96" xfId="1" applyFont="1" applyFill="1" applyBorder="1" applyAlignment="1">
      <alignment vertical="center"/>
    </xf>
    <xf numFmtId="43" fontId="57" fillId="0" borderId="98" xfId="1" applyFont="1" applyFill="1" applyBorder="1" applyAlignment="1">
      <alignment horizontal="right" vertical="center"/>
    </xf>
    <xf numFmtId="43" fontId="57" fillId="26" borderId="96" xfId="1" applyFont="1" applyFill="1" applyBorder="1" applyAlignment="1">
      <alignment horizontal="right" vertical="center"/>
    </xf>
    <xf numFmtId="43" fontId="32" fillId="0" borderId="96" xfId="1" applyFont="1" applyFill="1" applyBorder="1" applyAlignment="1">
      <alignment vertical="top"/>
    </xf>
    <xf numFmtId="43" fontId="32" fillId="26" borderId="96" xfId="1" applyFont="1" applyFill="1" applyBorder="1" applyAlignment="1">
      <alignment vertical="top"/>
    </xf>
    <xf numFmtId="43" fontId="32" fillId="0" borderId="98" xfId="1" applyFont="1" applyFill="1" applyBorder="1" applyAlignment="1">
      <alignment vertical="top"/>
    </xf>
    <xf numFmtId="43" fontId="57" fillId="0" borderId="96" xfId="1" applyFont="1" applyFill="1" applyBorder="1" applyAlignment="1">
      <alignment horizontal="right" vertical="center"/>
    </xf>
    <xf numFmtId="43" fontId="32" fillId="0" borderId="96" xfId="1" applyFont="1" applyFill="1" applyBorder="1" applyAlignment="1">
      <alignment horizontal="right" vertical="center"/>
    </xf>
    <xf numFmtId="43" fontId="32" fillId="0" borderId="107" xfId="1" applyFont="1" applyFill="1" applyBorder="1" applyAlignment="1">
      <alignment horizontal="right" vertical="center"/>
    </xf>
    <xf numFmtId="43" fontId="32" fillId="0" borderId="115" xfId="1" applyFont="1" applyFill="1" applyBorder="1" applyAlignment="1">
      <alignment horizontal="right" vertical="center"/>
    </xf>
    <xf numFmtId="43" fontId="57" fillId="0" borderId="107" xfId="1" applyFont="1" applyFill="1" applyBorder="1" applyAlignment="1">
      <alignment horizontal="right" vertical="center"/>
    </xf>
    <xf numFmtId="43" fontId="32" fillId="0" borderId="107" xfId="1" applyFont="1" applyFill="1" applyBorder="1" applyAlignment="1">
      <alignment vertical="top"/>
    </xf>
    <xf numFmtId="0" fontId="52" fillId="2" borderId="98" xfId="4" applyFont="1" applyFill="1" applyBorder="1" applyAlignment="1">
      <alignment horizontal="center" vertical="center" wrapText="1"/>
    </xf>
    <xf numFmtId="3" fontId="53" fillId="8" borderId="98" xfId="4" applyNumberFormat="1" applyFont="1" applyFill="1" applyBorder="1" applyAlignment="1">
      <alignment horizontal="center" vertical="center"/>
    </xf>
    <xf numFmtId="3" fontId="32" fillId="8" borderId="107" xfId="4" applyNumberFormat="1" applyFont="1" applyFill="1" applyBorder="1" applyAlignment="1">
      <alignment horizontal="right" vertical="center"/>
    </xf>
    <xf numFmtId="3" fontId="53" fillId="6" borderId="98" xfId="4" applyNumberFormat="1" applyFont="1" applyFill="1" applyBorder="1" applyAlignment="1">
      <alignment vertical="center"/>
    </xf>
    <xf numFmtId="43" fontId="53" fillId="6" borderId="96" xfId="1" applyFont="1" applyFill="1" applyBorder="1" applyAlignment="1">
      <alignment vertical="center"/>
    </xf>
    <xf numFmtId="3" fontId="53" fillId="6" borderId="96" xfId="4" applyNumberFormat="1" applyFont="1" applyFill="1" applyBorder="1" applyAlignment="1">
      <alignment vertical="center"/>
    </xf>
    <xf numFmtId="3" fontId="53" fillId="6" borderId="115" xfId="4" applyNumberFormat="1" applyFont="1" applyFill="1" applyBorder="1" applyAlignment="1">
      <alignment vertical="center"/>
    </xf>
    <xf numFmtId="3" fontId="53" fillId="23" borderId="96" xfId="4" applyNumberFormat="1" applyFont="1" applyFill="1" applyBorder="1" applyAlignment="1">
      <alignment vertical="center"/>
    </xf>
    <xf numFmtId="3" fontId="55" fillId="26" borderId="96" xfId="4" applyNumberFormat="1" applyFont="1" applyFill="1" applyBorder="1" applyAlignment="1">
      <alignment horizontal="right" vertical="center"/>
    </xf>
    <xf numFmtId="0" fontId="55" fillId="0" borderId="32" xfId="4" applyFont="1" applyFill="1" applyBorder="1" applyAlignment="1">
      <alignment horizontal="left" vertical="center"/>
    </xf>
    <xf numFmtId="3" fontId="59" fillId="0" borderId="96" xfId="4" applyNumberFormat="1" applyFont="1" applyFill="1" applyBorder="1" applyAlignment="1">
      <alignment vertical="top"/>
    </xf>
    <xf numFmtId="3" fontId="59" fillId="0" borderId="98" xfId="4" applyNumberFormat="1" applyFont="1" applyFill="1" applyBorder="1" applyAlignment="1">
      <alignment vertical="top"/>
    </xf>
    <xf numFmtId="43" fontId="59" fillId="0" borderId="115" xfId="1" applyFont="1" applyFill="1" applyBorder="1" applyAlignment="1">
      <alignment vertical="top"/>
    </xf>
    <xf numFmtId="43" fontId="59" fillId="0" borderId="96" xfId="1" applyFont="1" applyFill="1" applyBorder="1" applyAlignment="1">
      <alignment vertical="top"/>
    </xf>
    <xf numFmtId="3" fontId="53" fillId="6" borderId="28" xfId="4" applyNumberFormat="1" applyFont="1" applyFill="1" applyBorder="1" applyAlignment="1">
      <alignment vertical="center"/>
    </xf>
    <xf numFmtId="3" fontId="32" fillId="0" borderId="98" xfId="0" applyNumberFormat="1" applyFont="1" applyFill="1" applyBorder="1" applyAlignment="1">
      <alignment vertical="top"/>
    </xf>
    <xf numFmtId="0" fontId="55" fillId="57" borderId="32" xfId="4" applyFont="1" applyFill="1" applyBorder="1" applyAlignment="1">
      <alignment horizontal="left" vertical="center"/>
    </xf>
    <xf numFmtId="0" fontId="55" fillId="57" borderId="28" xfId="4" applyFont="1" applyFill="1" applyBorder="1" applyAlignment="1">
      <alignment horizontal="left" vertical="center"/>
    </xf>
    <xf numFmtId="3" fontId="55" fillId="57" borderId="98" xfId="4" applyNumberFormat="1" applyFont="1" applyFill="1" applyBorder="1" applyAlignment="1">
      <alignment horizontal="right" vertical="center"/>
    </xf>
    <xf numFmtId="3" fontId="55" fillId="22" borderId="96" xfId="4" applyNumberFormat="1" applyFont="1" applyFill="1" applyBorder="1" applyAlignment="1">
      <alignment horizontal="right" vertical="center"/>
    </xf>
    <xf numFmtId="0" fontId="55" fillId="57" borderId="32" xfId="0" applyFont="1" applyFill="1" applyBorder="1" applyAlignment="1">
      <alignment horizontal="left" vertical="top"/>
    </xf>
    <xf numFmtId="0" fontId="56" fillId="57" borderId="28" xfId="0" quotePrefix="1" applyFont="1" applyFill="1" applyBorder="1" applyAlignment="1">
      <alignment horizontal="center" vertical="top"/>
    </xf>
    <xf numFmtId="3" fontId="55" fillId="57" borderId="98" xfId="0" quotePrefix="1" applyNumberFormat="1" applyFont="1" applyFill="1" applyBorder="1" applyAlignment="1">
      <alignment horizontal="right" vertical="top"/>
    </xf>
    <xf numFmtId="0" fontId="53" fillId="6" borderId="98" xfId="0" applyFont="1" applyFill="1" applyBorder="1" applyAlignment="1">
      <alignment vertical="center"/>
    </xf>
    <xf numFmtId="3" fontId="53" fillId="6" borderId="115" xfId="0" applyNumberFormat="1" applyFont="1" applyFill="1" applyBorder="1" applyAlignment="1">
      <alignment vertical="center"/>
    </xf>
    <xf numFmtId="3" fontId="53" fillId="6" borderId="107" xfId="0" applyNumberFormat="1" applyFont="1" applyFill="1" applyBorder="1" applyAlignment="1">
      <alignment vertical="center"/>
    </xf>
    <xf numFmtId="0" fontId="32" fillId="8" borderId="98" xfId="4" applyFont="1" applyFill="1" applyBorder="1" applyAlignment="1">
      <alignment vertical="top"/>
    </xf>
    <xf numFmtId="3" fontId="59" fillId="8" borderId="96" xfId="4" applyNumberFormat="1" applyFont="1" applyFill="1" applyBorder="1" applyAlignment="1">
      <alignment vertical="top"/>
    </xf>
    <xf numFmtId="0" fontId="32" fillId="8" borderId="32" xfId="4" applyFont="1" applyFill="1" applyBorder="1" applyAlignment="1">
      <alignment vertical="center" wrapText="1"/>
    </xf>
    <xf numFmtId="0" fontId="32" fillId="8" borderId="98" xfId="4" applyFont="1" applyFill="1" applyBorder="1" applyAlignment="1">
      <alignment vertical="center"/>
    </xf>
    <xf numFmtId="3" fontId="32" fillId="8" borderId="96" xfId="4" applyNumberFormat="1" applyFont="1" applyFill="1" applyBorder="1" applyAlignment="1">
      <alignment vertical="center"/>
    </xf>
    <xf numFmtId="3" fontId="59" fillId="8" borderId="96" xfId="4" applyNumberFormat="1" applyFont="1" applyFill="1" applyBorder="1" applyAlignment="1">
      <alignment vertical="center"/>
    </xf>
    <xf numFmtId="0" fontId="32" fillId="8" borderId="32" xfId="4" applyFont="1" applyFill="1" applyBorder="1" applyAlignment="1">
      <alignment vertical="center"/>
    </xf>
    <xf numFmtId="43" fontId="52" fillId="6" borderId="98" xfId="1" applyFont="1" applyFill="1" applyBorder="1" applyAlignment="1">
      <alignment vertical="center"/>
    </xf>
    <xf numFmtId="3" fontId="32" fillId="36" borderId="96" xfId="4" applyNumberFormat="1" applyFont="1" applyFill="1" applyBorder="1" applyAlignment="1">
      <alignment vertical="top"/>
    </xf>
    <xf numFmtId="3" fontId="55" fillId="36" borderId="96" xfId="4" applyNumberFormat="1" applyFont="1" applyFill="1" applyBorder="1" applyAlignment="1">
      <alignment horizontal="right" vertical="center"/>
    </xf>
    <xf numFmtId="3" fontId="32" fillId="0" borderId="115" xfId="4" applyNumberFormat="1" applyFont="1" applyFill="1" applyBorder="1" applyAlignment="1">
      <alignment vertical="top"/>
    </xf>
    <xf numFmtId="0" fontId="0" fillId="0" borderId="98" xfId="0" applyFont="1" applyBorder="1"/>
    <xf numFmtId="3" fontId="53" fillId="8" borderId="96" xfId="4" applyNumberFormat="1" applyFont="1" applyFill="1" applyBorder="1" applyAlignment="1">
      <alignment horizontal="center" vertical="center"/>
    </xf>
    <xf numFmtId="43" fontId="53" fillId="6" borderId="107" xfId="1" applyFont="1" applyFill="1" applyBorder="1" applyAlignment="1">
      <alignment vertical="center"/>
    </xf>
    <xf numFmtId="43" fontId="53" fillId="6" borderId="115" xfId="1" applyFont="1" applyFill="1" applyBorder="1" applyAlignment="1">
      <alignment vertical="center"/>
    </xf>
    <xf numFmtId="43" fontId="0" fillId="0" borderId="115" xfId="1" applyFont="1" applyBorder="1"/>
    <xf numFmtId="0" fontId="53" fillId="2" borderId="116" xfId="0" applyFont="1" applyFill="1" applyBorder="1" applyAlignment="1">
      <alignment horizontal="center" vertical="top"/>
    </xf>
    <xf numFmtId="0" fontId="47" fillId="2" borderId="114" xfId="0" applyFont="1" applyFill="1" applyBorder="1" applyAlignment="1">
      <alignment vertical="center" wrapText="1"/>
    </xf>
    <xf numFmtId="0" fontId="47" fillId="2" borderId="117" xfId="0" applyFont="1" applyFill="1" applyBorder="1" applyAlignment="1">
      <alignment vertical="center" wrapText="1"/>
    </xf>
    <xf numFmtId="0" fontId="53" fillId="2" borderId="43" xfId="0" applyFont="1" applyFill="1" applyBorder="1" applyAlignment="1">
      <alignment horizontal="center" vertical="top"/>
    </xf>
    <xf numFmtId="0" fontId="59" fillId="0" borderId="10" xfId="0" applyFont="1" applyBorder="1" applyAlignment="1">
      <alignment horizontal="center" vertical="top"/>
    </xf>
    <xf numFmtId="0" fontId="57" fillId="8" borderId="43" xfId="0" applyFont="1" applyFill="1" applyBorder="1" applyAlignment="1">
      <alignment vertical="top"/>
    </xf>
    <xf numFmtId="3" fontId="46" fillId="8" borderId="13" xfId="4" applyNumberFormat="1" applyFont="1" applyFill="1" applyBorder="1" applyAlignment="1">
      <alignment vertical="top" wrapText="1"/>
    </xf>
    <xf numFmtId="0" fontId="32" fillId="8" borderId="43" xfId="4" applyFont="1" applyFill="1" applyBorder="1" applyAlignment="1">
      <alignment vertical="top"/>
    </xf>
    <xf numFmtId="0" fontId="53" fillId="8" borderId="10" xfId="0" applyFont="1" applyFill="1" applyBorder="1" applyAlignment="1">
      <alignment vertical="center"/>
    </xf>
    <xf numFmtId="3" fontId="46" fillId="0" borderId="13" xfId="4" applyNumberFormat="1" applyFont="1" applyFill="1" applyBorder="1" applyAlignment="1">
      <alignment horizontal="center" vertical="center" wrapText="1"/>
    </xf>
    <xf numFmtId="0" fontId="52" fillId="8" borderId="10" xfId="4" applyFont="1" applyFill="1" applyBorder="1" applyAlignment="1">
      <alignment horizontal="right" vertical="top"/>
    </xf>
    <xf numFmtId="0" fontId="32" fillId="8" borderId="10" xfId="4" applyFont="1" applyFill="1" applyBorder="1" applyAlignment="1">
      <alignment vertical="top"/>
    </xf>
    <xf numFmtId="0" fontId="57" fillId="8" borderId="98" xfId="4" applyFont="1" applyFill="1" applyBorder="1" applyAlignment="1">
      <alignment horizontal="left" vertical="center"/>
    </xf>
    <xf numFmtId="0" fontId="52" fillId="0" borderId="43" xfId="4" applyFont="1" applyFill="1" applyBorder="1" applyAlignment="1">
      <alignment vertical="center"/>
    </xf>
    <xf numFmtId="0" fontId="46" fillId="0" borderId="13" xfId="4" applyFont="1" applyFill="1" applyBorder="1" applyAlignment="1">
      <alignment vertical="center" wrapText="1"/>
    </xf>
    <xf numFmtId="0" fontId="72" fillId="2" borderId="10" xfId="0" applyFont="1" applyFill="1" applyBorder="1" applyAlignment="1">
      <alignment vertical="center"/>
    </xf>
    <xf numFmtId="0" fontId="91" fillId="2" borderId="27" xfId="0" applyFont="1" applyFill="1" applyBorder="1" applyAlignment="1">
      <alignment horizontal="center" vertical="center" wrapText="1"/>
    </xf>
    <xf numFmtId="0" fontId="52" fillId="8" borderId="43" xfId="4" applyFont="1" applyFill="1" applyBorder="1" applyAlignment="1">
      <alignment horizontal="right" vertical="top"/>
    </xf>
    <xf numFmtId="0" fontId="32" fillId="8" borderId="10" xfId="4" applyFont="1" applyFill="1" applyBorder="1" applyAlignment="1">
      <alignment vertical="center"/>
    </xf>
    <xf numFmtId="3" fontId="46" fillId="8" borderId="13" xfId="4" applyNumberFormat="1" applyFont="1" applyFill="1" applyBorder="1" applyAlignment="1">
      <alignment vertical="center" wrapText="1"/>
    </xf>
    <xf numFmtId="3" fontId="46" fillId="8" borderId="108" xfId="4" applyNumberFormat="1" applyFont="1" applyFill="1" applyBorder="1" applyAlignment="1">
      <alignment vertical="top" wrapText="1"/>
    </xf>
    <xf numFmtId="3" fontId="46" fillId="8" borderId="35" xfId="4" applyNumberFormat="1" applyFont="1" applyFill="1" applyBorder="1" applyAlignment="1">
      <alignment vertical="top" wrapText="1"/>
    </xf>
    <xf numFmtId="9" fontId="53" fillId="2" borderId="46" xfId="2" applyFont="1" applyFill="1" applyBorder="1" applyAlignment="1">
      <alignment horizontal="center" vertical="top"/>
    </xf>
    <xf numFmtId="0" fontId="51" fillId="0" borderId="35" xfId="0" applyFont="1" applyBorder="1" applyAlignment="1">
      <alignment horizontal="center" vertical="center" wrapText="1"/>
    </xf>
    <xf numFmtId="0" fontId="52" fillId="0" borderId="35" xfId="0" applyFont="1" applyBorder="1" applyAlignment="1">
      <alignment horizontal="center" vertical="center"/>
    </xf>
    <xf numFmtId="0" fontId="53" fillId="0" borderId="35" xfId="4" applyFont="1" applyBorder="1" applyAlignment="1">
      <alignment horizontal="center" vertical="center" wrapText="1"/>
    </xf>
    <xf numFmtId="0" fontId="53" fillId="33" borderId="35" xfId="4" applyFont="1" applyFill="1" applyBorder="1" applyAlignment="1">
      <alignment horizontal="center" vertical="center" wrapText="1"/>
    </xf>
    <xf numFmtId="0" fontId="72" fillId="2" borderId="24" xfId="0" applyFont="1" applyFill="1" applyBorder="1" applyAlignment="1"/>
    <xf numFmtId="0" fontId="91" fillId="2" borderId="24" xfId="0" applyFont="1" applyFill="1" applyBorder="1" applyAlignment="1"/>
    <xf numFmtId="0" fontId="91" fillId="2" borderId="0" xfId="0" applyFont="1" applyFill="1" applyBorder="1" applyAlignment="1">
      <alignment vertical="top"/>
    </xf>
    <xf numFmtId="3" fontId="91" fillId="2" borderId="0" xfId="0" applyNumberFormat="1" applyFont="1" applyFill="1" applyBorder="1" applyAlignment="1">
      <alignment horizontal="left" vertical="top"/>
    </xf>
    <xf numFmtId="3" fontId="91" fillId="2" borderId="0" xfId="0" applyNumberFormat="1" applyFont="1" applyFill="1" applyBorder="1" applyAlignment="1">
      <alignment vertical="top"/>
    </xf>
    <xf numFmtId="0" fontId="48" fillId="2" borderId="1" xfId="0" applyFont="1" applyFill="1" applyBorder="1" applyAlignment="1">
      <alignment horizontal="center" vertical="top"/>
    </xf>
    <xf numFmtId="0" fontId="48" fillId="2" borderId="26" xfId="0" applyFont="1" applyFill="1" applyBorder="1" applyAlignment="1">
      <alignment horizontal="center" vertical="top"/>
    </xf>
    <xf numFmtId="0" fontId="49" fillId="0" borderId="87" xfId="0" applyFont="1" applyBorder="1" applyAlignment="1">
      <alignment horizontal="center" vertical="top"/>
    </xf>
    <xf numFmtId="0" fontId="49" fillId="0" borderId="79" xfId="0" applyFont="1" applyBorder="1" applyAlignment="1">
      <alignment horizontal="center" vertical="top"/>
    </xf>
    <xf numFmtId="0" fontId="49" fillId="0" borderId="15" xfId="0" quotePrefix="1" applyFont="1" applyBorder="1" applyAlignment="1">
      <alignment horizontal="center" vertical="top"/>
    </xf>
    <xf numFmtId="0" fontId="49" fillId="0" borderId="70" xfId="0" quotePrefix="1" applyFont="1" applyBorder="1" applyAlignment="1">
      <alignment horizontal="center" vertical="top"/>
    </xf>
    <xf numFmtId="0" fontId="49" fillId="2" borderId="70" xfId="0" applyFont="1" applyFill="1" applyBorder="1" applyAlignment="1">
      <alignment horizontal="center" vertical="top"/>
    </xf>
    <xf numFmtId="0" fontId="49" fillId="2" borderId="70" xfId="0" quotePrefix="1" applyFont="1" applyFill="1" applyBorder="1" applyAlignment="1">
      <alignment horizontal="center" vertical="top"/>
    </xf>
    <xf numFmtId="0" fontId="49" fillId="2" borderId="79" xfId="0" quotePrefix="1" applyFont="1" applyFill="1" applyBorder="1" applyAlignment="1">
      <alignment horizontal="center" vertical="top"/>
    </xf>
    <xf numFmtId="0" fontId="49" fillId="27" borderId="79" xfId="0" quotePrefix="1" applyFont="1" applyFill="1" applyBorder="1" applyAlignment="1">
      <alignment horizontal="center" vertical="top"/>
    </xf>
    <xf numFmtId="0" fontId="49" fillId="2" borderId="44" xfId="0" quotePrefix="1" applyFont="1" applyFill="1" applyBorder="1" applyAlignment="1">
      <alignment horizontal="center" vertical="top"/>
    </xf>
    <xf numFmtId="0" fontId="48" fillId="2" borderId="6" xfId="0" applyFont="1" applyFill="1" applyBorder="1" applyAlignment="1">
      <alignment vertical="top"/>
    </xf>
    <xf numFmtId="0" fontId="55" fillId="57" borderId="107" xfId="4" applyFont="1" applyFill="1" applyBorder="1" applyAlignment="1">
      <alignment horizontal="left" vertical="center"/>
    </xf>
    <xf numFmtId="0" fontId="55" fillId="57" borderId="96" xfId="4" applyFont="1" applyFill="1" applyBorder="1" applyAlignment="1">
      <alignment horizontal="left" vertical="center"/>
    </xf>
    <xf numFmtId="0" fontId="49" fillId="8" borderId="43" xfId="0" quotePrefix="1" applyFont="1" applyFill="1" applyBorder="1" applyAlignment="1">
      <alignment horizontal="center" vertical="top"/>
    </xf>
    <xf numFmtId="0" fontId="55" fillId="57" borderId="10" xfId="4" applyFont="1" applyFill="1" applyBorder="1" applyAlignment="1">
      <alignment horizontal="left" vertical="center"/>
    </xf>
    <xf numFmtId="0" fontId="55" fillId="57" borderId="13" xfId="4" applyFont="1" applyFill="1" applyBorder="1" applyAlignment="1">
      <alignment horizontal="left" vertical="center"/>
    </xf>
    <xf numFmtId="0" fontId="55" fillId="57" borderId="74" xfId="0" applyFont="1" applyFill="1" applyBorder="1" applyAlignment="1">
      <alignment horizontal="left" vertical="top"/>
    </xf>
    <xf numFmtId="0" fontId="56" fillId="57" borderId="12" xfId="0" quotePrefix="1" applyFont="1" applyFill="1" applyBorder="1" applyAlignment="1">
      <alignment horizontal="center" vertical="top"/>
    </xf>
    <xf numFmtId="0" fontId="53" fillId="6" borderId="35" xfId="4" applyFont="1" applyFill="1" applyBorder="1" applyAlignment="1">
      <alignment horizontal="left" vertical="center"/>
    </xf>
    <xf numFmtId="0" fontId="55" fillId="8" borderId="96" xfId="4" applyFont="1" applyFill="1" applyBorder="1" applyAlignment="1">
      <alignment vertical="center"/>
    </xf>
    <xf numFmtId="3" fontId="55" fillId="8" borderId="96" xfId="0" applyNumberFormat="1" applyFont="1" applyFill="1" applyBorder="1" applyAlignment="1">
      <alignment vertical="top"/>
    </xf>
    <xf numFmtId="3" fontId="55" fillId="24" borderId="96" xfId="0" applyNumberFormat="1" applyFont="1" applyFill="1" applyBorder="1" applyAlignment="1">
      <alignment vertical="top"/>
    </xf>
    <xf numFmtId="0" fontId="59" fillId="8" borderId="96" xfId="0" applyFont="1" applyFill="1" applyBorder="1" applyAlignment="1">
      <alignment vertical="top"/>
    </xf>
    <xf numFmtId="3" fontId="56" fillId="8" borderId="96" xfId="0" applyNumberFormat="1" applyFont="1" applyFill="1" applyBorder="1" applyAlignment="1">
      <alignment vertical="top"/>
    </xf>
    <xf numFmtId="3" fontId="56" fillId="24" borderId="96" xfId="0" applyNumberFormat="1" applyFont="1" applyFill="1" applyBorder="1" applyAlignment="1">
      <alignment horizontal="center" vertical="top"/>
    </xf>
    <xf numFmtId="3" fontId="59" fillId="8" borderId="96" xfId="0" applyNumberFormat="1" applyFont="1" applyFill="1" applyBorder="1" applyAlignment="1">
      <alignment vertical="top"/>
    </xf>
    <xf numFmtId="3" fontId="59" fillId="24" borderId="96" xfId="0" applyNumberFormat="1" applyFont="1" applyFill="1" applyBorder="1" applyAlignment="1">
      <alignment vertical="top"/>
    </xf>
    <xf numFmtId="3" fontId="55" fillId="24" borderId="96" xfId="0" applyNumberFormat="1" applyFont="1" applyFill="1" applyBorder="1" applyAlignment="1">
      <alignment horizontal="center" vertical="top"/>
    </xf>
    <xf numFmtId="0" fontId="59" fillId="8" borderId="96" xfId="4" applyFont="1" applyFill="1" applyBorder="1" applyAlignment="1">
      <alignment vertical="center"/>
    </xf>
    <xf numFmtId="3" fontId="59" fillId="24" borderId="96" xfId="0" applyNumberFormat="1" applyFont="1" applyFill="1" applyBorder="1" applyAlignment="1">
      <alignment horizontal="center" vertical="top"/>
    </xf>
    <xf numFmtId="0" fontId="53" fillId="6" borderId="96" xfId="4" applyFont="1" applyFill="1" applyBorder="1" applyAlignment="1">
      <alignment horizontal="left" vertical="center"/>
    </xf>
    <xf numFmtId="0" fontId="55" fillId="8" borderId="35" xfId="4" applyFont="1" applyFill="1" applyBorder="1" applyAlignment="1">
      <alignment vertical="center"/>
    </xf>
    <xf numFmtId="3" fontId="55" fillId="8" borderId="35" xfId="0" applyNumberFormat="1" applyFont="1" applyFill="1" applyBorder="1" applyAlignment="1">
      <alignment vertical="top"/>
    </xf>
    <xf numFmtId="0" fontId="48" fillId="2" borderId="22" xfId="0" applyFont="1" applyFill="1" applyBorder="1" applyAlignment="1">
      <alignment vertical="top"/>
    </xf>
    <xf numFmtId="3" fontId="59" fillId="8" borderId="47" xfId="0" applyNumberFormat="1" applyFont="1" applyFill="1" applyBorder="1" applyAlignment="1">
      <alignment vertical="top"/>
    </xf>
    <xf numFmtId="0" fontId="53" fillId="8" borderId="35" xfId="0" applyFont="1" applyFill="1" applyBorder="1" applyAlignment="1">
      <alignment horizontal="left" vertical="center" wrapText="1"/>
    </xf>
    <xf numFmtId="0" fontId="53" fillId="8" borderId="35" xfId="0" applyFont="1" applyFill="1" applyBorder="1" applyAlignment="1">
      <alignment horizontal="center" vertical="center" wrapText="1"/>
    </xf>
    <xf numFmtId="0" fontId="59" fillId="8" borderId="35" xfId="0" applyFont="1" applyFill="1" applyBorder="1" applyAlignment="1">
      <alignment vertical="top"/>
    </xf>
    <xf numFmtId="3" fontId="59" fillId="8" borderId="35" xfId="0" applyNumberFormat="1" applyFont="1" applyFill="1" applyBorder="1" applyAlignment="1">
      <alignment vertical="top"/>
    </xf>
    <xf numFmtId="3" fontId="59" fillId="8" borderId="10" xfId="0" applyNumberFormat="1" applyFont="1" applyFill="1" applyBorder="1" applyAlignment="1">
      <alignment vertical="top"/>
    </xf>
    <xf numFmtId="3" fontId="59" fillId="24" borderId="10" xfId="0" applyNumberFormat="1" applyFont="1" applyFill="1" applyBorder="1" applyAlignment="1">
      <alignment vertical="top"/>
    </xf>
    <xf numFmtId="3" fontId="55" fillId="2" borderId="96" xfId="4" applyNumberFormat="1" applyFont="1" applyFill="1" applyBorder="1" applyAlignment="1">
      <alignment vertical="top" wrapText="1"/>
    </xf>
    <xf numFmtId="0" fontId="59" fillId="0" borderId="47" xfId="0" applyFont="1" applyFill="1" applyBorder="1" applyAlignment="1">
      <alignment horizontal="left" vertical="center" wrapText="1"/>
    </xf>
    <xf numFmtId="0" fontId="48" fillId="2" borderId="6" xfId="0" quotePrefix="1" applyFont="1" applyFill="1" applyBorder="1" applyAlignment="1">
      <alignment vertical="center"/>
    </xf>
    <xf numFmtId="0" fontId="55" fillId="2" borderId="35" xfId="4" applyFont="1" applyFill="1" applyBorder="1" applyAlignment="1">
      <alignment vertical="top"/>
    </xf>
    <xf numFmtId="3" fontId="55" fillId="0" borderId="35" xfId="0" applyNumberFormat="1" applyFont="1" applyFill="1" applyBorder="1" applyAlignment="1">
      <alignment vertical="top"/>
    </xf>
    <xf numFmtId="3" fontId="55" fillId="26" borderId="10" xfId="0" applyNumberFormat="1" applyFont="1" applyFill="1" applyBorder="1" applyAlignment="1">
      <alignment horizontal="center" vertical="top"/>
    </xf>
    <xf numFmtId="0" fontId="59" fillId="0" borderId="47" xfId="4" applyFont="1" applyFill="1" applyBorder="1" applyAlignment="1">
      <alignment vertical="center"/>
    </xf>
    <xf numFmtId="3" fontId="59" fillId="26" borderId="10" xfId="0" applyNumberFormat="1" applyFont="1" applyFill="1" applyBorder="1" applyAlignment="1">
      <alignment horizontal="center" vertical="top"/>
    </xf>
    <xf numFmtId="0" fontId="51" fillId="6" borderId="35" xfId="0" applyFont="1" applyFill="1" applyBorder="1" applyAlignment="1">
      <alignment horizontal="center" vertical="center"/>
    </xf>
    <xf numFmtId="3" fontId="53" fillId="6" borderId="35" xfId="0" applyNumberFormat="1" applyFont="1" applyFill="1" applyBorder="1" applyAlignment="1">
      <alignment vertical="top"/>
    </xf>
    <xf numFmtId="3" fontId="53" fillId="23" borderId="10" xfId="0" applyNumberFormat="1" applyFont="1" applyFill="1" applyBorder="1" applyAlignment="1">
      <alignment vertical="top"/>
    </xf>
    <xf numFmtId="0" fontId="48" fillId="2" borderId="22" xfId="0" quotePrefix="1" applyFont="1" applyFill="1" applyBorder="1" applyAlignment="1">
      <alignment vertical="center"/>
    </xf>
    <xf numFmtId="0" fontId="53" fillId="8" borderId="70" xfId="0" applyFont="1" applyFill="1" applyBorder="1" applyAlignment="1">
      <alignment vertical="center" wrapText="1"/>
    </xf>
    <xf numFmtId="0" fontId="53" fillId="8" borderId="70" xfId="0" applyFont="1" applyFill="1" applyBorder="1" applyAlignment="1">
      <alignment horizontal="center" vertical="center" wrapText="1"/>
    </xf>
    <xf numFmtId="3" fontId="53" fillId="8" borderId="35" xfId="0" applyNumberFormat="1" applyFont="1" applyFill="1" applyBorder="1" applyAlignment="1">
      <alignment vertical="top"/>
    </xf>
    <xf numFmtId="0" fontId="59" fillId="6" borderId="96" xfId="0" applyFont="1" applyFill="1" applyBorder="1" applyAlignment="1">
      <alignment vertical="top"/>
    </xf>
    <xf numFmtId="3" fontId="55" fillId="0" borderId="96" xfId="4" applyNumberFormat="1" applyFont="1" applyFill="1" applyBorder="1" applyAlignment="1">
      <alignment vertical="top" wrapText="1"/>
    </xf>
    <xf numFmtId="0" fontId="60" fillId="0" borderId="96" xfId="0" applyFont="1" applyBorder="1"/>
    <xf numFmtId="3" fontId="59" fillId="2" borderId="96" xfId="0" applyNumberFormat="1" applyFont="1" applyFill="1" applyBorder="1" applyAlignment="1">
      <alignment vertical="top"/>
    </xf>
    <xf numFmtId="3" fontId="59" fillId="2" borderId="35" xfId="0" applyNumberFormat="1" applyFont="1" applyFill="1" applyBorder="1" applyAlignment="1">
      <alignment vertical="top"/>
    </xf>
    <xf numFmtId="3" fontId="55" fillId="26" borderId="35" xfId="0" applyNumberFormat="1" applyFont="1" applyFill="1" applyBorder="1" applyAlignment="1">
      <alignment horizontal="center" vertical="top"/>
    </xf>
    <xf numFmtId="0" fontId="60" fillId="0" borderId="96" xfId="0" applyFont="1" applyBorder="1" applyAlignment="1">
      <alignment vertical="center"/>
    </xf>
    <xf numFmtId="3" fontId="59" fillId="2" borderId="96" xfId="0" applyNumberFormat="1" applyFont="1" applyFill="1" applyBorder="1" applyAlignment="1">
      <alignment vertical="center"/>
    </xf>
    <xf numFmtId="0" fontId="61" fillId="0" borderId="96" xfId="0" applyFont="1" applyBorder="1" applyAlignment="1">
      <alignment vertical="center"/>
    </xf>
    <xf numFmtId="3" fontId="55" fillId="0" borderId="35" xfId="0" applyNumberFormat="1" applyFont="1" applyFill="1" applyBorder="1" applyAlignment="1">
      <alignment vertical="center"/>
    </xf>
    <xf numFmtId="3" fontId="55" fillId="26" borderId="35" xfId="0" applyNumberFormat="1" applyFont="1" applyFill="1" applyBorder="1" applyAlignment="1">
      <alignment horizontal="center" vertical="center"/>
    </xf>
    <xf numFmtId="3" fontId="59" fillId="0" borderId="35" xfId="0" applyNumberFormat="1" applyFont="1" applyFill="1" applyBorder="1" applyAlignment="1">
      <alignment vertical="center"/>
    </xf>
    <xf numFmtId="3" fontId="59" fillId="26" borderId="35" xfId="0" applyNumberFormat="1" applyFont="1" applyFill="1" applyBorder="1" applyAlignment="1">
      <alignment horizontal="center" vertical="center"/>
    </xf>
    <xf numFmtId="0" fontId="59" fillId="6" borderId="96" xfId="0" applyFont="1" applyFill="1" applyBorder="1" applyAlignment="1">
      <alignment vertical="center"/>
    </xf>
    <xf numFmtId="3" fontId="55" fillId="0" borderId="96" xfId="4" applyNumberFormat="1" applyFont="1" applyFill="1" applyBorder="1" applyAlignment="1">
      <alignment vertical="center" wrapText="1"/>
    </xf>
    <xf numFmtId="3" fontId="53" fillId="2" borderId="96" xfId="0" applyNumberFormat="1" applyFont="1" applyFill="1" applyBorder="1" applyAlignment="1">
      <alignment vertical="center"/>
    </xf>
    <xf numFmtId="3" fontId="59" fillId="0" borderId="47" xfId="0" applyNumberFormat="1" applyFont="1" applyFill="1" applyBorder="1" applyAlignment="1">
      <alignment vertical="center"/>
    </xf>
    <xf numFmtId="0" fontId="59" fillId="8" borderId="70" xfId="0" applyFont="1" applyFill="1" applyBorder="1" applyAlignment="1">
      <alignment vertical="top"/>
    </xf>
    <xf numFmtId="3" fontId="59" fillId="8" borderId="70" xfId="0" applyNumberFormat="1" applyFont="1" applyFill="1" applyBorder="1" applyAlignment="1">
      <alignment vertical="top"/>
    </xf>
    <xf numFmtId="3" fontId="59" fillId="8" borderId="2" xfId="0" applyNumberFormat="1" applyFont="1" applyFill="1" applyBorder="1" applyAlignment="1">
      <alignment vertical="top"/>
    </xf>
    <xf numFmtId="3" fontId="59" fillId="26" borderId="96" xfId="0" applyNumberFormat="1" applyFont="1" applyFill="1" applyBorder="1" applyAlignment="1">
      <alignment horizontal="center" vertical="top"/>
    </xf>
    <xf numFmtId="3" fontId="53" fillId="0" borderId="96" xfId="0" applyNumberFormat="1" applyFont="1" applyFill="1" applyBorder="1" applyAlignment="1">
      <alignment vertical="top"/>
    </xf>
    <xf numFmtId="3" fontId="59" fillId="24" borderId="2" xfId="0" applyNumberFormat="1" applyFont="1" applyFill="1" applyBorder="1" applyAlignment="1">
      <alignment vertical="top"/>
    </xf>
    <xf numFmtId="0" fontId="59" fillId="0" borderId="96" xfId="0" applyFont="1" applyFill="1" applyBorder="1" applyAlignment="1">
      <alignment vertical="top" wrapText="1"/>
    </xf>
    <xf numFmtId="3" fontId="53" fillId="0" borderId="35" xfId="0" applyNumberFormat="1" applyFont="1" applyFill="1" applyBorder="1" applyAlignment="1">
      <alignment vertical="top"/>
    </xf>
    <xf numFmtId="0" fontId="59" fillId="2" borderId="96" xfId="4" applyFont="1" applyFill="1" applyBorder="1" applyAlignment="1">
      <alignment vertical="center"/>
    </xf>
    <xf numFmtId="0" fontId="51" fillId="6" borderId="96" xfId="0" applyFont="1" applyFill="1" applyBorder="1" applyAlignment="1">
      <alignment horizontal="center" vertical="center"/>
    </xf>
    <xf numFmtId="0" fontId="55" fillId="2" borderId="35" xfId="4" applyFont="1" applyFill="1" applyBorder="1" applyAlignment="1">
      <alignment vertical="center"/>
    </xf>
    <xf numFmtId="0" fontId="59" fillId="2" borderId="47" xfId="4" applyFont="1" applyFill="1" applyBorder="1" applyAlignment="1">
      <alignment vertical="center"/>
    </xf>
    <xf numFmtId="3" fontId="59" fillId="0" borderId="12" xfId="0" applyNumberFormat="1" applyFont="1" applyFill="1" applyBorder="1" applyAlignment="1">
      <alignment vertical="top"/>
    </xf>
    <xf numFmtId="0" fontId="59" fillId="0" borderId="96" xfId="0" applyFont="1" applyFill="1" applyBorder="1" applyAlignment="1">
      <alignment horizontal="left" vertical="center" wrapText="1"/>
    </xf>
    <xf numFmtId="0" fontId="51" fillId="0" borderId="13" xfId="0" applyFont="1" applyBorder="1" applyAlignment="1">
      <alignment horizontal="center" vertical="center" wrapText="1"/>
    </xf>
    <xf numFmtId="0" fontId="55" fillId="0" borderId="96" xfId="0" applyFont="1" applyFill="1" applyBorder="1" applyAlignment="1">
      <alignment vertical="top" wrapText="1"/>
    </xf>
    <xf numFmtId="3" fontId="53" fillId="2" borderId="96" xfId="0" applyNumberFormat="1" applyFont="1" applyFill="1" applyBorder="1" applyAlignment="1">
      <alignment vertical="top"/>
    </xf>
    <xf numFmtId="3" fontId="59" fillId="0" borderId="109" xfId="0" applyNumberFormat="1" applyFont="1" applyFill="1" applyBorder="1" applyAlignment="1">
      <alignment vertical="top"/>
    </xf>
    <xf numFmtId="3" fontId="55" fillId="0" borderId="109" xfId="0" applyNumberFormat="1" applyFont="1" applyFill="1" applyBorder="1" applyAlignment="1">
      <alignment vertical="top"/>
    </xf>
    <xf numFmtId="3" fontId="59" fillId="0" borderId="109" xfId="0" applyNumberFormat="1" applyFont="1" applyFill="1" applyBorder="1" applyAlignment="1">
      <alignment vertical="center"/>
    </xf>
    <xf numFmtId="3" fontId="53" fillId="6" borderId="109" xfId="0" applyNumberFormat="1" applyFont="1" applyFill="1" applyBorder="1" applyAlignment="1">
      <alignment vertical="center"/>
    </xf>
    <xf numFmtId="3" fontId="53" fillId="6" borderId="110" xfId="0" applyNumberFormat="1" applyFont="1" applyFill="1" applyBorder="1" applyAlignment="1">
      <alignment vertical="center"/>
    </xf>
    <xf numFmtId="0" fontId="48" fillId="0" borderId="0" xfId="0" applyFont="1" applyBorder="1" applyAlignment="1">
      <alignment vertical="top"/>
    </xf>
    <xf numFmtId="0" fontId="91" fillId="2" borderId="0" xfId="0" applyFont="1" applyFill="1" applyBorder="1" applyAlignment="1"/>
    <xf numFmtId="0" fontId="72" fillId="2" borderId="0" xfId="0" applyFont="1" applyFill="1" applyBorder="1" applyAlignment="1"/>
    <xf numFmtId="0" fontId="49" fillId="31" borderId="0" xfId="0" applyFont="1" applyFill="1" applyBorder="1" applyAlignment="1">
      <alignment vertical="top"/>
    </xf>
    <xf numFmtId="0" fontId="48" fillId="0" borderId="0" xfId="0" applyFont="1" applyFill="1" applyBorder="1" applyAlignment="1">
      <alignment vertical="top"/>
    </xf>
    <xf numFmtId="0" fontId="48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vertical="top"/>
    </xf>
    <xf numFmtId="3" fontId="48" fillId="0" borderId="0" xfId="0" applyNumberFormat="1" applyFont="1" applyFill="1" applyBorder="1" applyAlignment="1">
      <alignment horizontal="right" vertical="top"/>
    </xf>
    <xf numFmtId="3" fontId="49" fillId="0" borderId="0" xfId="0" applyNumberFormat="1" applyFont="1" applyFill="1" applyBorder="1" applyAlignment="1"/>
    <xf numFmtId="0" fontId="48" fillId="0" borderId="1" xfId="0" applyFont="1" applyBorder="1" applyAlignment="1">
      <alignment vertical="top"/>
    </xf>
    <xf numFmtId="0" fontId="49" fillId="0" borderId="3" xfId="0" applyFont="1" applyBorder="1" applyAlignment="1">
      <alignment vertical="top"/>
    </xf>
    <xf numFmtId="0" fontId="49" fillId="0" borderId="66" xfId="0" applyFont="1" applyBorder="1" applyAlignment="1">
      <alignment vertical="top"/>
    </xf>
    <xf numFmtId="0" fontId="49" fillId="0" borderId="66" xfId="0" applyFont="1" applyBorder="1" applyAlignment="1">
      <alignment horizontal="center" vertical="top" wrapText="1"/>
    </xf>
    <xf numFmtId="0" fontId="48" fillId="0" borderId="26" xfId="0" applyFont="1" applyBorder="1" applyAlignment="1">
      <alignment vertical="top"/>
    </xf>
    <xf numFmtId="0" fontId="49" fillId="0" borderId="67" xfId="0" applyFont="1" applyBorder="1" applyAlignment="1">
      <alignment horizontal="center" vertical="top" wrapText="1"/>
    </xf>
    <xf numFmtId="0" fontId="48" fillId="0" borderId="68" xfId="0" applyFont="1" applyBorder="1" applyAlignment="1">
      <alignment vertical="top"/>
    </xf>
    <xf numFmtId="0" fontId="49" fillId="0" borderId="24" xfId="0" applyFont="1" applyBorder="1" applyAlignment="1">
      <alignment vertical="top"/>
    </xf>
    <xf numFmtId="0" fontId="49" fillId="0" borderId="69" xfId="0" applyFont="1" applyBorder="1" applyAlignment="1">
      <alignment vertical="top"/>
    </xf>
    <xf numFmtId="0" fontId="49" fillId="0" borderId="69" xfId="0" applyFont="1" applyBorder="1" applyAlignment="1">
      <alignment horizontal="center" vertical="top" wrapText="1"/>
    </xf>
    <xf numFmtId="3" fontId="7" fillId="0" borderId="85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3" fontId="3" fillId="0" borderId="10" xfId="0" applyNumberFormat="1" applyFont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3" fontId="107" fillId="0" borderId="0" xfId="0" applyNumberFormat="1" applyFont="1" applyFill="1" applyBorder="1" applyAlignment="1">
      <alignment vertical="center" wrapText="1"/>
    </xf>
    <xf numFmtId="0" fontId="32" fillId="6" borderId="28" xfId="0" applyFont="1" applyFill="1" applyBorder="1" applyAlignment="1">
      <alignment vertical="center" wrapText="1"/>
    </xf>
    <xf numFmtId="3" fontId="52" fillId="6" borderId="35" xfId="0" applyNumberFormat="1" applyFont="1" applyFill="1" applyBorder="1" applyAlignment="1">
      <alignment vertical="center"/>
    </xf>
    <xf numFmtId="3" fontId="33" fillId="2" borderId="24" xfId="0" applyNumberFormat="1" applyFont="1" applyFill="1" applyBorder="1" applyAlignment="1">
      <alignment horizontal="left" vertical="top"/>
    </xf>
    <xf numFmtId="0" fontId="62" fillId="59" borderId="24" xfId="0" applyFont="1" applyFill="1" applyBorder="1" applyAlignment="1">
      <alignment vertical="top"/>
    </xf>
    <xf numFmtId="0" fontId="62" fillId="61" borderId="24" xfId="0" applyFont="1" applyFill="1" applyBorder="1" applyAlignment="1">
      <alignment vertical="top"/>
    </xf>
    <xf numFmtId="3" fontId="0" fillId="2" borderId="0" xfId="0" applyNumberFormat="1" applyFont="1" applyFill="1" applyAlignment="1"/>
    <xf numFmtId="0" fontId="116" fillId="0" borderId="110" xfId="5" applyFont="1" applyBorder="1" applyAlignment="1">
      <alignment horizontal="center" vertical="center" wrapText="1"/>
    </xf>
    <xf numFmtId="0" fontId="117" fillId="0" borderId="110" xfId="5" applyFont="1" applyBorder="1" applyAlignment="1">
      <alignment horizontal="left" vertical="center" wrapText="1"/>
    </xf>
    <xf numFmtId="3" fontId="118" fillId="20" borderId="109" xfId="5" applyNumberFormat="1" applyFont="1" applyFill="1" applyBorder="1" applyAlignment="1">
      <alignment vertical="center"/>
    </xf>
    <xf numFmtId="0" fontId="118" fillId="20" borderId="110" xfId="5" applyFont="1" applyFill="1" applyBorder="1" applyAlignment="1">
      <alignment horizontal="center" vertical="center"/>
    </xf>
    <xf numFmtId="3" fontId="53" fillId="6" borderId="110" xfId="4" applyNumberFormat="1" applyFont="1" applyFill="1" applyBorder="1" applyAlignment="1">
      <alignment horizontal="right" vertical="center"/>
    </xf>
    <xf numFmtId="3" fontId="55" fillId="0" borderId="110" xfId="4" applyNumberFormat="1" applyFont="1" applyFill="1" applyBorder="1" applyAlignment="1">
      <alignment horizontal="right" vertical="center"/>
    </xf>
    <xf numFmtId="3" fontId="55" fillId="26" borderId="110" xfId="4" applyNumberFormat="1" applyFont="1" applyFill="1" applyBorder="1" applyAlignment="1">
      <alignment horizontal="right" vertical="center"/>
    </xf>
    <xf numFmtId="3" fontId="59" fillId="0" borderId="114" xfId="4" applyNumberFormat="1" applyFont="1" applyFill="1" applyBorder="1" applyAlignment="1"/>
    <xf numFmtId="3" fontId="32" fillId="0" borderId="110" xfId="4" applyNumberFormat="1" applyFont="1" applyFill="1" applyBorder="1" applyAlignment="1">
      <alignment horizontal="right" vertical="center"/>
    </xf>
    <xf numFmtId="3" fontId="59" fillId="0" borderId="110" xfId="4" applyNumberFormat="1" applyFont="1" applyFill="1" applyBorder="1" applyAlignment="1"/>
    <xf numFmtId="3" fontId="59" fillId="0" borderId="110" xfId="4" applyNumberFormat="1" applyFont="1" applyFill="1" applyBorder="1" applyAlignment="1">
      <alignment horizontal="right" vertical="center"/>
    </xf>
    <xf numFmtId="3" fontId="59" fillId="26" borderId="110" xfId="4" applyNumberFormat="1" applyFont="1" applyFill="1" applyBorder="1" applyAlignment="1">
      <alignment horizontal="right" vertical="center"/>
    </xf>
    <xf numFmtId="3" fontId="61" fillId="0" borderId="110" xfId="6" applyNumberFormat="1" applyFont="1" applyFill="1" applyBorder="1" applyAlignment="1">
      <alignment vertical="center"/>
    </xf>
    <xf numFmtId="0" fontId="32" fillId="0" borderId="121" xfId="4" applyFont="1" applyFill="1" applyBorder="1" applyAlignment="1">
      <alignment vertical="top"/>
    </xf>
    <xf numFmtId="3" fontId="32" fillId="0" borderId="108" xfId="4" applyNumberFormat="1" applyFont="1" applyFill="1" applyBorder="1" applyAlignment="1">
      <alignment horizontal="right" vertical="center"/>
    </xf>
    <xf numFmtId="3" fontId="32" fillId="0" borderId="114" xfId="4" applyNumberFormat="1" applyFont="1" applyFill="1" applyBorder="1" applyAlignment="1">
      <alignment horizontal="right" vertical="center"/>
    </xf>
    <xf numFmtId="3" fontId="59" fillId="0" borderId="108" xfId="4" applyNumberFormat="1" applyFont="1" applyFill="1" applyBorder="1" applyAlignment="1">
      <alignment horizontal="right" vertical="center"/>
    </xf>
    <xf numFmtId="3" fontId="52" fillId="6" borderId="110" xfId="4" applyNumberFormat="1" applyFont="1" applyFill="1" applyBorder="1" applyAlignment="1"/>
    <xf numFmtId="3" fontId="55" fillId="2" borderId="120" xfId="4" applyNumberFormat="1" applyFont="1" applyFill="1" applyBorder="1" applyAlignment="1">
      <alignment vertical="top" wrapText="1"/>
    </xf>
    <xf numFmtId="3" fontId="55" fillId="2" borderId="110" xfId="4" applyNumberFormat="1" applyFont="1" applyFill="1" applyBorder="1" applyAlignment="1"/>
    <xf numFmtId="3" fontId="55" fillId="2" borderId="109" xfId="4" applyNumberFormat="1" applyFont="1" applyFill="1" applyBorder="1" applyAlignment="1"/>
    <xf numFmtId="3" fontId="57" fillId="26" borderId="110" xfId="4" applyNumberFormat="1" applyFont="1" applyFill="1" applyBorder="1" applyAlignment="1">
      <alignment horizontal="right" vertical="center"/>
    </xf>
    <xf numFmtId="3" fontId="59" fillId="0" borderId="114" xfId="4" applyNumberFormat="1" applyFont="1" applyFill="1" applyBorder="1" applyAlignment="1">
      <alignment horizontal="right" vertical="center"/>
    </xf>
    <xf numFmtId="0" fontId="32" fillId="0" borderId="120" xfId="4" applyFont="1" applyFill="1" applyBorder="1" applyAlignment="1">
      <alignment vertical="top"/>
    </xf>
    <xf numFmtId="0" fontId="55" fillId="2" borderId="120" xfId="4" applyFont="1" applyFill="1" applyBorder="1" applyAlignment="1">
      <alignment vertical="center"/>
    </xf>
    <xf numFmtId="3" fontId="55" fillId="0" borderId="110" xfId="4" applyNumberFormat="1" applyFont="1" applyFill="1" applyBorder="1" applyAlignment="1"/>
    <xf numFmtId="0" fontId="53" fillId="6" borderId="120" xfId="4" applyFont="1" applyFill="1" applyBorder="1" applyAlignment="1">
      <alignment horizontal="left" vertical="center"/>
    </xf>
    <xf numFmtId="3" fontId="51" fillId="6" borderId="110" xfId="6" applyNumberFormat="1" applyFont="1" applyFill="1" applyBorder="1" applyAlignment="1">
      <alignment horizontal="right" vertical="center"/>
    </xf>
    <xf numFmtId="3" fontId="61" fillId="0" borderId="110" xfId="6" applyNumberFormat="1" applyFont="1" applyFill="1" applyBorder="1" applyAlignment="1">
      <alignment horizontal="right" vertical="center"/>
    </xf>
    <xf numFmtId="0" fontId="59" fillId="0" borderId="121" xfId="4" applyFont="1" applyFill="1" applyBorder="1" applyAlignment="1">
      <alignment vertical="top"/>
    </xf>
    <xf numFmtId="3" fontId="57" fillId="2" borderId="110" xfId="4" applyNumberFormat="1" applyFont="1" applyFill="1" applyBorder="1" applyAlignment="1"/>
    <xf numFmtId="3" fontId="55" fillId="0" borderId="109" xfId="0" applyNumberFormat="1" applyFont="1" applyFill="1" applyBorder="1" applyAlignment="1">
      <alignment vertical="center"/>
    </xf>
    <xf numFmtId="3" fontId="55" fillId="0" borderId="109" xfId="0" applyNumberFormat="1" applyFont="1" applyFill="1" applyBorder="1" applyAlignment="1">
      <alignment horizontal="right" vertical="center"/>
    </xf>
    <xf numFmtId="3" fontId="55" fillId="59" borderId="109" xfId="0" applyNumberFormat="1" applyFont="1" applyFill="1" applyBorder="1" applyAlignment="1">
      <alignment horizontal="right" vertical="center"/>
    </xf>
    <xf numFmtId="3" fontId="55" fillId="61" borderId="109" xfId="0" applyNumberFormat="1" applyFont="1" applyFill="1" applyBorder="1" applyAlignment="1">
      <alignment horizontal="right" vertical="center"/>
    </xf>
    <xf numFmtId="3" fontId="59" fillId="0" borderId="109" xfId="0" applyNumberFormat="1" applyFont="1" applyFill="1" applyBorder="1" applyAlignment="1">
      <alignment horizontal="right" vertical="center"/>
    </xf>
    <xf numFmtId="3" fontId="59" fillId="59" borderId="109" xfId="0" applyNumberFormat="1" applyFont="1" applyFill="1" applyBorder="1" applyAlignment="1">
      <alignment horizontal="right" vertical="center"/>
    </xf>
    <xf numFmtId="3" fontId="59" fillId="61" borderId="109" xfId="0" applyNumberFormat="1" applyFont="1" applyFill="1" applyBorder="1" applyAlignment="1">
      <alignment horizontal="right" vertical="center"/>
    </xf>
    <xf numFmtId="3" fontId="56" fillId="0" borderId="109" xfId="0" applyNumberFormat="1" applyFont="1" applyFill="1" applyBorder="1" applyAlignment="1">
      <alignment vertical="center"/>
    </xf>
    <xf numFmtId="3" fontId="53" fillId="59" borderId="110" xfId="0" applyNumberFormat="1" applyFont="1" applyFill="1" applyBorder="1" applyAlignment="1">
      <alignment vertical="center"/>
    </xf>
    <xf numFmtId="3" fontId="53" fillId="61" borderId="110" xfId="0" applyNumberFormat="1" applyFont="1" applyFill="1" applyBorder="1" applyAlignment="1">
      <alignment vertical="center"/>
    </xf>
    <xf numFmtId="0" fontId="59" fillId="6" borderId="111" xfId="0" applyFont="1" applyFill="1" applyBorder="1" applyAlignment="1">
      <alignment vertical="top"/>
    </xf>
    <xf numFmtId="3" fontId="53" fillId="6" borderId="110" xfId="0" applyNumberFormat="1" applyFont="1" applyFill="1" applyBorder="1" applyAlignment="1">
      <alignment vertical="top"/>
    </xf>
    <xf numFmtId="3" fontId="53" fillId="59" borderId="110" xfId="0" applyNumberFormat="1" applyFont="1" applyFill="1" applyBorder="1" applyAlignment="1">
      <alignment vertical="top"/>
    </xf>
    <xf numFmtId="3" fontId="53" fillId="61" borderId="110" xfId="0" applyNumberFormat="1" applyFont="1" applyFill="1" applyBorder="1" applyAlignment="1">
      <alignment vertical="top"/>
    </xf>
    <xf numFmtId="3" fontId="53" fillId="23" borderId="110" xfId="0" applyNumberFormat="1" applyFont="1" applyFill="1" applyBorder="1" applyAlignment="1">
      <alignment vertical="top"/>
    </xf>
    <xf numFmtId="3" fontId="55" fillId="2" borderId="110" xfId="0" applyNumberFormat="1" applyFont="1" applyFill="1" applyBorder="1" applyAlignment="1">
      <alignment vertical="top"/>
    </xf>
    <xf numFmtId="3" fontId="55" fillId="59" borderId="110" xfId="0" applyNumberFormat="1" applyFont="1" applyFill="1" applyBorder="1" applyAlignment="1">
      <alignment vertical="top"/>
    </xf>
    <xf numFmtId="3" fontId="55" fillId="61" borderId="110" xfId="0" applyNumberFormat="1" applyFont="1" applyFill="1" applyBorder="1" applyAlignment="1">
      <alignment vertical="top"/>
    </xf>
    <xf numFmtId="3" fontId="53" fillId="26" borderId="109" xfId="0" applyNumberFormat="1" applyFont="1" applyFill="1" applyBorder="1" applyAlignment="1">
      <alignment vertical="top"/>
    </xf>
    <xf numFmtId="3" fontId="59" fillId="0" borderId="110" xfId="0" applyNumberFormat="1" applyFont="1" applyFill="1" applyBorder="1" applyAlignment="1">
      <alignment vertical="top"/>
    </xf>
    <xf numFmtId="3" fontId="59" fillId="59" borderId="110" xfId="0" applyNumberFormat="1" applyFont="1" applyFill="1" applyBorder="1" applyAlignment="1">
      <alignment vertical="top"/>
    </xf>
    <xf numFmtId="3" fontId="59" fillId="61" borderId="110" xfId="0" applyNumberFormat="1" applyFont="1" applyFill="1" applyBorder="1" applyAlignment="1">
      <alignment vertical="top"/>
    </xf>
    <xf numFmtId="3" fontId="55" fillId="0" borderId="110" xfId="0" applyNumberFormat="1" applyFont="1" applyFill="1" applyBorder="1" applyAlignment="1">
      <alignment vertical="top"/>
    </xf>
    <xf numFmtId="3" fontId="59" fillId="59" borderId="108" xfId="0" applyNumberFormat="1" applyFont="1" applyFill="1" applyBorder="1" applyAlignment="1">
      <alignment horizontal="right" vertical="center"/>
    </xf>
    <xf numFmtId="3" fontId="59" fillId="61" borderId="108" xfId="0" applyNumberFormat="1" applyFont="1" applyFill="1" applyBorder="1" applyAlignment="1">
      <alignment horizontal="right" vertical="center"/>
    </xf>
    <xf numFmtId="3" fontId="59" fillId="0" borderId="108" xfId="0" applyNumberFormat="1" applyFont="1" applyFill="1" applyBorder="1" applyAlignment="1">
      <alignment horizontal="right" vertical="center"/>
    </xf>
    <xf numFmtId="0" fontId="32" fillId="6" borderId="111" xfId="0" applyFont="1" applyFill="1" applyBorder="1" applyAlignment="1">
      <alignment horizontal="left" vertical="center" wrapText="1"/>
    </xf>
    <xf numFmtId="3" fontId="59" fillId="59" borderId="109" xfId="0" applyNumberFormat="1" applyFont="1" applyFill="1" applyBorder="1" applyAlignment="1">
      <alignment vertical="top"/>
    </xf>
    <xf numFmtId="3" fontId="59" fillId="61" borderId="109" xfId="0" applyNumberFormat="1" applyFont="1" applyFill="1" applyBorder="1" applyAlignment="1">
      <alignment vertical="top"/>
    </xf>
    <xf numFmtId="3" fontId="53" fillId="23" borderId="109" xfId="0" applyNumberFormat="1" applyFont="1" applyFill="1" applyBorder="1" applyAlignment="1">
      <alignment vertical="center"/>
    </xf>
    <xf numFmtId="3" fontId="55" fillId="33" borderId="110" xfId="0" applyNumberFormat="1" applyFont="1" applyFill="1" applyBorder="1" applyAlignment="1">
      <alignment vertical="center"/>
    </xf>
    <xf numFmtId="3" fontId="55" fillId="26" borderId="109" xfId="0" applyNumberFormat="1" applyFont="1" applyFill="1" applyBorder="1" applyAlignment="1">
      <alignment vertical="center"/>
    </xf>
    <xf numFmtId="3" fontId="59" fillId="0" borderId="110" xfId="0" applyNumberFormat="1" applyFont="1" applyFill="1" applyBorder="1" applyAlignment="1">
      <alignment vertical="center"/>
    </xf>
    <xf numFmtId="3" fontId="59" fillId="33" borderId="110" xfId="0" applyNumberFormat="1" applyFont="1" applyFill="1" applyBorder="1" applyAlignment="1">
      <alignment vertical="top"/>
    </xf>
    <xf numFmtId="3" fontId="59" fillId="26" borderId="109" xfId="0" applyNumberFormat="1" applyFont="1" applyFill="1" applyBorder="1" applyAlignment="1">
      <alignment vertical="top"/>
    </xf>
    <xf numFmtId="3" fontId="53" fillId="33" borderId="110" xfId="0" applyNumberFormat="1" applyFont="1" applyFill="1" applyBorder="1" applyAlignment="1">
      <alignment vertical="top"/>
    </xf>
    <xf numFmtId="3" fontId="55" fillId="26" borderId="109" xfId="0" applyNumberFormat="1" applyFont="1" applyFill="1" applyBorder="1" applyAlignment="1">
      <alignment vertical="top"/>
    </xf>
    <xf numFmtId="3" fontId="56" fillId="63" borderId="110" xfId="0" applyNumberFormat="1" applyFont="1" applyFill="1" applyBorder="1" applyAlignment="1">
      <alignment vertical="top"/>
    </xf>
    <xf numFmtId="3" fontId="56" fillId="26" borderId="109" xfId="0" applyNumberFormat="1" applyFont="1" applyFill="1" applyBorder="1" applyAlignment="1">
      <alignment vertical="center"/>
    </xf>
    <xf numFmtId="3" fontId="56" fillId="64" borderId="110" xfId="0" applyNumberFormat="1" applyFont="1" applyFill="1" applyBorder="1" applyAlignment="1">
      <alignment vertical="top"/>
    </xf>
    <xf numFmtId="3" fontId="56" fillId="58" borderId="110" xfId="0" applyNumberFormat="1" applyFont="1" applyFill="1" applyBorder="1" applyAlignment="1">
      <alignment vertical="center"/>
    </xf>
    <xf numFmtId="3" fontId="56" fillId="66" borderId="109" xfId="0" applyNumberFormat="1" applyFont="1" applyFill="1" applyBorder="1" applyAlignment="1">
      <alignment vertical="center"/>
    </xf>
    <xf numFmtId="3" fontId="56" fillId="65" borderId="110" xfId="0" applyNumberFormat="1" applyFont="1" applyFill="1" applyBorder="1" applyAlignment="1">
      <alignment vertical="top"/>
    </xf>
    <xf numFmtId="43" fontId="59" fillId="26" borderId="109" xfId="1" applyFont="1" applyFill="1" applyBorder="1" applyAlignment="1">
      <alignment vertical="top"/>
    </xf>
    <xf numFmtId="3" fontId="56" fillId="57" borderId="110" xfId="0" applyNumberFormat="1" applyFont="1" applyFill="1" applyBorder="1" applyAlignment="1">
      <alignment vertical="top"/>
    </xf>
    <xf numFmtId="43" fontId="56" fillId="26" borderId="109" xfId="1" applyFont="1" applyFill="1" applyBorder="1" applyAlignment="1">
      <alignment vertical="center"/>
    </xf>
    <xf numFmtId="0" fontId="51" fillId="0" borderId="111" xfId="0" applyFont="1" applyBorder="1" applyAlignment="1">
      <alignment horizontal="center" vertical="center" wrapText="1"/>
    </xf>
    <xf numFmtId="3" fontId="59" fillId="59" borderId="110" xfId="0" applyNumberFormat="1" applyFont="1" applyFill="1" applyBorder="1" applyAlignment="1">
      <alignment horizontal="right" vertical="center"/>
    </xf>
    <xf numFmtId="3" fontId="59" fillId="0" borderId="110" xfId="0" applyNumberFormat="1" applyFont="1" applyFill="1" applyBorder="1" applyAlignment="1">
      <alignment horizontal="right" vertical="center"/>
    </xf>
    <xf numFmtId="0" fontId="56" fillId="64" borderId="111" xfId="0" applyFont="1" applyFill="1" applyBorder="1" applyAlignment="1">
      <alignment vertical="top"/>
    </xf>
    <xf numFmtId="0" fontId="56" fillId="58" borderId="112" xfId="0" applyFont="1" applyFill="1" applyBorder="1" applyAlignment="1">
      <alignment vertical="center"/>
    </xf>
    <xf numFmtId="0" fontId="56" fillId="65" borderId="111" xfId="0" applyFont="1" applyFill="1" applyBorder="1" applyAlignment="1">
      <alignment vertical="top"/>
    </xf>
    <xf numFmtId="0" fontId="59" fillId="57" borderId="112" xfId="0" applyFont="1" applyFill="1" applyBorder="1" applyAlignment="1">
      <alignment vertical="top"/>
    </xf>
    <xf numFmtId="0" fontId="59" fillId="57" borderId="111" xfId="0" applyFont="1" applyFill="1" applyBorder="1" applyAlignment="1">
      <alignment vertical="top"/>
    </xf>
    <xf numFmtId="3" fontId="53" fillId="23" borderId="12" xfId="0" applyNumberFormat="1" applyFont="1" applyFill="1" applyBorder="1" applyAlignment="1">
      <alignment vertical="center"/>
    </xf>
    <xf numFmtId="0" fontId="52" fillId="8" borderId="21" xfId="4" applyFont="1" applyFill="1" applyBorder="1" applyAlignment="1">
      <alignment horizontal="left" vertical="center" wrapText="1"/>
    </xf>
    <xf numFmtId="3" fontId="53" fillId="8" borderId="9" xfId="4" applyNumberFormat="1" applyFont="1" applyFill="1" applyBorder="1" applyAlignment="1">
      <alignment horizontal="center" vertical="center"/>
    </xf>
    <xf numFmtId="3" fontId="59" fillId="8" borderId="9" xfId="4" applyNumberFormat="1" applyFont="1" applyFill="1" applyBorder="1" applyAlignment="1">
      <alignment horizontal="right" vertical="center"/>
    </xf>
    <xf numFmtId="3" fontId="59" fillId="8" borderId="35" xfId="4" applyNumberFormat="1" applyFont="1" applyFill="1" applyBorder="1" applyAlignment="1">
      <alignment horizontal="right" vertical="center"/>
    </xf>
    <xf numFmtId="3" fontId="32" fillId="24" borderId="35" xfId="4" applyNumberFormat="1" applyFont="1" applyFill="1" applyBorder="1" applyAlignment="1">
      <alignment horizontal="right" vertical="center"/>
    </xf>
    <xf numFmtId="3" fontId="53" fillId="8" borderId="110" xfId="4" applyNumberFormat="1" applyFont="1" applyFill="1" applyBorder="1" applyAlignment="1">
      <alignment horizontal="center" vertical="center"/>
    </xf>
    <xf numFmtId="3" fontId="32" fillId="8" borderId="110" xfId="4" applyNumberFormat="1" applyFont="1" applyFill="1" applyBorder="1" applyAlignment="1">
      <alignment horizontal="right" vertical="center"/>
    </xf>
    <xf numFmtId="3" fontId="32" fillId="8" borderId="119" xfId="4" applyNumberFormat="1" applyFont="1" applyFill="1" applyBorder="1" applyAlignment="1">
      <alignment horizontal="right" vertical="center"/>
    </xf>
    <xf numFmtId="3" fontId="52" fillId="6" borderId="111" xfId="4" applyNumberFormat="1" applyFont="1" applyFill="1" applyBorder="1" applyAlignment="1">
      <alignment vertical="center"/>
    </xf>
    <xf numFmtId="3" fontId="53" fillId="6" borderId="110" xfId="4" applyNumberFormat="1" applyFont="1" applyFill="1" applyBorder="1" applyAlignment="1">
      <alignment vertical="center"/>
    </xf>
    <xf numFmtId="43" fontId="53" fillId="6" borderId="109" xfId="1" applyFont="1" applyFill="1" applyBorder="1" applyAlignment="1">
      <alignment vertical="center"/>
    </xf>
    <xf numFmtId="3" fontId="53" fillId="6" borderId="109" xfId="4" applyNumberFormat="1" applyFont="1" applyFill="1" applyBorder="1" applyAlignment="1">
      <alignment vertical="center"/>
    </xf>
    <xf numFmtId="3" fontId="52" fillId="6" borderId="109" xfId="4" applyNumberFormat="1" applyFont="1" applyFill="1" applyBorder="1" applyAlignment="1">
      <alignment vertical="center"/>
    </xf>
    <xf numFmtId="3" fontId="53" fillId="23" borderId="109" xfId="4" applyNumberFormat="1" applyFont="1" applyFill="1" applyBorder="1" applyAlignment="1">
      <alignment vertical="center"/>
    </xf>
    <xf numFmtId="3" fontId="57" fillId="0" borderId="109" xfId="4" applyNumberFormat="1" applyFont="1" applyFill="1" applyBorder="1" applyAlignment="1">
      <alignment horizontal="right" vertical="center"/>
    </xf>
    <xf numFmtId="43" fontId="57" fillId="0" borderId="109" xfId="1" applyFont="1" applyFill="1" applyBorder="1" applyAlignment="1">
      <alignment horizontal="right" vertical="center"/>
    </xf>
    <xf numFmtId="3" fontId="57" fillId="0" borderId="119" xfId="4" applyNumberFormat="1" applyFont="1" applyFill="1" applyBorder="1" applyAlignment="1">
      <alignment horizontal="right" vertical="center"/>
    </xf>
    <xf numFmtId="3" fontId="32" fillId="0" borderId="109" xfId="0" applyNumberFormat="1" applyFont="1" applyFill="1" applyBorder="1" applyAlignment="1">
      <alignment vertical="top"/>
    </xf>
    <xf numFmtId="43" fontId="32" fillId="0" borderId="110" xfId="1" applyFont="1" applyFill="1" applyBorder="1" applyAlignment="1"/>
    <xf numFmtId="43" fontId="32" fillId="0" borderId="109" xfId="1" applyFont="1" applyFill="1" applyBorder="1" applyAlignment="1"/>
    <xf numFmtId="3" fontId="32" fillId="0" borderId="109" xfId="4" applyNumberFormat="1" applyFont="1" applyFill="1" applyBorder="1" applyAlignment="1"/>
    <xf numFmtId="3" fontId="32" fillId="0" borderId="119" xfId="4" applyNumberFormat="1" applyFont="1" applyFill="1" applyBorder="1" applyAlignment="1"/>
    <xf numFmtId="3" fontId="32" fillId="0" borderId="109" xfId="4" applyNumberFormat="1" applyFont="1" applyFill="1" applyBorder="1" applyAlignment="1">
      <alignment vertical="top"/>
    </xf>
    <xf numFmtId="3" fontId="59" fillId="0" borderId="109" xfId="4" applyNumberFormat="1" applyFont="1" applyFill="1" applyBorder="1" applyAlignment="1"/>
    <xf numFmtId="3" fontId="32" fillId="26" borderId="109" xfId="4" applyNumberFormat="1" applyFont="1" applyFill="1" applyBorder="1" applyAlignment="1">
      <alignment vertical="top"/>
    </xf>
    <xf numFmtId="3" fontId="57" fillId="0" borderId="110" xfId="4" applyNumberFormat="1" applyFont="1" applyFill="1" applyBorder="1" applyAlignment="1">
      <alignment horizontal="right" vertical="center"/>
    </xf>
    <xf numFmtId="43" fontId="57" fillId="0" borderId="110" xfId="1" applyFont="1" applyFill="1" applyBorder="1" applyAlignment="1">
      <alignment horizontal="right" vertical="center"/>
    </xf>
    <xf numFmtId="43" fontId="32" fillId="0" borderId="109" xfId="1" applyFont="1" applyFill="1" applyBorder="1" applyAlignment="1">
      <alignment horizontal="right" vertical="center"/>
    </xf>
    <xf numFmtId="3" fontId="32" fillId="0" borderId="119" xfId="4" applyNumberFormat="1" applyFont="1" applyFill="1" applyBorder="1" applyAlignment="1">
      <alignment horizontal="right" vertical="center"/>
    </xf>
    <xf numFmtId="3" fontId="52" fillId="6" borderId="110" xfId="4" applyNumberFormat="1" applyFont="1" applyFill="1" applyBorder="1" applyAlignment="1">
      <alignment vertical="center"/>
    </xf>
    <xf numFmtId="43" fontId="52" fillId="6" borderId="109" xfId="1" applyFont="1" applyFill="1" applyBorder="1" applyAlignment="1">
      <alignment vertical="center"/>
    </xf>
    <xf numFmtId="3" fontId="32" fillId="0" borderId="47" xfId="0" applyNumberFormat="1" applyFont="1" applyFill="1" applyBorder="1" applyAlignment="1">
      <alignment vertical="top"/>
    </xf>
    <xf numFmtId="43" fontId="32" fillId="0" borderId="72" xfId="1" applyFont="1" applyFill="1" applyBorder="1" applyAlignment="1">
      <alignment vertical="top"/>
    </xf>
    <xf numFmtId="43" fontId="32" fillId="0" borderId="47" xfId="1" applyFont="1" applyFill="1" applyBorder="1" applyAlignment="1">
      <alignment vertical="top"/>
    </xf>
    <xf numFmtId="3" fontId="32" fillId="0" borderId="47" xfId="4" applyNumberFormat="1" applyFont="1" applyFill="1" applyBorder="1" applyAlignment="1">
      <alignment vertical="top"/>
    </xf>
    <xf numFmtId="3" fontId="59" fillId="0" borderId="47" xfId="4" applyNumberFormat="1" applyFont="1" applyFill="1" applyBorder="1" applyAlignment="1">
      <alignment vertical="top"/>
    </xf>
    <xf numFmtId="3" fontId="32" fillId="0" borderId="75" xfId="4" applyNumberFormat="1" applyFont="1" applyFill="1" applyBorder="1" applyAlignment="1">
      <alignment vertical="top"/>
    </xf>
    <xf numFmtId="3" fontId="52" fillId="8" borderId="9" xfId="4" applyNumberFormat="1" applyFont="1" applyFill="1" applyBorder="1" applyAlignment="1">
      <alignment horizontal="center" vertical="center" wrapText="1"/>
    </xf>
    <xf numFmtId="3" fontId="52" fillId="23" borderId="109" xfId="4" applyNumberFormat="1" applyFont="1" applyFill="1" applyBorder="1" applyAlignment="1">
      <alignment vertical="center"/>
    </xf>
    <xf numFmtId="3" fontId="57" fillId="26" borderId="109" xfId="4" applyNumberFormat="1" applyFont="1" applyFill="1" applyBorder="1" applyAlignment="1">
      <alignment horizontal="right" vertical="center"/>
    </xf>
    <xf numFmtId="3" fontId="32" fillId="0" borderId="119" xfId="4" applyNumberFormat="1" applyFont="1" applyFill="1" applyBorder="1" applyAlignment="1">
      <alignment vertical="top"/>
    </xf>
    <xf numFmtId="3" fontId="32" fillId="0" borderId="110" xfId="4" applyNumberFormat="1" applyFont="1" applyFill="1" applyBorder="1" applyAlignment="1">
      <alignment vertical="top"/>
    </xf>
    <xf numFmtId="3" fontId="57" fillId="0" borderId="72" xfId="4" applyNumberFormat="1" applyFont="1" applyFill="1" applyBorder="1" applyAlignment="1">
      <alignment horizontal="right" vertical="center"/>
    </xf>
    <xf numFmtId="3" fontId="57" fillId="0" borderId="47" xfId="4" applyNumberFormat="1" applyFont="1" applyFill="1" applyBorder="1" applyAlignment="1">
      <alignment horizontal="right" vertical="center"/>
    </xf>
    <xf numFmtId="0" fontId="43" fillId="2" borderId="9" xfId="0" applyFont="1" applyFill="1" applyBorder="1" applyAlignment="1">
      <alignment horizontal="right" vertical="center"/>
    </xf>
    <xf numFmtId="0" fontId="43" fillId="2" borderId="110" xfId="0" applyFont="1" applyFill="1" applyBorder="1" applyAlignment="1">
      <alignment horizontal="right" vertical="center"/>
    </xf>
    <xf numFmtId="0" fontId="45" fillId="13" borderId="11" xfId="4" applyFont="1" applyFill="1" applyBorder="1" applyAlignment="1">
      <alignment horizontal="center" vertical="top"/>
    </xf>
    <xf numFmtId="3" fontId="57" fillId="0" borderId="29" xfId="4" applyNumberFormat="1" applyFont="1" applyFill="1" applyBorder="1" applyAlignment="1"/>
    <xf numFmtId="0" fontId="52" fillId="8" borderId="19" xfId="4" applyFont="1" applyFill="1" applyBorder="1" applyAlignment="1">
      <alignment vertical="center" wrapText="1"/>
    </xf>
    <xf numFmtId="3" fontId="32" fillId="0" borderId="65" xfId="4" applyNumberFormat="1" applyFont="1" applyFill="1" applyBorder="1" applyAlignment="1"/>
    <xf numFmtId="0" fontId="59" fillId="0" borderId="120" xfId="4" applyFont="1" applyFill="1" applyBorder="1" applyAlignment="1">
      <alignment vertical="top"/>
    </xf>
    <xf numFmtId="0" fontId="59" fillId="0" borderId="21" xfId="4" applyFont="1" applyFill="1" applyBorder="1" applyAlignment="1">
      <alignment horizontal="left" vertical="center"/>
    </xf>
    <xf numFmtId="43" fontId="32" fillId="0" borderId="29" xfId="1" applyFont="1" applyFill="1" applyBorder="1" applyAlignment="1">
      <alignment horizontal="right" vertical="center"/>
    </xf>
    <xf numFmtId="43" fontId="52" fillId="6" borderId="9" xfId="1" applyFont="1" applyFill="1" applyBorder="1" applyAlignment="1"/>
    <xf numFmtId="43" fontId="32" fillId="0" borderId="74" xfId="1" applyFont="1" applyFill="1" applyBorder="1" applyAlignment="1">
      <alignment horizontal="right" vertical="center"/>
    </xf>
    <xf numFmtId="3" fontId="52" fillId="33" borderId="110" xfId="4" applyNumberFormat="1" applyFont="1" applyFill="1" applyBorder="1" applyAlignment="1"/>
    <xf numFmtId="0" fontId="59" fillId="0" borderId="77" xfId="4" applyFont="1" applyFill="1" applyBorder="1" applyAlignment="1">
      <alignment vertical="top"/>
    </xf>
    <xf numFmtId="3" fontId="52" fillId="8" borderId="79" xfId="4" applyNumberFormat="1" applyFont="1" applyFill="1" applyBorder="1" applyAlignment="1">
      <alignment horizontal="right" vertical="center"/>
    </xf>
    <xf numFmtId="43" fontId="52" fillId="6" borderId="30" xfId="1" applyFont="1" applyFill="1" applyBorder="1" applyAlignment="1"/>
    <xf numFmtId="3" fontId="57" fillId="2" borderId="31" xfId="4" applyNumberFormat="1" applyFont="1" applyFill="1" applyBorder="1" applyAlignment="1">
      <alignment vertical="top" wrapText="1"/>
    </xf>
    <xf numFmtId="43" fontId="32" fillId="0" borderId="10" xfId="1" applyFont="1" applyFill="1" applyBorder="1" applyAlignment="1">
      <alignment horizontal="right" vertical="center"/>
    </xf>
    <xf numFmtId="43" fontId="59" fillId="26" borderId="29" xfId="1" applyFont="1" applyFill="1" applyBorder="1" applyAlignment="1">
      <alignment horizontal="right" vertical="center"/>
    </xf>
    <xf numFmtId="43" fontId="59" fillId="0" borderId="98" xfId="1" applyFont="1" applyFill="1" applyBorder="1" applyAlignment="1"/>
    <xf numFmtId="43" fontId="59" fillId="0" borderId="10" xfId="1" applyFont="1" applyFill="1" applyBorder="1" applyAlignment="1">
      <alignment horizontal="right" vertical="center"/>
    </xf>
    <xf numFmtId="0" fontId="57" fillId="2" borderId="31" xfId="4" applyFont="1" applyFill="1" applyBorder="1" applyAlignment="1">
      <alignment vertical="top"/>
    </xf>
    <xf numFmtId="0" fontId="32" fillId="0" borderId="84" xfId="4" applyFont="1" applyFill="1" applyBorder="1" applyAlignment="1">
      <alignment vertical="top"/>
    </xf>
    <xf numFmtId="3" fontId="59" fillId="0" borderId="96" xfId="4" applyNumberFormat="1" applyFont="1" applyFill="1" applyBorder="1" applyAlignment="1">
      <alignment vertical="center"/>
    </xf>
    <xf numFmtId="0" fontId="52" fillId="6" borderId="36" xfId="4" applyFont="1" applyFill="1" applyBorder="1" applyAlignment="1">
      <alignment horizontal="left" vertical="center"/>
    </xf>
    <xf numFmtId="3" fontId="52" fillId="33" borderId="9" xfId="4" applyNumberFormat="1" applyFont="1" applyFill="1" applyBorder="1" applyAlignment="1"/>
    <xf numFmtId="43" fontId="52" fillId="33" borderId="9" xfId="1" applyFont="1" applyFill="1" applyBorder="1" applyAlignment="1"/>
    <xf numFmtId="3" fontId="59" fillId="33" borderId="9" xfId="4" applyNumberFormat="1" applyFont="1" applyFill="1" applyBorder="1" applyAlignment="1"/>
    <xf numFmtId="43" fontId="32" fillId="0" borderId="12" xfId="1" applyFont="1" applyFill="1" applyBorder="1" applyAlignment="1">
      <alignment horizontal="right" vertical="center"/>
    </xf>
    <xf numFmtId="3" fontId="53" fillId="8" borderId="17" xfId="4" applyNumberFormat="1" applyFont="1" applyFill="1" applyBorder="1" applyAlignment="1"/>
    <xf numFmtId="3" fontId="53" fillId="6" borderId="9" xfId="4" applyNumberFormat="1" applyFont="1" applyFill="1" applyBorder="1" applyAlignment="1"/>
    <xf numFmtId="43" fontId="53" fillId="6" borderId="9" xfId="1" applyFont="1" applyFill="1" applyBorder="1" applyAlignment="1"/>
    <xf numFmtId="43" fontId="53" fillId="6" borderId="30" xfId="1" applyFont="1" applyFill="1" applyBorder="1" applyAlignment="1"/>
    <xf numFmtId="3" fontId="55" fillId="0" borderId="27" xfId="4" applyNumberFormat="1" applyFont="1" applyFill="1" applyBorder="1" applyAlignment="1"/>
    <xf numFmtId="43" fontId="55" fillId="0" borderId="27" xfId="1" applyFont="1" applyFill="1" applyBorder="1" applyAlignment="1"/>
    <xf numFmtId="43" fontId="59" fillId="0" borderId="114" xfId="1" applyFont="1" applyFill="1" applyBorder="1" applyAlignment="1">
      <alignment horizontal="right" vertical="center"/>
    </xf>
    <xf numFmtId="43" fontId="32" fillId="0" borderId="114" xfId="1" applyFont="1" applyFill="1" applyBorder="1" applyAlignment="1">
      <alignment horizontal="right" vertical="center"/>
    </xf>
    <xf numFmtId="43" fontId="32" fillId="0" borderId="65" xfId="1" applyFont="1" applyFill="1" applyBorder="1" applyAlignment="1">
      <alignment horizontal="right" vertical="center"/>
    </xf>
    <xf numFmtId="0" fontId="32" fillId="2" borderId="21" xfId="4" applyFont="1" applyFill="1" applyBorder="1" applyAlignment="1">
      <alignment vertical="center"/>
    </xf>
    <xf numFmtId="3" fontId="60" fillId="0" borderId="9" xfId="6" applyNumberFormat="1" applyFont="1" applyFill="1" applyBorder="1" applyAlignment="1">
      <alignment vertical="center"/>
    </xf>
    <xf numFmtId="3" fontId="59" fillId="26" borderId="114" xfId="4" applyNumberFormat="1" applyFont="1" applyFill="1" applyBorder="1" applyAlignment="1">
      <alignment horizontal="right" vertical="center"/>
    </xf>
    <xf numFmtId="43" fontId="59" fillId="2" borderId="74" xfId="1" applyFont="1" applyFill="1" applyBorder="1" applyAlignment="1"/>
    <xf numFmtId="3" fontId="119" fillId="8" borderId="17" xfId="6" applyNumberFormat="1" applyFont="1" applyFill="1" applyBorder="1" applyAlignment="1">
      <alignment vertical="center"/>
    </xf>
    <xf numFmtId="3" fontId="32" fillId="8" borderId="2" xfId="4" applyNumberFormat="1" applyFont="1" applyFill="1" applyBorder="1" applyAlignment="1">
      <alignment horizontal="right" vertical="center"/>
    </xf>
    <xf numFmtId="3" fontId="52" fillId="8" borderId="17" xfId="0" applyNumberFormat="1" applyFont="1" applyFill="1" applyBorder="1" applyAlignment="1">
      <alignment vertical="center"/>
    </xf>
    <xf numFmtId="3" fontId="57" fillId="0" borderId="29" xfId="0" applyNumberFormat="1" applyFont="1" applyFill="1" applyBorder="1" applyAlignment="1">
      <alignment horizontal="right" vertical="center"/>
    </xf>
    <xf numFmtId="3" fontId="59" fillId="0" borderId="72" xfId="0" applyNumberFormat="1" applyFont="1" applyFill="1" applyBorder="1" applyAlignment="1">
      <alignment horizontal="right" vertical="center"/>
    </xf>
    <xf numFmtId="3" fontId="32" fillId="0" borderId="72" xfId="0" applyNumberFormat="1" applyFont="1" applyFill="1" applyBorder="1" applyAlignment="1">
      <alignment horizontal="right" vertical="center"/>
    </xf>
    <xf numFmtId="3" fontId="32" fillId="0" borderId="65" xfId="0" applyNumberFormat="1" applyFont="1" applyFill="1" applyBorder="1" applyAlignment="1">
      <alignment horizontal="right" vertical="center"/>
    </xf>
    <xf numFmtId="3" fontId="59" fillId="0" borderId="23" xfId="4" applyNumberFormat="1" applyFont="1" applyFill="1" applyBorder="1" applyAlignment="1">
      <alignment horizontal="right" vertical="center"/>
    </xf>
    <xf numFmtId="3" fontId="59" fillId="2" borderId="23" xfId="4" applyNumberFormat="1" applyFont="1" applyFill="1" applyBorder="1" applyAlignment="1">
      <alignment horizontal="right" vertical="center"/>
    </xf>
    <xf numFmtId="3" fontId="61" fillId="0" borderId="71" xfId="6" applyNumberFormat="1" applyFont="1" applyFill="1" applyBorder="1" applyAlignment="1">
      <alignment vertical="center"/>
    </xf>
    <xf numFmtId="43" fontId="57" fillId="0" borderId="71" xfId="1" applyFont="1" applyFill="1" applyBorder="1" applyAlignment="1">
      <alignment horizontal="right" vertical="center"/>
    </xf>
    <xf numFmtId="3" fontId="55" fillId="0" borderId="71" xfId="4" applyNumberFormat="1" applyFont="1" applyFill="1" applyBorder="1" applyAlignment="1">
      <alignment horizontal="right" vertical="center"/>
    </xf>
    <xf numFmtId="3" fontId="59" fillId="0" borderId="75" xfId="4" applyNumberFormat="1" applyFont="1" applyFill="1" applyBorder="1" applyAlignment="1">
      <alignment horizontal="right" vertical="center"/>
    </xf>
    <xf numFmtId="0" fontId="49" fillId="2" borderId="111" xfId="0" applyFont="1" applyFill="1" applyBorder="1" applyAlignment="1">
      <alignment horizontal="center" vertical="top"/>
    </xf>
    <xf numFmtId="0" fontId="45" fillId="8" borderId="112" xfId="4" applyFont="1" applyFill="1" applyBorder="1" applyAlignment="1">
      <alignment vertical="top"/>
    </xf>
    <xf numFmtId="0" fontId="45" fillId="8" borderId="6" xfId="4" applyFont="1" applyFill="1" applyBorder="1" applyAlignment="1">
      <alignment vertical="top"/>
    </xf>
    <xf numFmtId="0" fontId="45" fillId="0" borderId="26" xfId="0" applyFont="1" applyFill="1" applyBorder="1" applyAlignment="1">
      <alignment horizontal="center" vertical="center"/>
    </xf>
    <xf numFmtId="0" fontId="45" fillId="0" borderId="68" xfId="0" applyFont="1" applyFill="1" applyBorder="1" applyAlignment="1">
      <alignment horizontal="center" vertical="center"/>
    </xf>
    <xf numFmtId="0" fontId="55" fillId="57" borderId="99" xfId="4" applyFont="1" applyFill="1" applyBorder="1" applyAlignment="1">
      <alignment horizontal="left" vertical="center"/>
    </xf>
    <xf numFmtId="3" fontId="55" fillId="59" borderId="98" xfId="4" applyNumberFormat="1" applyFont="1" applyFill="1" applyBorder="1" applyAlignment="1">
      <alignment horizontal="right" vertical="center"/>
    </xf>
    <xf numFmtId="3" fontId="55" fillId="61" borderId="98" xfId="4" applyNumberFormat="1" applyFont="1" applyFill="1" applyBorder="1" applyAlignment="1">
      <alignment horizontal="right" vertical="center"/>
    </xf>
    <xf numFmtId="0" fontId="59" fillId="0" borderId="32" xfId="0" applyFont="1" applyFill="1" applyBorder="1" applyAlignment="1">
      <alignment horizontal="left" vertical="center" wrapText="1"/>
    </xf>
    <xf numFmtId="3" fontId="53" fillId="0" borderId="98" xfId="0" applyNumberFormat="1" applyFont="1" applyFill="1" applyBorder="1" applyAlignment="1">
      <alignment vertical="top"/>
    </xf>
    <xf numFmtId="3" fontId="55" fillId="23" borderId="96" xfId="0" applyNumberFormat="1" applyFont="1" applyFill="1" applyBorder="1" applyAlignment="1">
      <alignment vertical="top"/>
    </xf>
    <xf numFmtId="0" fontId="59" fillId="0" borderId="36" xfId="4" applyFont="1" applyFill="1" applyBorder="1" applyAlignment="1">
      <alignment horizontal="left" vertical="center"/>
    </xf>
    <xf numFmtId="3" fontId="59" fillId="61" borderId="96" xfId="0" applyNumberFormat="1" applyFont="1" applyFill="1" applyBorder="1" applyAlignment="1">
      <alignment horizontal="right" vertical="center"/>
    </xf>
    <xf numFmtId="0" fontId="59" fillId="0" borderId="32" xfId="4" applyFont="1" applyFill="1" applyBorder="1" applyAlignment="1">
      <alignment vertical="center"/>
    </xf>
    <xf numFmtId="3" fontId="53" fillId="0" borderId="9" xfId="0" applyNumberFormat="1" applyFont="1" applyFill="1" applyBorder="1" applyAlignment="1">
      <alignment vertical="top"/>
    </xf>
    <xf numFmtId="3" fontId="59" fillId="59" borderId="9" xfId="0" applyNumberFormat="1" applyFont="1" applyFill="1" applyBorder="1" applyAlignment="1">
      <alignment vertical="top"/>
    </xf>
    <xf numFmtId="3" fontId="59" fillId="61" borderId="9" xfId="0" applyNumberFormat="1" applyFont="1" applyFill="1" applyBorder="1" applyAlignment="1">
      <alignment vertical="top"/>
    </xf>
    <xf numFmtId="0" fontId="119" fillId="63" borderId="21" xfId="0" applyFont="1" applyFill="1" applyBorder="1"/>
    <xf numFmtId="0" fontId="119" fillId="64" borderId="32" xfId="0" applyFont="1" applyFill="1" applyBorder="1"/>
    <xf numFmtId="0" fontId="119" fillId="58" borderId="32" xfId="0" applyFont="1" applyFill="1" applyBorder="1" applyAlignment="1">
      <alignment vertical="center"/>
    </xf>
    <xf numFmtId="0" fontId="71" fillId="65" borderId="0" xfId="0" applyFont="1" applyFill="1" applyBorder="1"/>
    <xf numFmtId="0" fontId="33" fillId="0" borderId="111" xfId="0" applyFont="1" applyFill="1" applyBorder="1" applyAlignment="1">
      <alignment vertical="center" wrapText="1"/>
    </xf>
    <xf numFmtId="0" fontId="59" fillId="57" borderId="32" xfId="4" applyFont="1" applyFill="1" applyBorder="1" applyAlignment="1">
      <alignment horizontal="left" vertical="center"/>
    </xf>
    <xf numFmtId="3" fontId="59" fillId="57" borderId="110" xfId="0" applyNumberFormat="1" applyFont="1" applyFill="1" applyBorder="1" applyAlignment="1">
      <alignment vertical="top"/>
    </xf>
    <xf numFmtId="3" fontId="59" fillId="57" borderId="9" xfId="0" applyNumberFormat="1" applyFont="1" applyFill="1" applyBorder="1" applyAlignment="1">
      <alignment vertical="top"/>
    </xf>
    <xf numFmtId="0" fontId="71" fillId="65" borderId="122" xfId="0" applyFont="1" applyFill="1" applyBorder="1"/>
    <xf numFmtId="3" fontId="56" fillId="57" borderId="9" xfId="0" applyNumberFormat="1" applyFont="1" applyFill="1" applyBorder="1" applyAlignment="1">
      <alignment horizontal="right"/>
    </xf>
    <xf numFmtId="0" fontId="55" fillId="2" borderId="120" xfId="4" applyFont="1" applyFill="1" applyBorder="1" applyAlignment="1">
      <alignment vertical="top"/>
    </xf>
    <xf numFmtId="0" fontId="15" fillId="0" borderId="28" xfId="0" applyFont="1" applyFill="1" applyBorder="1" applyAlignment="1">
      <alignment vertical="center" wrapText="1"/>
    </xf>
    <xf numFmtId="0" fontId="71" fillId="65" borderId="84" xfId="0" applyFont="1" applyFill="1" applyBorder="1"/>
    <xf numFmtId="0" fontId="53" fillId="8" borderId="87" xfId="0" applyFont="1" applyFill="1" applyBorder="1" applyAlignment="1">
      <alignment horizontal="center" vertical="center" wrapText="1"/>
    </xf>
    <xf numFmtId="0" fontId="32" fillId="24" borderId="70" xfId="0" applyFont="1" applyFill="1" applyBorder="1" applyAlignment="1">
      <alignment vertical="top"/>
    </xf>
    <xf numFmtId="0" fontId="114" fillId="6" borderId="84" xfId="4" applyFont="1" applyFill="1" applyBorder="1" applyAlignment="1">
      <alignment horizontal="left" vertical="center"/>
    </xf>
    <xf numFmtId="3" fontId="55" fillId="23" borderId="96" xfId="0" applyNumberFormat="1" applyFont="1" applyFill="1" applyBorder="1" applyAlignment="1">
      <alignment horizontal="right" vertical="center"/>
    </xf>
    <xf numFmtId="0" fontId="33" fillId="0" borderId="32" xfId="0" applyFont="1" applyFill="1" applyBorder="1" applyAlignment="1">
      <alignment vertical="center" wrapText="1"/>
    </xf>
    <xf numFmtId="3" fontId="56" fillId="0" borderId="96" xfId="0" applyNumberFormat="1" applyFont="1" applyFill="1" applyBorder="1" applyAlignment="1">
      <alignment vertical="center"/>
    </xf>
    <xf numFmtId="3" fontId="56" fillId="23" borderId="96" xfId="0" applyNumberFormat="1" applyFont="1" applyFill="1" applyBorder="1" applyAlignment="1">
      <alignment horizontal="right" vertical="center"/>
    </xf>
    <xf numFmtId="3" fontId="55" fillId="0" borderId="96" xfId="0" applyNumberFormat="1" applyFont="1" applyFill="1" applyBorder="1" applyAlignment="1">
      <alignment horizontal="right" vertical="center"/>
    </xf>
    <xf numFmtId="0" fontId="32" fillId="0" borderId="21" xfId="0" applyFont="1" applyFill="1" applyBorder="1" applyAlignment="1">
      <alignment vertical="center" wrapText="1"/>
    </xf>
    <xf numFmtId="0" fontId="45" fillId="2" borderId="43" xfId="0" applyFont="1" applyFill="1" applyBorder="1" applyAlignment="1">
      <alignment vertical="center" wrapText="1"/>
    </xf>
    <xf numFmtId="0" fontId="32" fillId="0" borderId="104" xfId="0" applyFont="1" applyFill="1" applyBorder="1" applyAlignment="1">
      <alignment vertical="center" wrapText="1"/>
    </xf>
    <xf numFmtId="3" fontId="56" fillId="0" borderId="47" xfId="0" applyNumberFormat="1" applyFont="1" applyFill="1" applyBorder="1" applyAlignment="1">
      <alignment vertical="center"/>
    </xf>
    <xf numFmtId="0" fontId="114" fillId="6" borderId="20" xfId="4" applyFont="1" applyFill="1" applyBorder="1" applyAlignment="1">
      <alignment horizontal="left" vertical="center"/>
    </xf>
    <xf numFmtId="3" fontId="55" fillId="59" borderId="96" xfId="0" applyNumberFormat="1" applyFont="1" applyFill="1" applyBorder="1" applyAlignment="1">
      <alignment horizontal="right" vertical="center"/>
    </xf>
    <xf numFmtId="3" fontId="55" fillId="61" borderId="96" xfId="0" applyNumberFormat="1" applyFont="1" applyFill="1" applyBorder="1" applyAlignment="1">
      <alignment horizontal="right" vertical="center"/>
    </xf>
    <xf numFmtId="3" fontId="59" fillId="0" borderId="107" xfId="0" applyNumberFormat="1" applyFont="1" applyFill="1" applyBorder="1" applyAlignment="1">
      <alignment vertical="center"/>
    </xf>
    <xf numFmtId="3" fontId="59" fillId="23" borderId="35" xfId="0" applyNumberFormat="1" applyFont="1" applyFill="1" applyBorder="1" applyAlignment="1">
      <alignment vertical="center"/>
    </xf>
    <xf numFmtId="3" fontId="56" fillId="0" borderId="96" xfId="0" applyNumberFormat="1" applyFont="1" applyFill="1" applyBorder="1" applyAlignment="1">
      <alignment horizontal="right" vertical="center"/>
    </xf>
    <xf numFmtId="3" fontId="56" fillId="59" borderId="96" xfId="0" applyNumberFormat="1" applyFont="1" applyFill="1" applyBorder="1" applyAlignment="1">
      <alignment horizontal="right" vertical="center"/>
    </xf>
    <xf numFmtId="3" fontId="56" fillId="61" borderId="96" xfId="0" applyNumberFormat="1" applyFont="1" applyFill="1" applyBorder="1" applyAlignment="1">
      <alignment horizontal="right" vertical="center"/>
    </xf>
    <xf numFmtId="3" fontId="56" fillId="0" borderId="98" xfId="0" applyNumberFormat="1" applyFont="1" applyFill="1" applyBorder="1" applyAlignment="1">
      <alignment vertical="top"/>
    </xf>
    <xf numFmtId="3" fontId="56" fillId="0" borderId="107" xfId="0" applyNumberFormat="1" applyFont="1" applyFill="1" applyBorder="1" applyAlignment="1">
      <alignment vertical="center"/>
    </xf>
    <xf numFmtId="3" fontId="56" fillId="23" borderId="35" xfId="0" applyNumberFormat="1" applyFont="1" applyFill="1" applyBorder="1" applyAlignment="1">
      <alignment vertical="center"/>
    </xf>
    <xf numFmtId="3" fontId="55" fillId="23" borderId="35" xfId="0" applyNumberFormat="1" applyFont="1" applyFill="1" applyBorder="1" applyAlignment="1">
      <alignment vertical="center"/>
    </xf>
    <xf numFmtId="3" fontId="53" fillId="0" borderId="109" xfId="0" applyNumberFormat="1" applyFont="1" applyFill="1" applyBorder="1" applyAlignment="1">
      <alignment vertical="center"/>
    </xf>
    <xf numFmtId="3" fontId="53" fillId="0" borderId="109" xfId="0" applyNumberFormat="1" applyFont="1" applyFill="1" applyBorder="1" applyAlignment="1">
      <alignment horizontal="right" vertical="center"/>
    </xf>
    <xf numFmtId="3" fontId="53" fillId="59" borderId="109" xfId="0" applyNumberFormat="1" applyFont="1" applyFill="1" applyBorder="1" applyAlignment="1">
      <alignment horizontal="right" vertical="center"/>
    </xf>
    <xf numFmtId="3" fontId="53" fillId="61" borderId="109" xfId="0" applyNumberFormat="1" applyFont="1" applyFill="1" applyBorder="1" applyAlignment="1">
      <alignment horizontal="right" vertical="center"/>
    </xf>
    <xf numFmtId="3" fontId="53" fillId="0" borderId="109" xfId="0" applyNumberFormat="1" applyFont="1" applyFill="1" applyBorder="1" applyAlignment="1">
      <alignment vertical="top"/>
    </xf>
    <xf numFmtId="0" fontId="32" fillId="0" borderId="113" xfId="0" applyFont="1" applyFill="1" applyBorder="1" applyAlignment="1">
      <alignment vertical="center" wrapText="1"/>
    </xf>
    <xf numFmtId="3" fontId="56" fillId="0" borderId="108" xfId="0" applyNumberFormat="1" applyFont="1" applyFill="1" applyBorder="1" applyAlignment="1">
      <alignment vertical="center"/>
    </xf>
    <xf numFmtId="3" fontId="56" fillId="0" borderId="108" xfId="0" applyNumberFormat="1" applyFont="1" applyFill="1" applyBorder="1" applyAlignment="1">
      <alignment horizontal="right" vertical="center"/>
    </xf>
    <xf numFmtId="3" fontId="56" fillId="59" borderId="108" xfId="0" applyNumberFormat="1" applyFont="1" applyFill="1" applyBorder="1" applyAlignment="1">
      <alignment horizontal="right" vertical="center"/>
    </xf>
    <xf numFmtId="3" fontId="56" fillId="61" borderId="108" xfId="0" applyNumberFormat="1" applyFont="1" applyFill="1" applyBorder="1" applyAlignment="1">
      <alignment horizontal="right" vertical="center"/>
    </xf>
    <xf numFmtId="3" fontId="56" fillId="0" borderId="108" xfId="0" applyNumberFormat="1" applyFont="1" applyFill="1" applyBorder="1" applyAlignment="1">
      <alignment vertical="top"/>
    </xf>
    <xf numFmtId="3" fontId="59" fillId="8" borderId="119" xfId="0" applyNumberFormat="1" applyFont="1" applyFill="1" applyBorder="1" applyAlignment="1">
      <alignment vertical="top"/>
    </xf>
    <xf numFmtId="0" fontId="59" fillId="8" borderId="115" xfId="0" applyFont="1" applyFill="1" applyBorder="1" applyAlignment="1">
      <alignment vertical="top"/>
    </xf>
    <xf numFmtId="0" fontId="59" fillId="59" borderId="115" xfId="0" applyFont="1" applyFill="1" applyBorder="1" applyAlignment="1">
      <alignment vertical="top"/>
    </xf>
    <xf numFmtId="3" fontId="59" fillId="59" borderId="115" xfId="0" applyNumberFormat="1" applyFont="1" applyFill="1" applyBorder="1" applyAlignment="1">
      <alignment vertical="top"/>
    </xf>
    <xf numFmtId="3" fontId="59" fillId="61" borderId="115" xfId="0" applyNumberFormat="1" applyFont="1" applyFill="1" applyBorder="1" applyAlignment="1">
      <alignment vertical="top"/>
    </xf>
    <xf numFmtId="0" fontId="59" fillId="61" borderId="115" xfId="0" applyFont="1" applyFill="1" applyBorder="1" applyAlignment="1">
      <alignment vertical="top"/>
    </xf>
    <xf numFmtId="3" fontId="59" fillId="8" borderId="115" xfId="0" applyNumberFormat="1" applyFont="1" applyFill="1" applyBorder="1" applyAlignment="1">
      <alignment vertical="top"/>
    </xf>
    <xf numFmtId="0" fontId="59" fillId="8" borderId="110" xfId="0" applyFont="1" applyFill="1" applyBorder="1" applyAlignment="1">
      <alignment vertical="top"/>
    </xf>
    <xf numFmtId="3" fontId="53" fillId="23" borderId="109" xfId="0" applyNumberFormat="1" applyFont="1" applyFill="1" applyBorder="1" applyAlignment="1">
      <alignment horizontal="center" vertical="center"/>
    </xf>
    <xf numFmtId="0" fontId="114" fillId="6" borderId="111" xfId="4" applyFont="1" applyFill="1" applyBorder="1" applyAlignment="1">
      <alignment horizontal="left" vertical="center"/>
    </xf>
    <xf numFmtId="3" fontId="53" fillId="23" borderId="109" xfId="0" applyNumberFormat="1" applyFont="1" applyFill="1" applyBorder="1" applyAlignment="1">
      <alignment horizontal="right" vertical="center"/>
    </xf>
    <xf numFmtId="3" fontId="59" fillId="23" borderId="109" xfId="0" applyNumberFormat="1" applyFont="1" applyFill="1" applyBorder="1" applyAlignment="1">
      <alignment horizontal="right" vertical="center"/>
    </xf>
    <xf numFmtId="3" fontId="56" fillId="0" borderId="109" xfId="0" applyNumberFormat="1" applyFont="1" applyFill="1" applyBorder="1" applyAlignment="1">
      <alignment horizontal="right" vertical="center"/>
    </xf>
    <xf numFmtId="3" fontId="56" fillId="59" borderId="109" xfId="0" applyNumberFormat="1" applyFont="1" applyFill="1" applyBorder="1" applyAlignment="1">
      <alignment horizontal="right" vertical="center"/>
    </xf>
    <xf numFmtId="3" fontId="56" fillId="61" borderId="109" xfId="0" applyNumberFormat="1" applyFont="1" applyFill="1" applyBorder="1" applyAlignment="1">
      <alignment horizontal="right" vertical="center"/>
    </xf>
    <xf numFmtId="3" fontId="56" fillId="0" borderId="109" xfId="0" applyNumberFormat="1" applyFont="1" applyFill="1" applyBorder="1" applyAlignment="1">
      <alignment vertical="top"/>
    </xf>
    <xf numFmtId="3" fontId="56" fillId="23" borderId="109" xfId="0" applyNumberFormat="1" applyFont="1" applyFill="1" applyBorder="1" applyAlignment="1">
      <alignment horizontal="right" vertical="center"/>
    </xf>
    <xf numFmtId="0" fontId="53" fillId="8" borderId="85" xfId="0" applyFont="1" applyFill="1" applyBorder="1" applyAlignment="1">
      <alignment horizontal="center" vertical="center" wrapText="1"/>
    </xf>
    <xf numFmtId="3" fontId="53" fillId="23" borderId="35" xfId="0" applyNumberFormat="1" applyFont="1" applyFill="1" applyBorder="1" applyAlignment="1">
      <alignment horizontal="right" vertical="center"/>
    </xf>
    <xf numFmtId="3" fontId="55" fillId="2" borderId="21" xfId="4" applyNumberFormat="1" applyFont="1" applyFill="1" applyBorder="1" applyAlignment="1">
      <alignment vertical="center" wrapText="1"/>
    </xf>
    <xf numFmtId="0" fontId="33" fillId="0" borderId="21" xfId="0" applyFont="1" applyBorder="1" applyAlignment="1">
      <alignment vertical="center" wrapText="1"/>
    </xf>
    <xf numFmtId="0" fontId="32" fillId="0" borderId="32" xfId="0" applyFont="1" applyBorder="1" applyAlignment="1">
      <alignment vertical="center" wrapText="1"/>
    </xf>
    <xf numFmtId="0" fontId="45" fillId="2" borderId="41" xfId="0" applyFont="1" applyFill="1" applyBorder="1" applyAlignment="1">
      <alignment vertical="center" wrapText="1"/>
    </xf>
    <xf numFmtId="0" fontId="32" fillId="0" borderId="25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3" fontId="56" fillId="0" borderId="12" xfId="0" applyNumberFormat="1" applyFont="1" applyFill="1" applyBorder="1" applyAlignment="1">
      <alignment vertical="center"/>
    </xf>
    <xf numFmtId="3" fontId="56" fillId="0" borderId="12" xfId="0" applyNumberFormat="1" applyFont="1" applyFill="1" applyBorder="1" applyAlignment="1">
      <alignment horizontal="right" vertical="center"/>
    </xf>
    <xf numFmtId="3" fontId="56" fillId="59" borderId="12" xfId="0" applyNumberFormat="1" applyFont="1" applyFill="1" applyBorder="1" applyAlignment="1">
      <alignment horizontal="right" vertical="center"/>
    </xf>
    <xf numFmtId="3" fontId="56" fillId="61" borderId="12" xfId="0" applyNumberFormat="1" applyFont="1" applyFill="1" applyBorder="1" applyAlignment="1">
      <alignment horizontal="right" vertical="center"/>
    </xf>
    <xf numFmtId="3" fontId="56" fillId="0" borderId="23" xfId="0" applyNumberFormat="1" applyFont="1" applyFill="1" applyBorder="1" applyAlignment="1">
      <alignment vertical="top"/>
    </xf>
    <xf numFmtId="3" fontId="56" fillId="0" borderId="74" xfId="0" applyNumberFormat="1" applyFont="1" applyFill="1" applyBorder="1" applyAlignment="1">
      <alignment vertical="center"/>
    </xf>
    <xf numFmtId="0" fontId="59" fillId="6" borderId="28" xfId="0" applyFont="1" applyFill="1" applyBorder="1" applyAlignment="1">
      <alignment vertical="center"/>
    </xf>
    <xf numFmtId="3" fontId="53" fillId="59" borderId="98" xfId="0" applyNumberFormat="1" applyFont="1" applyFill="1" applyBorder="1" applyAlignment="1">
      <alignment vertical="center"/>
    </xf>
    <xf numFmtId="3" fontId="53" fillId="61" borderId="98" xfId="0" applyNumberFormat="1" applyFont="1" applyFill="1" applyBorder="1" applyAlignment="1">
      <alignment vertical="center"/>
    </xf>
    <xf numFmtId="3" fontId="53" fillId="23" borderId="98" xfId="0" applyNumberFormat="1" applyFont="1" applyFill="1" applyBorder="1" applyAlignment="1">
      <alignment vertical="center"/>
    </xf>
    <xf numFmtId="3" fontId="59" fillId="2" borderId="9" xfId="0" applyNumberFormat="1" applyFont="1" applyFill="1" applyBorder="1" applyAlignment="1">
      <alignment vertical="top"/>
    </xf>
    <xf numFmtId="3" fontId="55" fillId="2" borderId="9" xfId="0" applyNumberFormat="1" applyFont="1" applyFill="1" applyBorder="1" applyAlignment="1">
      <alignment vertical="top"/>
    </xf>
    <xf numFmtId="3" fontId="32" fillId="24" borderId="109" xfId="0" applyNumberFormat="1" applyFont="1" applyFill="1" applyBorder="1" applyAlignment="1">
      <alignment horizontal="center" vertical="center"/>
    </xf>
    <xf numFmtId="3" fontId="53" fillId="23" borderId="2" xfId="0" applyNumberFormat="1" applyFont="1" applyFill="1" applyBorder="1" applyAlignment="1">
      <alignment vertical="top"/>
    </xf>
    <xf numFmtId="0" fontId="60" fillId="0" borderId="13" xfId="0" applyFont="1" applyBorder="1" applyAlignment="1">
      <alignment vertical="center"/>
    </xf>
    <xf numFmtId="3" fontId="59" fillId="0" borderId="35" xfId="0" applyNumberFormat="1" applyFont="1" applyFill="1" applyBorder="1" applyAlignment="1">
      <alignment vertical="top"/>
    </xf>
    <xf numFmtId="3" fontId="59" fillId="24" borderId="35" xfId="0" applyNumberFormat="1" applyFont="1" applyFill="1" applyBorder="1" applyAlignment="1">
      <alignment horizontal="center" vertical="top"/>
    </xf>
    <xf numFmtId="3" fontId="55" fillId="2" borderId="96" xfId="4" applyNumberFormat="1" applyFont="1" applyFill="1" applyBorder="1" applyAlignment="1">
      <alignment vertical="center" wrapText="1"/>
    </xf>
    <xf numFmtId="0" fontId="60" fillId="0" borderId="47" xfId="0" applyFont="1" applyBorder="1" applyAlignment="1">
      <alignment vertical="center"/>
    </xf>
    <xf numFmtId="0" fontId="60" fillId="0" borderId="115" xfId="0" applyFont="1" applyBorder="1"/>
    <xf numFmtId="0" fontId="32" fillId="0" borderId="77" xfId="4" applyFont="1" applyFill="1" applyBorder="1" applyAlignment="1">
      <alignment vertical="top" wrapText="1"/>
    </xf>
    <xf numFmtId="3" fontId="59" fillId="0" borderId="119" xfId="4" applyNumberFormat="1" applyFont="1" applyFill="1" applyBorder="1" applyAlignment="1">
      <alignment horizontal="right" vertical="center"/>
    </xf>
    <xf numFmtId="0" fontId="52" fillId="8" borderId="45" xfId="0" applyFont="1" applyFill="1" applyBorder="1" applyAlignment="1">
      <alignment vertical="center" wrapText="1"/>
    </xf>
    <xf numFmtId="0" fontId="62" fillId="59" borderId="51" xfId="0" applyFont="1" applyFill="1" applyBorder="1" applyAlignment="1">
      <alignment vertical="top"/>
    </xf>
    <xf numFmtId="0" fontId="62" fillId="61" borderId="51" xfId="0" applyFont="1" applyFill="1" applyBorder="1" applyAlignment="1">
      <alignment vertical="top"/>
    </xf>
    <xf numFmtId="3" fontId="55" fillId="22" borderId="47" xfId="4" applyNumberFormat="1" applyFont="1" applyFill="1" applyBorder="1" applyAlignment="1">
      <alignment horizontal="right" vertical="center"/>
    </xf>
    <xf numFmtId="3" fontId="55" fillId="59" borderId="30" xfId="0" applyNumberFormat="1" applyFont="1" applyFill="1" applyBorder="1" applyAlignment="1">
      <alignment vertical="center"/>
    </xf>
    <xf numFmtId="3" fontId="55" fillId="61" borderId="30" xfId="0" applyNumberFormat="1" applyFont="1" applyFill="1" applyBorder="1" applyAlignment="1">
      <alignment vertical="center"/>
    </xf>
    <xf numFmtId="3" fontId="55" fillId="24" borderId="30" xfId="0" applyNumberFormat="1" applyFont="1" applyFill="1" applyBorder="1" applyAlignment="1">
      <alignment vertical="center"/>
    </xf>
    <xf numFmtId="3" fontId="59" fillId="60" borderId="30" xfId="0" applyNumberFormat="1" applyFont="1" applyFill="1" applyBorder="1" applyAlignment="1">
      <alignment vertical="center"/>
    </xf>
    <xf numFmtId="3" fontId="59" fillId="62" borderId="30" xfId="0" applyNumberFormat="1" applyFont="1" applyFill="1" applyBorder="1" applyAlignment="1">
      <alignment vertical="center"/>
    </xf>
    <xf numFmtId="3" fontId="59" fillId="8" borderId="17" xfId="0" applyNumberFormat="1" applyFont="1" applyFill="1" applyBorder="1" applyAlignment="1">
      <alignment vertical="top"/>
    </xf>
    <xf numFmtId="0" fontId="59" fillId="59" borderId="70" xfId="0" applyFont="1" applyFill="1" applyBorder="1" applyAlignment="1">
      <alignment vertical="top"/>
    </xf>
    <xf numFmtId="0" fontId="59" fillId="61" borderId="70" xfId="0" applyFont="1" applyFill="1" applyBorder="1" applyAlignment="1">
      <alignment vertical="top"/>
    </xf>
    <xf numFmtId="0" fontId="59" fillId="8" borderId="2" xfId="0" applyFont="1" applyFill="1" applyBorder="1" applyAlignment="1">
      <alignment vertical="top"/>
    </xf>
    <xf numFmtId="3" fontId="53" fillId="6" borderId="29" xfId="0" applyNumberFormat="1" applyFont="1" applyFill="1" applyBorder="1" applyAlignment="1">
      <alignment vertical="center"/>
    </xf>
    <xf numFmtId="3" fontId="53" fillId="59" borderId="29" xfId="0" applyNumberFormat="1" applyFont="1" applyFill="1" applyBorder="1" applyAlignment="1">
      <alignment vertical="center"/>
    </xf>
    <xf numFmtId="3" fontId="53" fillId="61" borderId="29" xfId="0" applyNumberFormat="1" applyFont="1" applyFill="1" applyBorder="1" applyAlignment="1">
      <alignment vertical="center"/>
    </xf>
    <xf numFmtId="43" fontId="53" fillId="6" borderId="29" xfId="1" applyFont="1" applyFill="1" applyBorder="1" applyAlignment="1">
      <alignment vertical="center"/>
    </xf>
    <xf numFmtId="3" fontId="53" fillId="23" borderId="29" xfId="0" applyNumberFormat="1" applyFont="1" applyFill="1" applyBorder="1" applyAlignment="1">
      <alignment vertical="center"/>
    </xf>
    <xf numFmtId="3" fontId="55" fillId="0" borderId="29" xfId="0" applyNumberFormat="1" applyFont="1" applyFill="1" applyBorder="1" applyAlignment="1">
      <alignment vertical="center"/>
    </xf>
    <xf numFmtId="3" fontId="55" fillId="59" borderId="29" xfId="0" applyNumberFormat="1" applyFont="1" applyFill="1" applyBorder="1" applyAlignment="1">
      <alignment vertical="center"/>
    </xf>
    <xf numFmtId="3" fontId="55" fillId="61" borderId="29" xfId="0" applyNumberFormat="1" applyFont="1" applyFill="1" applyBorder="1" applyAlignment="1">
      <alignment vertical="center"/>
    </xf>
    <xf numFmtId="43" fontId="55" fillId="0" borderId="29" xfId="1" applyFont="1" applyFill="1" applyBorder="1" applyAlignment="1">
      <alignment vertical="center"/>
    </xf>
    <xf numFmtId="3" fontId="55" fillId="26" borderId="29" xfId="0" applyNumberFormat="1" applyFont="1" applyFill="1" applyBorder="1" applyAlignment="1">
      <alignment vertical="center"/>
    </xf>
    <xf numFmtId="0" fontId="59" fillId="0" borderId="77" xfId="0" applyFont="1" applyFill="1" applyBorder="1" applyAlignment="1">
      <alignment vertical="center"/>
    </xf>
    <xf numFmtId="3" fontId="59" fillId="59" borderId="47" xfId="0" applyNumberFormat="1" applyFont="1" applyFill="1" applyBorder="1" applyAlignment="1">
      <alignment vertical="center"/>
    </xf>
    <xf numFmtId="3" fontId="59" fillId="61" borderId="47" xfId="0" applyNumberFormat="1" applyFont="1" applyFill="1" applyBorder="1" applyAlignment="1">
      <alignment vertical="center"/>
    </xf>
    <xf numFmtId="43" fontId="59" fillId="0" borderId="47" xfId="1" applyFont="1" applyFill="1" applyBorder="1" applyAlignment="1">
      <alignment vertical="center"/>
    </xf>
    <xf numFmtId="43" fontId="59" fillId="0" borderId="72" xfId="1" applyFont="1" applyFill="1" applyBorder="1" applyAlignment="1">
      <alignment vertical="center"/>
    </xf>
    <xf numFmtId="0" fontId="46" fillId="8" borderId="43" xfId="4" applyFont="1" applyFill="1" applyBorder="1" applyAlignment="1">
      <alignment horizontal="center" vertical="top"/>
    </xf>
    <xf numFmtId="0" fontId="52" fillId="33" borderId="120" xfId="4" applyFont="1" applyFill="1" applyBorder="1" applyAlignment="1">
      <alignment horizontal="left" vertical="center"/>
    </xf>
    <xf numFmtId="0" fontId="53" fillId="33" borderId="112" xfId="4" applyFont="1" applyFill="1" applyBorder="1" applyAlignment="1">
      <alignment horizontal="left" vertical="center"/>
    </xf>
    <xf numFmtId="3" fontId="52" fillId="33" borderId="109" xfId="4" applyNumberFormat="1" applyFont="1" applyFill="1" applyBorder="1" applyAlignment="1"/>
    <xf numFmtId="3" fontId="32" fillId="8" borderId="111" xfId="4" applyNumberFormat="1" applyFont="1" applyFill="1" applyBorder="1" applyAlignment="1">
      <alignment vertical="top" wrapText="1"/>
    </xf>
    <xf numFmtId="3" fontId="59" fillId="8" borderId="109" xfId="112" applyNumberFormat="1" applyFont="1" applyFill="1" applyBorder="1" applyAlignment="1">
      <alignment vertical="top"/>
    </xf>
    <xf numFmtId="0" fontId="55" fillId="8" borderId="6" xfId="4" applyFont="1" applyFill="1" applyBorder="1" applyAlignment="1">
      <alignment vertical="top"/>
    </xf>
    <xf numFmtId="0" fontId="45" fillId="8" borderId="11" xfId="4" applyFont="1" applyFill="1" applyBorder="1" applyAlignment="1">
      <alignment vertical="center"/>
    </xf>
    <xf numFmtId="0" fontId="45" fillId="8" borderId="25" xfId="4" applyFont="1" applyFill="1" applyBorder="1" applyAlignment="1">
      <alignment vertical="center"/>
    </xf>
    <xf numFmtId="0" fontId="55" fillId="8" borderId="20" xfId="4" applyFont="1" applyFill="1" applyBorder="1" applyAlignment="1">
      <alignment vertical="center"/>
    </xf>
    <xf numFmtId="3" fontId="61" fillId="8" borderId="9" xfId="114" applyNumberFormat="1" applyFont="1" applyFill="1" applyBorder="1" applyAlignment="1">
      <alignment vertical="center"/>
    </xf>
    <xf numFmtId="0" fontId="59" fillId="8" borderId="111" xfId="4" applyFont="1" applyFill="1" applyBorder="1" applyAlignment="1">
      <alignment vertical="center"/>
    </xf>
    <xf numFmtId="0" fontId="55" fillId="8" borderId="111" xfId="4" applyFont="1" applyFill="1" applyBorder="1" applyAlignment="1">
      <alignment vertical="top"/>
    </xf>
    <xf numFmtId="0" fontId="59" fillId="8" borderId="12" xfId="4" applyFont="1" applyFill="1" applyBorder="1" applyAlignment="1">
      <alignment vertical="center"/>
    </xf>
    <xf numFmtId="0" fontId="46" fillId="8" borderId="43" xfId="4" applyFont="1" applyFill="1" applyBorder="1" applyAlignment="1">
      <alignment vertical="top"/>
    </xf>
    <xf numFmtId="0" fontId="46" fillId="8" borderId="41" xfId="4" applyFont="1" applyFill="1" applyBorder="1" applyAlignment="1">
      <alignment vertical="top"/>
    </xf>
    <xf numFmtId="0" fontId="32" fillId="8" borderId="111" xfId="4" applyFont="1" applyFill="1" applyBorder="1" applyAlignment="1">
      <alignment vertical="top" wrapText="1"/>
    </xf>
    <xf numFmtId="3" fontId="60" fillId="8" borderId="110" xfId="114" applyNumberFormat="1" applyFont="1" applyFill="1" applyBorder="1" applyAlignment="1">
      <alignment vertical="center"/>
    </xf>
    <xf numFmtId="3" fontId="3" fillId="0" borderId="109" xfId="0" applyNumberFormat="1" applyFont="1" applyFill="1" applyBorder="1" applyAlignment="1">
      <alignment vertical="center" wrapText="1"/>
    </xf>
    <xf numFmtId="3" fontId="3" fillId="0" borderId="110" xfId="0" applyNumberFormat="1" applyFont="1" applyFill="1" applyBorder="1" applyAlignment="1">
      <alignment vertical="center" wrapText="1"/>
    </xf>
    <xf numFmtId="0" fontId="59" fillId="8" borderId="32" xfId="4" applyFont="1" applyFill="1" applyBorder="1" applyAlignment="1">
      <alignment vertical="center"/>
    </xf>
    <xf numFmtId="3" fontId="32" fillId="8" borderId="109" xfId="112" applyNumberFormat="1" applyFont="1" applyFill="1" applyBorder="1" applyAlignment="1">
      <alignment vertical="top"/>
    </xf>
    <xf numFmtId="3" fontId="32" fillId="26" borderId="110" xfId="4" applyNumberFormat="1" applyFont="1" applyFill="1" applyBorder="1" applyAlignment="1">
      <alignment horizontal="right" vertical="center"/>
    </xf>
    <xf numFmtId="0" fontId="45" fillId="8" borderId="11" xfId="4" applyFont="1" applyFill="1" applyBorder="1" applyAlignment="1">
      <alignment horizontal="center" vertical="center"/>
    </xf>
    <xf numFmtId="0" fontId="55" fillId="8" borderId="111" xfId="4" applyFont="1" applyFill="1" applyBorder="1" applyAlignment="1">
      <alignment vertical="center"/>
    </xf>
    <xf numFmtId="3" fontId="59" fillId="8" borderId="109" xfId="112" applyNumberFormat="1" applyFont="1" applyFill="1" applyBorder="1" applyAlignment="1">
      <alignment vertical="center"/>
    </xf>
    <xf numFmtId="0" fontId="46" fillId="8" borderId="43" xfId="4" applyFont="1" applyFill="1" applyBorder="1" applyAlignment="1">
      <alignment vertical="center"/>
    </xf>
    <xf numFmtId="3" fontId="19" fillId="2" borderId="0" xfId="0" applyNumberFormat="1" applyFont="1" applyFill="1" applyBorder="1" applyAlignment="1">
      <alignment vertical="center"/>
    </xf>
    <xf numFmtId="3" fontId="46" fillId="0" borderId="0" xfId="112" applyNumberFormat="1" applyFont="1" applyAlignment="1">
      <alignment vertical="center"/>
    </xf>
    <xf numFmtId="3" fontId="14" fillId="12" borderId="0" xfId="0" applyNumberFormat="1" applyFont="1" applyFill="1" applyBorder="1" applyAlignment="1">
      <alignment horizontal="right" vertical="center"/>
    </xf>
    <xf numFmtId="3" fontId="34" fillId="12" borderId="0" xfId="0" applyNumberFormat="1" applyFont="1" applyFill="1" applyBorder="1" applyAlignment="1">
      <alignment vertical="center"/>
    </xf>
    <xf numFmtId="3" fontId="35" fillId="12" borderId="0" xfId="0" applyNumberFormat="1" applyFont="1" applyFill="1" applyBorder="1" applyAlignment="1">
      <alignment vertical="center"/>
    </xf>
    <xf numFmtId="3" fontId="34" fillId="12" borderId="27" xfId="0" applyNumberFormat="1" applyFont="1" applyFill="1" applyBorder="1" applyAlignment="1">
      <alignment vertical="center"/>
    </xf>
    <xf numFmtId="3" fontId="34" fillId="12" borderId="13" xfId="0" applyNumberFormat="1" applyFont="1" applyFill="1" applyBorder="1" applyAlignment="1">
      <alignment vertical="center"/>
    </xf>
    <xf numFmtId="3" fontId="34" fillId="12" borderId="11" xfId="0" applyNumberFormat="1" applyFont="1" applyFill="1" applyBorder="1" applyAlignment="1">
      <alignment vertical="center"/>
    </xf>
    <xf numFmtId="0" fontId="49" fillId="33" borderId="39" xfId="0" quotePrefix="1" applyFont="1" applyFill="1" applyBorder="1" applyAlignment="1">
      <alignment horizontal="center" vertical="top"/>
    </xf>
    <xf numFmtId="0" fontId="49" fillId="33" borderId="39" xfId="0" applyFont="1" applyFill="1" applyBorder="1" applyAlignment="1">
      <alignment horizontal="center" vertical="top"/>
    </xf>
    <xf numFmtId="0" fontId="117" fillId="0" borderId="125" xfId="5" applyFont="1" applyBorder="1" applyAlignment="1">
      <alignment horizontal="left" vertical="center" wrapText="1"/>
    </xf>
    <xf numFmtId="0" fontId="122" fillId="0" borderId="110" xfId="5" applyFont="1" applyBorder="1" applyAlignment="1">
      <alignment horizontal="left" vertical="center" wrapText="1"/>
    </xf>
    <xf numFmtId="3" fontId="52" fillId="8" borderId="27" xfId="4" applyNumberFormat="1" applyFont="1" applyFill="1" applyBorder="1" applyAlignment="1">
      <alignment horizontal="center" vertical="center" wrapText="1"/>
    </xf>
    <xf numFmtId="3" fontId="32" fillId="8" borderId="27" xfId="4" applyNumberFormat="1" applyFont="1" applyFill="1" applyBorder="1" applyAlignment="1">
      <alignment horizontal="right" vertical="center"/>
    </xf>
    <xf numFmtId="3" fontId="32" fillId="8" borderId="13" xfId="4" applyNumberFormat="1" applyFont="1" applyFill="1" applyBorder="1" applyAlignment="1">
      <alignment horizontal="right" vertical="center"/>
    </xf>
    <xf numFmtId="0" fontId="55" fillId="8" borderId="125" xfId="4" applyFont="1" applyFill="1" applyBorder="1" applyAlignment="1">
      <alignment horizontal="left" vertical="center"/>
    </xf>
    <xf numFmtId="3" fontId="55" fillId="8" borderId="124" xfId="4" applyNumberFormat="1" applyFont="1" applyFill="1" applyBorder="1" applyAlignment="1">
      <alignment vertical="top"/>
    </xf>
    <xf numFmtId="3" fontId="32" fillId="8" borderId="124" xfId="4" applyNumberFormat="1" applyFont="1" applyFill="1" applyBorder="1" applyAlignment="1">
      <alignment vertical="top"/>
    </xf>
    <xf numFmtId="0" fontId="32" fillId="8" borderId="125" xfId="4" applyFont="1" applyFill="1" applyBorder="1" applyAlignment="1">
      <alignment vertical="top"/>
    </xf>
    <xf numFmtId="0" fontId="32" fillId="8" borderId="125" xfId="4" applyFont="1" applyFill="1" applyBorder="1" applyAlignment="1">
      <alignment horizontal="left" vertical="center"/>
    </xf>
    <xf numFmtId="0" fontId="32" fillId="8" borderId="74" xfId="4" applyFont="1" applyFill="1" applyBorder="1" applyAlignment="1">
      <alignment vertical="top"/>
    </xf>
    <xf numFmtId="0" fontId="32" fillId="8" borderId="77" xfId="4" applyFont="1" applyFill="1" applyBorder="1" applyAlignment="1">
      <alignment vertical="top" wrapText="1"/>
    </xf>
    <xf numFmtId="0" fontId="59" fillId="8" borderId="72" xfId="4" applyFont="1" applyFill="1" applyBorder="1" applyAlignment="1">
      <alignment horizontal="left" vertical="center"/>
    </xf>
    <xf numFmtId="3" fontId="32" fillId="8" borderId="47" xfId="4" applyNumberFormat="1" applyFont="1" applyFill="1" applyBorder="1" applyAlignment="1">
      <alignment vertical="top"/>
    </xf>
    <xf numFmtId="3" fontId="53" fillId="8" borderId="125" xfId="4" applyNumberFormat="1" applyFont="1" applyFill="1" applyBorder="1" applyAlignment="1">
      <alignment horizontal="center" vertical="center"/>
    </xf>
    <xf numFmtId="3" fontId="32" fillId="8" borderId="125" xfId="4" applyNumberFormat="1" applyFont="1" applyFill="1" applyBorder="1" applyAlignment="1">
      <alignment horizontal="right" vertical="center"/>
    </xf>
    <xf numFmtId="3" fontId="32" fillId="8" borderId="124" xfId="4" applyNumberFormat="1" applyFont="1" applyFill="1" applyBorder="1" applyAlignment="1">
      <alignment horizontal="right" vertical="center"/>
    </xf>
    <xf numFmtId="3" fontId="32" fillId="24" borderId="124" xfId="4" applyNumberFormat="1" applyFont="1" applyFill="1" applyBorder="1" applyAlignment="1">
      <alignment horizontal="right" vertical="center"/>
    </xf>
    <xf numFmtId="3" fontId="53" fillId="6" borderId="125" xfId="4" applyNumberFormat="1" applyFont="1" applyFill="1" applyBorder="1" applyAlignment="1">
      <alignment vertical="center"/>
    </xf>
    <xf numFmtId="43" fontId="53" fillId="6" borderId="124" xfId="1" applyFont="1" applyFill="1" applyBorder="1" applyAlignment="1">
      <alignment vertical="center"/>
    </xf>
    <xf numFmtId="3" fontId="53" fillId="6" borderId="124" xfId="4" applyNumberFormat="1" applyFont="1" applyFill="1" applyBorder="1" applyAlignment="1">
      <alignment vertical="center"/>
    </xf>
    <xf numFmtId="3" fontId="52" fillId="6" borderId="124" xfId="4" applyNumberFormat="1" applyFont="1" applyFill="1" applyBorder="1" applyAlignment="1">
      <alignment vertical="center"/>
    </xf>
    <xf numFmtId="3" fontId="53" fillId="23" borderId="124" xfId="4" applyNumberFormat="1" applyFont="1" applyFill="1" applyBorder="1" applyAlignment="1">
      <alignment vertical="center"/>
    </xf>
    <xf numFmtId="3" fontId="57" fillId="0" borderId="124" xfId="4" applyNumberFormat="1" applyFont="1" applyFill="1" applyBorder="1" applyAlignment="1">
      <alignment horizontal="right" vertical="center"/>
    </xf>
    <xf numFmtId="43" fontId="57" fillId="0" borderId="124" xfId="1" applyFont="1" applyFill="1" applyBorder="1" applyAlignment="1">
      <alignment horizontal="right" vertical="center"/>
    </xf>
    <xf numFmtId="3" fontId="55" fillId="26" borderId="124" xfId="4" applyNumberFormat="1" applyFont="1" applyFill="1" applyBorder="1" applyAlignment="1">
      <alignment horizontal="right" vertical="center"/>
    </xf>
    <xf numFmtId="3" fontId="57" fillId="0" borderId="125" xfId="4" applyNumberFormat="1" applyFont="1" applyFill="1" applyBorder="1" applyAlignment="1">
      <alignment horizontal="right" vertical="center"/>
    </xf>
    <xf numFmtId="43" fontId="57" fillId="0" borderId="125" xfId="1" applyFont="1" applyFill="1" applyBorder="1" applyAlignment="1">
      <alignment horizontal="right" vertical="center"/>
    </xf>
    <xf numFmtId="3" fontId="32" fillId="0" borderId="124" xfId="4" applyNumberFormat="1" applyFont="1" applyFill="1" applyBorder="1" applyAlignment="1">
      <alignment horizontal="right" vertical="center"/>
    </xf>
    <xf numFmtId="0" fontId="59" fillId="0" borderId="0" xfId="0" applyFont="1" applyBorder="1" applyAlignment="1">
      <alignment vertical="center"/>
    </xf>
    <xf numFmtId="0" fontId="57" fillId="0" borderId="32" xfId="4" applyFont="1" applyFill="1" applyBorder="1" applyAlignment="1">
      <alignment vertical="center"/>
    </xf>
    <xf numFmtId="0" fontId="32" fillId="0" borderId="32" xfId="4" applyFont="1" applyFill="1" applyBorder="1" applyAlignment="1">
      <alignment vertical="center"/>
    </xf>
    <xf numFmtId="3" fontId="32" fillId="0" borderId="124" xfId="0" applyNumberFormat="1" applyFont="1" applyFill="1" applyBorder="1" applyAlignment="1">
      <alignment vertical="center"/>
    </xf>
    <xf numFmtId="43" fontId="32" fillId="0" borderId="125" xfId="1" applyFont="1" applyFill="1" applyBorder="1" applyAlignment="1">
      <alignment vertical="center"/>
    </xf>
    <xf numFmtId="43" fontId="32" fillId="0" borderId="124" xfId="1" applyFont="1" applyFill="1" applyBorder="1" applyAlignment="1">
      <alignment vertical="center"/>
    </xf>
    <xf numFmtId="3" fontId="32" fillId="0" borderId="124" xfId="4" applyNumberFormat="1" applyFont="1" applyFill="1" applyBorder="1" applyAlignment="1">
      <alignment vertical="center"/>
    </xf>
    <xf numFmtId="3" fontId="32" fillId="0" borderId="119" xfId="4" applyNumberFormat="1" applyFont="1" applyFill="1" applyBorder="1" applyAlignment="1">
      <alignment vertical="center"/>
    </xf>
    <xf numFmtId="3" fontId="32" fillId="26" borderId="124" xfId="4" applyNumberFormat="1" applyFont="1" applyFill="1" applyBorder="1" applyAlignment="1">
      <alignment vertical="center"/>
    </xf>
    <xf numFmtId="3" fontId="32" fillId="0" borderId="47" xfId="0" applyNumberFormat="1" applyFont="1" applyFill="1" applyBorder="1" applyAlignment="1">
      <alignment vertical="center"/>
    </xf>
    <xf numFmtId="43" fontId="32" fillId="0" borderId="72" xfId="1" applyFont="1" applyFill="1" applyBorder="1" applyAlignment="1">
      <alignment vertical="center"/>
    </xf>
    <xf numFmtId="3" fontId="32" fillId="0" borderId="75" xfId="4" applyNumberFormat="1" applyFont="1" applyFill="1" applyBorder="1" applyAlignment="1">
      <alignment vertical="center"/>
    </xf>
    <xf numFmtId="3" fontId="32" fillId="0" borderId="126" xfId="4" applyNumberFormat="1" applyFont="1" applyFill="1" applyBorder="1" applyAlignment="1">
      <alignment horizontal="right" vertical="center"/>
    </xf>
    <xf numFmtId="3" fontId="59" fillId="0" borderId="117" xfId="4" applyNumberFormat="1" applyFont="1" applyFill="1" applyBorder="1" applyAlignment="1">
      <alignment horizontal="right" vertical="center"/>
    </xf>
    <xf numFmtId="3" fontId="59" fillId="0" borderId="126" xfId="4" applyNumberFormat="1" applyFont="1" applyFill="1" applyBorder="1" applyAlignment="1">
      <alignment horizontal="right" vertical="center"/>
    </xf>
    <xf numFmtId="3" fontId="59" fillId="2" borderId="114" xfId="4" applyNumberFormat="1" applyFont="1" applyFill="1" applyBorder="1" applyAlignment="1">
      <alignment horizontal="right" vertical="center"/>
    </xf>
    <xf numFmtId="43" fontId="59" fillId="0" borderId="114" xfId="1" applyFont="1" applyFill="1" applyBorder="1" applyAlignment="1"/>
    <xf numFmtId="3" fontId="51" fillId="6" borderId="125" xfId="6" applyNumberFormat="1" applyFont="1" applyFill="1" applyBorder="1" applyAlignment="1">
      <alignment horizontal="right" vertical="center"/>
    </xf>
    <xf numFmtId="43" fontId="51" fillId="6" borderId="125" xfId="1" applyFont="1" applyFill="1" applyBorder="1" applyAlignment="1">
      <alignment horizontal="right" vertical="center"/>
    </xf>
    <xf numFmtId="3" fontId="55" fillId="2" borderId="9" xfId="4" applyNumberFormat="1" applyFont="1" applyFill="1" applyBorder="1" applyAlignment="1"/>
    <xf numFmtId="3" fontId="57" fillId="2" borderId="9" xfId="4" applyNumberFormat="1" applyFont="1" applyFill="1" applyBorder="1" applyAlignment="1"/>
    <xf numFmtId="3" fontId="59" fillId="2" borderId="124" xfId="4" applyNumberFormat="1" applyFont="1" applyFill="1" applyBorder="1" applyAlignment="1">
      <alignment horizontal="right" vertical="center"/>
    </xf>
    <xf numFmtId="3" fontId="59" fillId="2" borderId="125" xfId="4" applyNumberFormat="1" applyFont="1" applyFill="1" applyBorder="1" applyAlignment="1">
      <alignment horizontal="right" vertical="center"/>
    </xf>
    <xf numFmtId="3" fontId="59" fillId="0" borderId="124" xfId="4" applyNumberFormat="1" applyFont="1" applyFill="1" applyBorder="1" applyAlignment="1">
      <alignment horizontal="right" vertical="center"/>
    </xf>
    <xf numFmtId="3" fontId="123" fillId="8" borderId="0" xfId="0" applyNumberFormat="1" applyFont="1" applyFill="1" applyBorder="1"/>
    <xf numFmtId="3" fontId="123" fillId="8" borderId="11" xfId="0" applyNumberFormat="1" applyFont="1" applyFill="1" applyBorder="1"/>
    <xf numFmtId="3" fontId="32" fillId="13" borderId="125" xfId="4" applyNumberFormat="1" applyFont="1" applyFill="1" applyBorder="1" applyAlignment="1">
      <alignment horizontal="right" vertical="center"/>
    </xf>
    <xf numFmtId="3" fontId="59" fillId="0" borderId="124" xfId="4" applyNumberFormat="1" applyFont="1" applyFill="1" applyBorder="1" applyAlignment="1"/>
    <xf numFmtId="3" fontId="46" fillId="8" borderId="12" xfId="4" applyNumberFormat="1" applyFont="1" applyFill="1" applyBorder="1" applyAlignment="1">
      <alignment vertical="top" wrapText="1"/>
    </xf>
    <xf numFmtId="0" fontId="55" fillId="57" borderId="21" xfId="4" applyFont="1" applyFill="1" applyBorder="1" applyAlignment="1">
      <alignment horizontal="left" vertical="center"/>
    </xf>
    <xf numFmtId="3" fontId="32" fillId="8" borderId="43" xfId="4" applyNumberFormat="1" applyFont="1" applyFill="1" applyBorder="1" applyAlignment="1">
      <alignment vertical="top" wrapText="1"/>
    </xf>
    <xf numFmtId="3" fontId="60" fillId="0" borderId="0" xfId="0" applyNumberFormat="1" applyFont="1" applyAlignment="1"/>
    <xf numFmtId="0" fontId="60" fillId="0" borderId="0" xfId="0" applyFont="1"/>
    <xf numFmtId="3" fontId="55" fillId="57" borderId="6" xfId="4" applyNumberFormat="1" applyFont="1" applyFill="1" applyBorder="1" applyAlignment="1">
      <alignment horizontal="left" vertical="center"/>
    </xf>
    <xf numFmtId="0" fontId="56" fillId="57" borderId="20" xfId="0" quotePrefix="1" applyFont="1" applyFill="1" applyBorder="1" applyAlignment="1">
      <alignment horizontal="center" vertical="top"/>
    </xf>
    <xf numFmtId="3" fontId="55" fillId="57" borderId="9" xfId="0" quotePrefix="1" applyNumberFormat="1" applyFont="1" applyFill="1" applyBorder="1" applyAlignment="1">
      <alignment horizontal="right" vertical="top"/>
    </xf>
    <xf numFmtId="3" fontId="60" fillId="0" borderId="0" xfId="0" applyNumberFormat="1" applyFont="1"/>
    <xf numFmtId="3" fontId="32" fillId="8" borderId="43" xfId="4" applyNumberFormat="1" applyFont="1" applyFill="1" applyBorder="1" applyAlignment="1">
      <alignment horizontal="center" vertical="top"/>
    </xf>
    <xf numFmtId="3" fontId="57" fillId="8" borderId="30" xfId="4" applyNumberFormat="1" applyFont="1" applyFill="1" applyBorder="1" applyAlignment="1">
      <alignment horizontal="right" vertical="center"/>
    </xf>
    <xf numFmtId="3" fontId="119" fillId="0" borderId="0" xfId="0" applyNumberFormat="1" applyFont="1"/>
    <xf numFmtId="0" fontId="119" fillId="0" borderId="0" xfId="0" applyFont="1"/>
    <xf numFmtId="3" fontId="32" fillId="8" borderId="29" xfId="4" applyNumberFormat="1" applyFont="1" applyFill="1" applyBorder="1" applyAlignment="1">
      <alignment horizontal="right" vertical="center"/>
    </xf>
    <xf numFmtId="3" fontId="32" fillId="8" borderId="0" xfId="4" applyNumberFormat="1" applyFont="1" applyFill="1" applyBorder="1" applyAlignment="1">
      <alignment horizontal="right" vertical="center"/>
    </xf>
    <xf numFmtId="0" fontId="32" fillId="8" borderId="73" xfId="4" applyFont="1" applyFill="1" applyBorder="1" applyAlignment="1">
      <alignment vertical="center"/>
    </xf>
    <xf numFmtId="3" fontId="60" fillId="8" borderId="27" xfId="6" applyNumberFormat="1" applyFont="1" applyFill="1" applyBorder="1" applyAlignment="1">
      <alignment vertical="center"/>
    </xf>
    <xf numFmtId="0" fontId="52" fillId="8" borderId="36" xfId="4" applyFont="1" applyFill="1" applyBorder="1" applyAlignment="1">
      <alignment vertical="center" wrapText="1"/>
    </xf>
    <xf numFmtId="0" fontId="52" fillId="8" borderId="6" xfId="4" applyFont="1" applyFill="1" applyBorder="1" applyAlignment="1">
      <alignment horizontal="center" vertical="top" wrapText="1"/>
    </xf>
    <xf numFmtId="0" fontId="32" fillId="0" borderId="99" xfId="4" applyFont="1" applyFill="1" applyBorder="1" applyAlignment="1">
      <alignment vertical="top"/>
    </xf>
    <xf numFmtId="0" fontId="60" fillId="0" borderId="0" xfId="0" applyFont="1" applyAlignment="1"/>
    <xf numFmtId="0" fontId="60" fillId="0" borderId="3" xfId="0" applyFont="1" applyFill="1" applyBorder="1"/>
    <xf numFmtId="0" fontId="52" fillId="8" borderId="45" xfId="0" applyFont="1" applyFill="1" applyBorder="1" applyAlignment="1">
      <alignment horizontal="left" vertical="center" wrapText="1"/>
    </xf>
    <xf numFmtId="0" fontId="32" fillId="0" borderId="77" xfId="4" applyFont="1" applyFill="1" applyBorder="1" applyAlignment="1">
      <alignment horizontal="left" vertical="center"/>
    </xf>
    <xf numFmtId="3" fontId="59" fillId="0" borderId="24" xfId="4" applyNumberFormat="1" applyFont="1" applyFill="1" applyBorder="1" applyAlignment="1">
      <alignment horizontal="right" vertical="center"/>
    </xf>
    <xf numFmtId="3" fontId="59" fillId="26" borderId="74" xfId="4" applyNumberFormat="1" applyFont="1" applyFill="1" applyBorder="1" applyAlignment="1">
      <alignment horizontal="right" vertical="center"/>
    </xf>
    <xf numFmtId="0" fontId="32" fillId="0" borderId="32" xfId="4" applyFont="1" applyFill="1" applyBorder="1" applyAlignment="1">
      <alignment horizontal="left" vertical="center"/>
    </xf>
    <xf numFmtId="0" fontId="32" fillId="0" borderId="21" xfId="4" applyFont="1" applyFill="1" applyBorder="1" applyAlignment="1">
      <alignment horizontal="left" vertical="center"/>
    </xf>
    <xf numFmtId="0" fontId="32" fillId="0" borderId="113" xfId="4" applyFont="1" applyFill="1" applyBorder="1" applyAlignment="1">
      <alignment horizontal="left" vertical="center"/>
    </xf>
    <xf numFmtId="0" fontId="59" fillId="0" borderId="77" xfId="4" applyFont="1" applyFill="1" applyBorder="1" applyAlignment="1">
      <alignment horizontal="left" vertical="center"/>
    </xf>
    <xf numFmtId="0" fontId="59" fillId="0" borderId="32" xfId="4" applyFont="1" applyFill="1" applyBorder="1" applyAlignment="1">
      <alignment horizontal="left" vertical="center"/>
    </xf>
    <xf numFmtId="0" fontId="51" fillId="0" borderId="73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3" fontId="118" fillId="0" borderId="109" xfId="5" applyNumberFormat="1" applyFont="1" applyBorder="1" applyAlignment="1">
      <alignment horizontal="center" vertical="center"/>
    </xf>
    <xf numFmtId="0" fontId="124" fillId="0" borderId="109" xfId="0" applyFont="1" applyBorder="1" applyAlignment="1">
      <alignment horizontal="center" vertical="center"/>
    </xf>
    <xf numFmtId="3" fontId="125" fillId="0" borderId="109" xfId="5" applyNumberFormat="1" applyFont="1" applyBorder="1" applyAlignment="1">
      <alignment horizontal="center" vertical="center"/>
    </xf>
    <xf numFmtId="3" fontId="125" fillId="0" borderId="109" xfId="5" applyNumberFormat="1" applyFont="1" applyBorder="1" applyAlignment="1">
      <alignment vertical="center"/>
    </xf>
    <xf numFmtId="3" fontId="125" fillId="0" borderId="124" xfId="5" applyNumberFormat="1" applyFont="1" applyBorder="1" applyAlignment="1">
      <alignment vertical="center"/>
    </xf>
    <xf numFmtId="3" fontId="125" fillId="0" borderId="124" xfId="5" applyNumberFormat="1" applyFont="1" applyBorder="1" applyAlignment="1">
      <alignment horizontal="center" vertical="center"/>
    </xf>
    <xf numFmtId="3" fontId="118" fillId="20" borderId="109" xfId="5" applyNumberFormat="1" applyFont="1" applyFill="1" applyBorder="1"/>
    <xf numFmtId="0" fontId="53" fillId="6" borderId="111" xfId="4" applyFont="1" applyFill="1" applyBorder="1" applyAlignment="1">
      <alignment horizontal="left" vertical="center"/>
    </xf>
    <xf numFmtId="3" fontId="53" fillId="6" borderId="125" xfId="4" applyNumberFormat="1" applyFont="1" applyFill="1" applyBorder="1" applyAlignment="1">
      <alignment horizontal="right" vertical="center"/>
    </xf>
    <xf numFmtId="3" fontId="53" fillId="23" borderId="124" xfId="4" applyNumberFormat="1" applyFont="1" applyFill="1" applyBorder="1" applyAlignment="1">
      <alignment horizontal="right" vertical="center"/>
    </xf>
    <xf numFmtId="3" fontId="55" fillId="0" borderId="114" xfId="4" applyNumberFormat="1" applyFont="1" applyFill="1" applyBorder="1" applyAlignment="1">
      <alignment horizontal="right" vertical="center"/>
    </xf>
    <xf numFmtId="3" fontId="55" fillId="26" borderId="125" xfId="4" applyNumberFormat="1" applyFont="1" applyFill="1" applyBorder="1" applyAlignment="1">
      <alignment horizontal="right" vertical="center"/>
    </xf>
    <xf numFmtId="3" fontId="32" fillId="0" borderId="125" xfId="4" applyNumberFormat="1" applyFont="1" applyFill="1" applyBorder="1" applyAlignment="1">
      <alignment horizontal="right" vertical="center"/>
    </xf>
    <xf numFmtId="3" fontId="59" fillId="0" borderId="125" xfId="4" applyNumberFormat="1" applyFont="1" applyFill="1" applyBorder="1" applyAlignment="1"/>
    <xf numFmtId="3" fontId="59" fillId="0" borderId="125" xfId="4" applyNumberFormat="1" applyFont="1" applyFill="1" applyBorder="1" applyAlignment="1">
      <alignment horizontal="right" vertical="center"/>
    </xf>
    <xf numFmtId="3" fontId="59" fillId="26" borderId="125" xfId="4" applyNumberFormat="1" applyFont="1" applyFill="1" applyBorder="1" applyAlignment="1">
      <alignment horizontal="right" vertical="center"/>
    </xf>
    <xf numFmtId="3" fontId="61" fillId="0" borderId="125" xfId="6" applyNumberFormat="1" applyFont="1" applyFill="1" applyBorder="1" applyAlignment="1">
      <alignment vertical="center"/>
    </xf>
    <xf numFmtId="3" fontId="61" fillId="0" borderId="124" xfId="6" applyNumberFormat="1" applyFont="1" applyFill="1" applyBorder="1" applyAlignment="1">
      <alignment vertical="center"/>
    </xf>
    <xf numFmtId="3" fontId="60" fillId="0" borderId="124" xfId="6" applyNumberFormat="1" applyFont="1" applyFill="1" applyBorder="1" applyAlignment="1">
      <alignment vertical="center"/>
    </xf>
    <xf numFmtId="3" fontId="55" fillId="2" borderId="125" xfId="4" applyNumberFormat="1" applyFont="1" applyFill="1" applyBorder="1" applyAlignment="1"/>
    <xf numFmtId="3" fontId="55" fillId="2" borderId="124" xfId="4" applyNumberFormat="1" applyFont="1" applyFill="1" applyBorder="1" applyAlignment="1"/>
    <xf numFmtId="3" fontId="55" fillId="0" borderId="125" xfId="4" applyNumberFormat="1" applyFont="1" applyFill="1" applyBorder="1" applyAlignment="1">
      <alignment horizontal="right" vertical="center"/>
    </xf>
    <xf numFmtId="3" fontId="52" fillId="6" borderId="125" xfId="4" applyNumberFormat="1" applyFont="1" applyFill="1" applyBorder="1" applyAlignment="1"/>
    <xf numFmtId="3" fontId="57" fillId="2" borderId="125" xfId="4" applyNumberFormat="1" applyFont="1" applyFill="1" applyBorder="1" applyAlignment="1"/>
    <xf numFmtId="3" fontId="52" fillId="6" borderId="115" xfId="4" applyNumberFormat="1" applyFont="1" applyFill="1" applyBorder="1" applyAlignment="1">
      <alignment horizontal="right" vertical="center"/>
    </xf>
    <xf numFmtId="3" fontId="52" fillId="6" borderId="124" xfId="4" applyNumberFormat="1" applyFont="1" applyFill="1" applyBorder="1" applyAlignment="1">
      <alignment horizontal="right" vertical="center"/>
    </xf>
    <xf numFmtId="43" fontId="52" fillId="6" borderId="124" xfId="1" applyFont="1" applyFill="1" applyBorder="1" applyAlignment="1">
      <alignment horizontal="right" vertical="center"/>
    </xf>
    <xf numFmtId="3" fontId="55" fillId="0" borderId="124" xfId="4" applyNumberFormat="1" applyFont="1" applyFill="1" applyBorder="1" applyAlignment="1">
      <alignment horizontal="right" vertical="center"/>
    </xf>
    <xf numFmtId="43" fontId="55" fillId="0" borderId="124" xfId="1" applyFont="1" applyFill="1" applyBorder="1" applyAlignment="1">
      <alignment horizontal="right" vertical="center"/>
    </xf>
    <xf numFmtId="43" fontId="32" fillId="0" borderId="125" xfId="1" applyFont="1" applyFill="1" applyBorder="1" applyAlignment="1">
      <alignment horizontal="right" vertical="center"/>
    </xf>
    <xf numFmtId="3" fontId="60" fillId="0" borderId="125" xfId="6" applyNumberFormat="1" applyFont="1" applyFill="1" applyBorder="1" applyAlignment="1">
      <alignment vertical="center"/>
    </xf>
    <xf numFmtId="43" fontId="32" fillId="0" borderId="126" xfId="1" applyFont="1" applyFill="1" applyBorder="1" applyAlignment="1">
      <alignment horizontal="right" vertical="center"/>
    </xf>
    <xf numFmtId="43" fontId="61" fillId="0" borderId="124" xfId="1" applyFont="1" applyFill="1" applyBorder="1" applyAlignment="1">
      <alignment vertical="center"/>
    </xf>
    <xf numFmtId="3" fontId="55" fillId="2" borderId="120" xfId="4" applyNumberFormat="1" applyFont="1" applyFill="1" applyBorder="1" applyAlignment="1">
      <alignment vertical="center" wrapText="1"/>
    </xf>
    <xf numFmtId="43" fontId="60" fillId="0" borderId="124" xfId="1" applyFont="1" applyFill="1" applyBorder="1" applyAlignment="1">
      <alignment vertical="center"/>
    </xf>
    <xf numFmtId="3" fontId="52" fillId="23" borderId="124" xfId="4" applyNumberFormat="1" applyFont="1" applyFill="1" applyBorder="1" applyAlignment="1">
      <alignment horizontal="right" vertical="center"/>
    </xf>
    <xf numFmtId="3" fontId="57" fillId="13" borderId="125" xfId="4" applyNumberFormat="1" applyFont="1" applyFill="1" applyBorder="1" applyAlignment="1">
      <alignment horizontal="right" vertical="center"/>
    </xf>
    <xf numFmtId="0" fontId="57" fillId="13" borderId="120" xfId="4" applyFont="1" applyFill="1" applyBorder="1" applyAlignment="1">
      <alignment vertical="top"/>
    </xf>
    <xf numFmtId="0" fontId="57" fillId="13" borderId="111" xfId="4" applyFont="1" applyFill="1" applyBorder="1" applyAlignment="1">
      <alignment vertical="top"/>
    </xf>
    <xf numFmtId="3" fontId="55" fillId="13" borderId="125" xfId="4" applyNumberFormat="1" applyFont="1" applyFill="1" applyBorder="1" applyAlignment="1">
      <alignment horizontal="right" vertical="center"/>
    </xf>
    <xf numFmtId="3" fontId="61" fillId="0" borderId="125" xfId="6" applyNumberFormat="1" applyFont="1" applyFill="1" applyBorder="1" applyAlignment="1">
      <alignment horizontal="right" vertical="center"/>
    </xf>
    <xf numFmtId="3" fontId="52" fillId="23" borderId="125" xfId="4" applyNumberFormat="1" applyFont="1" applyFill="1" applyBorder="1" applyAlignment="1">
      <alignment horizontal="right" vertical="center"/>
    </xf>
    <xf numFmtId="43" fontId="61" fillId="0" borderId="125" xfId="1" applyFont="1" applyFill="1" applyBorder="1" applyAlignment="1">
      <alignment horizontal="right" vertical="center"/>
    </xf>
    <xf numFmtId="3" fontId="57" fillId="26" borderId="125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45" fillId="0" borderId="25" xfId="4" applyFont="1" applyFill="1" applyBorder="1" applyAlignment="1">
      <alignment vertical="center"/>
    </xf>
    <xf numFmtId="0" fontId="60" fillId="0" borderId="22" xfId="0" applyFont="1" applyBorder="1" applyAlignment="1">
      <alignment vertical="center" wrapText="1"/>
    </xf>
    <xf numFmtId="3" fontId="53" fillId="0" borderId="124" xfId="4" applyNumberFormat="1" applyFont="1" applyFill="1" applyBorder="1" applyAlignment="1">
      <alignment horizontal="right" vertical="center"/>
    </xf>
    <xf numFmtId="3" fontId="0" fillId="0" borderId="0" xfId="0" applyNumberFormat="1" applyFont="1" applyAlignment="1">
      <alignment vertical="center"/>
    </xf>
    <xf numFmtId="0" fontId="45" fillId="8" borderId="6" xfId="4" applyFont="1" applyFill="1" applyBorder="1" applyAlignment="1">
      <alignment vertical="center"/>
    </xf>
    <xf numFmtId="0" fontId="45" fillId="8" borderId="22" xfId="4" applyFont="1" applyFill="1" applyBorder="1" applyAlignment="1">
      <alignment vertical="top"/>
    </xf>
    <xf numFmtId="3" fontId="53" fillId="6" borderId="125" xfId="0" applyNumberFormat="1" applyFont="1" applyFill="1" applyBorder="1" applyAlignment="1">
      <alignment vertical="center"/>
    </xf>
    <xf numFmtId="3" fontId="53" fillId="23" borderId="124" xfId="0" applyNumberFormat="1" applyFont="1" applyFill="1" applyBorder="1" applyAlignment="1">
      <alignment vertical="center"/>
    </xf>
    <xf numFmtId="3" fontId="55" fillId="33" borderId="125" xfId="0" applyNumberFormat="1" applyFont="1" applyFill="1" applyBorder="1" applyAlignment="1">
      <alignment vertical="center"/>
    </xf>
    <xf numFmtId="43" fontId="55" fillId="26" borderId="124" xfId="1" applyFont="1" applyFill="1" applyBorder="1" applyAlignment="1">
      <alignment vertical="center"/>
    </xf>
    <xf numFmtId="3" fontId="59" fillId="0" borderId="125" xfId="0" applyNumberFormat="1" applyFont="1" applyFill="1" applyBorder="1" applyAlignment="1">
      <alignment vertical="center"/>
    </xf>
    <xf numFmtId="3" fontId="59" fillId="33" borderId="125" xfId="0" applyNumberFormat="1" applyFont="1" applyFill="1" applyBorder="1" applyAlignment="1">
      <alignment vertical="top"/>
    </xf>
    <xf numFmtId="3" fontId="59" fillId="0" borderId="125" xfId="0" applyNumberFormat="1" applyFont="1" applyFill="1" applyBorder="1" applyAlignment="1">
      <alignment vertical="top"/>
    </xf>
    <xf numFmtId="43" fontId="59" fillId="26" borderId="124" xfId="1" applyFont="1" applyFill="1" applyBorder="1" applyAlignment="1">
      <alignment vertical="top"/>
    </xf>
    <xf numFmtId="3" fontId="56" fillId="57" borderId="125" xfId="0" applyNumberFormat="1" applyFont="1" applyFill="1" applyBorder="1" applyAlignment="1">
      <alignment vertical="top"/>
    </xf>
    <xf numFmtId="3" fontId="59" fillId="57" borderId="125" xfId="0" applyNumberFormat="1" applyFont="1" applyFill="1" applyBorder="1" applyAlignment="1">
      <alignment vertical="top"/>
    </xf>
    <xf numFmtId="43" fontId="56" fillId="26" borderId="124" xfId="1" applyFont="1" applyFill="1" applyBorder="1" applyAlignment="1">
      <alignment vertical="center"/>
    </xf>
    <xf numFmtId="3" fontId="55" fillId="0" borderId="125" xfId="0" applyNumberFormat="1" applyFont="1" applyFill="1" applyBorder="1" applyAlignment="1">
      <alignment vertical="top"/>
    </xf>
    <xf numFmtId="3" fontId="55" fillId="59" borderId="125" xfId="0" applyNumberFormat="1" applyFont="1" applyFill="1" applyBorder="1" applyAlignment="1">
      <alignment vertical="top"/>
    </xf>
    <xf numFmtId="3" fontId="55" fillId="61" borderId="125" xfId="0" applyNumberFormat="1" applyFont="1" applyFill="1" applyBorder="1" applyAlignment="1">
      <alignment vertical="top"/>
    </xf>
    <xf numFmtId="3" fontId="55" fillId="0" borderId="124" xfId="0" applyNumberFormat="1" applyFont="1" applyFill="1" applyBorder="1" applyAlignment="1">
      <alignment vertical="top"/>
    </xf>
    <xf numFmtId="3" fontId="55" fillId="26" borderId="124" xfId="0" applyNumberFormat="1" applyFont="1" applyFill="1" applyBorder="1" applyAlignment="1">
      <alignment vertical="top"/>
    </xf>
    <xf numFmtId="3" fontId="59" fillId="0" borderId="124" xfId="0" applyNumberFormat="1" applyFont="1" applyFill="1" applyBorder="1" applyAlignment="1">
      <alignment vertical="top"/>
    </xf>
    <xf numFmtId="3" fontId="32" fillId="24" borderId="124" xfId="0" applyNumberFormat="1" applyFont="1" applyFill="1" applyBorder="1" applyAlignment="1">
      <alignment vertical="center"/>
    </xf>
    <xf numFmtId="3" fontId="59" fillId="59" borderId="125" xfId="0" applyNumberFormat="1" applyFont="1" applyFill="1" applyBorder="1" applyAlignment="1">
      <alignment horizontal="right" vertical="center"/>
    </xf>
    <xf numFmtId="3" fontId="59" fillId="61" borderId="125" xfId="0" applyNumberFormat="1" applyFont="1" applyFill="1" applyBorder="1" applyAlignment="1">
      <alignment vertical="top"/>
    </xf>
    <xf numFmtId="3" fontId="59" fillId="0" borderId="125" xfId="0" applyNumberFormat="1" applyFont="1" applyFill="1" applyBorder="1" applyAlignment="1">
      <alignment horizontal="right" vertical="center"/>
    </xf>
    <xf numFmtId="3" fontId="56" fillId="64" borderId="125" xfId="0" applyNumberFormat="1" applyFont="1" applyFill="1" applyBorder="1" applyAlignment="1">
      <alignment vertical="top"/>
    </xf>
    <xf numFmtId="3" fontId="56" fillId="58" borderId="125" xfId="0" applyNumberFormat="1" applyFont="1" applyFill="1" applyBorder="1" applyAlignment="1">
      <alignment vertical="center"/>
    </xf>
    <xf numFmtId="3" fontId="56" fillId="65" borderId="125" xfId="0" applyNumberFormat="1" applyFont="1" applyFill="1" applyBorder="1" applyAlignment="1">
      <alignment vertical="center"/>
    </xf>
    <xf numFmtId="3" fontId="56" fillId="65" borderId="125" xfId="0" applyNumberFormat="1" applyFont="1" applyFill="1" applyBorder="1" applyAlignment="1">
      <alignment vertical="top"/>
    </xf>
    <xf numFmtId="3" fontId="55" fillId="0" borderId="125" xfId="0" applyNumberFormat="1" applyFont="1" applyFill="1" applyBorder="1" applyAlignment="1">
      <alignment vertical="center"/>
    </xf>
    <xf numFmtId="3" fontId="55" fillId="59" borderId="125" xfId="0" applyNumberFormat="1" applyFont="1" applyFill="1" applyBorder="1" applyAlignment="1">
      <alignment vertical="center"/>
    </xf>
    <xf numFmtId="3" fontId="55" fillId="61" borderId="125" xfId="0" applyNumberFormat="1" applyFont="1" applyFill="1" applyBorder="1" applyAlignment="1">
      <alignment vertical="center"/>
    </xf>
    <xf numFmtId="3" fontId="55" fillId="0" borderId="124" xfId="0" applyNumberFormat="1" applyFont="1" applyFill="1" applyBorder="1" applyAlignment="1">
      <alignment vertical="center"/>
    </xf>
    <xf numFmtId="0" fontId="45" fillId="0" borderId="52" xfId="4" applyFont="1" applyFill="1" applyBorder="1" applyAlignment="1">
      <alignment horizontal="center" vertical="center"/>
    </xf>
    <xf numFmtId="3" fontId="55" fillId="2" borderId="38" xfId="4" applyNumberFormat="1" applyFont="1" applyFill="1" applyBorder="1" applyAlignment="1">
      <alignment horizontal="center" vertical="center" wrapText="1"/>
    </xf>
    <xf numFmtId="3" fontId="56" fillId="0" borderId="50" xfId="4" applyNumberFormat="1" applyFont="1" applyFill="1" applyBorder="1" applyAlignment="1"/>
    <xf numFmtId="3" fontId="56" fillId="2" borderId="50" xfId="4" applyNumberFormat="1" applyFont="1" applyFill="1" applyBorder="1" applyAlignment="1"/>
    <xf numFmtId="3" fontId="56" fillId="2" borderId="39" xfId="4" applyNumberFormat="1" applyFont="1" applyFill="1" applyBorder="1" applyAlignment="1"/>
    <xf numFmtId="3" fontId="68" fillId="0" borderId="78" xfId="4" applyNumberFormat="1" applyFont="1" applyFill="1" applyBorder="1" applyAlignment="1">
      <alignment horizontal="right" vertical="center"/>
    </xf>
    <xf numFmtId="3" fontId="56" fillId="2" borderId="78" xfId="4" applyNumberFormat="1" applyFont="1" applyFill="1" applyBorder="1" applyAlignment="1"/>
    <xf numFmtId="3" fontId="55" fillId="27" borderId="78" xfId="4" applyNumberFormat="1" applyFont="1" applyFill="1" applyBorder="1" applyAlignment="1">
      <alignment horizontal="center" vertical="center"/>
    </xf>
    <xf numFmtId="0" fontId="71" fillId="0" borderId="40" xfId="0" applyFont="1" applyBorder="1" applyAlignment="1">
      <alignment horizontal="center" vertical="center" wrapText="1"/>
    </xf>
    <xf numFmtId="0" fontId="46" fillId="0" borderId="46" xfId="4" applyFont="1" applyFill="1" applyBorder="1" applyAlignment="1">
      <alignment vertical="center" wrapText="1"/>
    </xf>
    <xf numFmtId="0" fontId="59" fillId="0" borderId="69" xfId="4" applyFont="1" applyFill="1" applyBorder="1" applyAlignment="1">
      <alignment vertical="top"/>
    </xf>
    <xf numFmtId="3" fontId="59" fillId="0" borderId="23" xfId="4" applyNumberFormat="1" applyFont="1" applyFill="1" applyBorder="1" applyAlignment="1"/>
    <xf numFmtId="3" fontId="59" fillId="0" borderId="12" xfId="4" applyNumberFormat="1" applyFont="1" applyFill="1" applyBorder="1" applyAlignment="1">
      <alignment horizontal="right" vertical="center"/>
    </xf>
    <xf numFmtId="3" fontId="59" fillId="26" borderId="23" xfId="4" applyNumberFormat="1" applyFont="1" applyFill="1" applyBorder="1" applyAlignment="1">
      <alignment horizontal="right" vertical="center"/>
    </xf>
    <xf numFmtId="0" fontId="46" fillId="0" borderId="41" xfId="4" applyFont="1" applyFill="1" applyBorder="1" applyAlignment="1">
      <alignment vertical="center" wrapText="1"/>
    </xf>
    <xf numFmtId="0" fontId="55" fillId="2" borderId="25" xfId="4" applyFont="1" applyFill="1" applyBorder="1" applyAlignment="1">
      <alignment vertical="top"/>
    </xf>
    <xf numFmtId="3" fontId="61" fillId="0" borderId="23" xfId="6" applyNumberFormat="1" applyFont="1" applyFill="1" applyBorder="1" applyAlignment="1">
      <alignment vertical="center"/>
    </xf>
    <xf numFmtId="3" fontId="55" fillId="26" borderId="23" xfId="4" applyNumberFormat="1" applyFont="1" applyFill="1" applyBorder="1" applyAlignment="1">
      <alignment horizontal="right" vertical="center"/>
    </xf>
    <xf numFmtId="0" fontId="48" fillId="0" borderId="12" xfId="4" applyFont="1" applyBorder="1" applyAlignment="1">
      <alignment horizontal="center" vertical="center" wrapText="1"/>
    </xf>
    <xf numFmtId="0" fontId="45" fillId="2" borderId="43" xfId="0" applyFont="1" applyFill="1" applyBorder="1" applyAlignment="1">
      <alignment horizontal="center" vertical="center" wrapText="1"/>
    </xf>
    <xf numFmtId="3" fontId="53" fillId="6" borderId="124" xfId="4" applyNumberFormat="1" applyFont="1" applyFill="1" applyBorder="1" applyAlignment="1">
      <alignment horizontal="right" vertical="center"/>
    </xf>
    <xf numFmtId="43" fontId="53" fillId="6" borderId="124" xfId="1" applyFont="1" applyFill="1" applyBorder="1" applyAlignment="1">
      <alignment horizontal="right" vertical="center"/>
    </xf>
    <xf numFmtId="43" fontId="55" fillId="0" borderId="125" xfId="1" applyFont="1" applyFill="1" applyBorder="1" applyAlignment="1">
      <alignment horizontal="right" vertical="center"/>
    </xf>
    <xf numFmtId="43" fontId="59" fillId="0" borderId="125" xfId="1" applyFont="1" applyFill="1" applyBorder="1" applyAlignment="1"/>
    <xf numFmtId="43" fontId="32" fillId="0" borderId="124" xfId="1" applyFont="1" applyFill="1" applyBorder="1" applyAlignment="1">
      <alignment horizontal="right" vertical="center"/>
    </xf>
    <xf numFmtId="3" fontId="59" fillId="0" borderId="125" xfId="4" applyNumberFormat="1" applyFont="1" applyFill="1" applyBorder="1" applyAlignment="1">
      <alignment vertical="center"/>
    </xf>
    <xf numFmtId="3" fontId="59" fillId="0" borderId="114" xfId="4" applyNumberFormat="1" applyFont="1" applyFill="1" applyBorder="1" applyAlignment="1">
      <alignment vertical="center"/>
    </xf>
    <xf numFmtId="0" fontId="52" fillId="8" borderId="19" xfId="0" applyFont="1" applyFill="1" applyBorder="1" applyAlignment="1">
      <alignment horizontal="left" vertical="center" wrapText="1"/>
    </xf>
    <xf numFmtId="3" fontId="52" fillId="8" borderId="3" xfId="0" applyNumberFormat="1" applyFont="1" applyFill="1" applyBorder="1" applyAlignment="1">
      <alignment vertical="center"/>
    </xf>
    <xf numFmtId="3" fontId="59" fillId="0" borderId="30" xfId="0" applyNumberFormat="1" applyFont="1" applyFill="1" applyBorder="1" applyAlignment="1">
      <alignment horizontal="right" vertical="center"/>
    </xf>
    <xf numFmtId="3" fontId="59" fillId="0" borderId="29" xfId="0" applyNumberFormat="1" applyFont="1" applyFill="1" applyBorder="1" applyAlignment="1">
      <alignment horizontal="right" vertical="center"/>
    </xf>
    <xf numFmtId="3" fontId="32" fillId="0" borderId="30" xfId="0" applyNumberFormat="1" applyFont="1" applyFill="1" applyBorder="1" applyAlignment="1">
      <alignment horizontal="right" vertical="center"/>
    </xf>
    <xf numFmtId="0" fontId="61" fillId="0" borderId="6" xfId="0" applyFont="1" applyBorder="1" applyAlignment="1">
      <alignment horizontal="center" vertical="center"/>
    </xf>
    <xf numFmtId="3" fontId="59" fillId="0" borderId="9" xfId="0" applyNumberFormat="1" applyFont="1" applyFill="1" applyBorder="1" applyAlignment="1">
      <alignment horizontal="right" vertical="center"/>
    </xf>
    <xf numFmtId="3" fontId="32" fillId="0" borderId="29" xfId="0" applyNumberFormat="1" applyFont="1" applyFill="1" applyBorder="1" applyAlignment="1">
      <alignment horizontal="right" vertical="center"/>
    </xf>
    <xf numFmtId="3" fontId="59" fillId="2" borderId="65" xfId="4" applyNumberFormat="1" applyFont="1" applyFill="1" applyBorder="1" applyAlignment="1"/>
    <xf numFmtId="3" fontId="32" fillId="2" borderId="30" xfId="4" applyNumberFormat="1" applyFont="1" applyFill="1" applyBorder="1" applyAlignment="1"/>
    <xf numFmtId="3" fontId="32" fillId="2" borderId="29" xfId="4" applyNumberFormat="1" applyFont="1" applyFill="1" applyBorder="1" applyAlignment="1"/>
    <xf numFmtId="3" fontId="59" fillId="2" borderId="29" xfId="4" applyNumberFormat="1" applyFont="1" applyFill="1" applyBorder="1" applyAlignment="1"/>
    <xf numFmtId="3" fontId="32" fillId="2" borderId="65" xfId="4" applyNumberFormat="1" applyFont="1" applyFill="1" applyBorder="1" applyAlignment="1"/>
    <xf numFmtId="0" fontId="59" fillId="2" borderId="36" xfId="4" applyFont="1" applyFill="1" applyBorder="1" applyAlignment="1">
      <alignment vertical="top"/>
    </xf>
    <xf numFmtId="3" fontId="32" fillId="2" borderId="35" xfId="4" applyNumberFormat="1" applyFont="1" applyFill="1" applyBorder="1" applyAlignment="1"/>
    <xf numFmtId="3" fontId="32" fillId="2" borderId="9" xfId="4" applyNumberFormat="1" applyFont="1" applyFill="1" applyBorder="1" applyAlignment="1"/>
    <xf numFmtId="3" fontId="59" fillId="2" borderId="9" xfId="4" applyNumberFormat="1" applyFont="1" applyFill="1" applyBorder="1" applyAlignment="1"/>
    <xf numFmtId="3" fontId="59" fillId="2" borderId="30" xfId="4" applyNumberFormat="1" applyFont="1" applyFill="1" applyBorder="1" applyAlignment="1"/>
    <xf numFmtId="0" fontId="55" fillId="2" borderId="36" xfId="4" applyFont="1" applyFill="1" applyBorder="1" applyAlignment="1">
      <alignment vertical="top"/>
    </xf>
    <xf numFmtId="3" fontId="59" fillId="2" borderId="71" xfId="4" applyNumberFormat="1" applyFont="1" applyFill="1" applyBorder="1" applyAlignment="1"/>
    <xf numFmtId="3" fontId="57" fillId="2" borderId="71" xfId="4" applyNumberFormat="1" applyFont="1" applyFill="1" applyBorder="1" applyAlignment="1"/>
    <xf numFmtId="3" fontId="55" fillId="2" borderId="71" xfId="4" applyNumberFormat="1" applyFont="1" applyFill="1" applyBorder="1" applyAlignment="1"/>
    <xf numFmtId="3" fontId="32" fillId="0" borderId="71" xfId="0" applyNumberFormat="1" applyFont="1" applyFill="1" applyBorder="1" applyAlignment="1">
      <alignment horizontal="right" vertical="center"/>
    </xf>
    <xf numFmtId="3" fontId="59" fillId="0" borderId="71" xfId="0" applyNumberFormat="1" applyFont="1" applyFill="1" applyBorder="1" applyAlignment="1">
      <alignment horizontal="right" vertical="center"/>
    </xf>
    <xf numFmtId="3" fontId="59" fillId="2" borderId="12" xfId="4" applyNumberFormat="1" applyFont="1" applyFill="1" applyBorder="1" applyAlignment="1"/>
    <xf numFmtId="3" fontId="59" fillId="2" borderId="23" xfId="4" applyNumberFormat="1" applyFont="1" applyFill="1" applyBorder="1" applyAlignment="1"/>
    <xf numFmtId="3" fontId="32" fillId="0" borderId="74" xfId="0" applyNumberFormat="1" applyFont="1" applyFill="1" applyBorder="1" applyAlignment="1">
      <alignment horizontal="right" vertical="center"/>
    </xf>
    <xf numFmtId="0" fontId="53" fillId="8" borderId="32" xfId="0" applyFont="1" applyFill="1" applyBorder="1" applyAlignment="1">
      <alignment vertical="center" wrapText="1"/>
    </xf>
    <xf numFmtId="0" fontId="53" fillId="8" borderId="122" xfId="0" applyFont="1" applyFill="1" applyBorder="1" applyAlignment="1">
      <alignment horizontal="center" vertical="center" wrapText="1"/>
    </xf>
    <xf numFmtId="0" fontId="55" fillId="2" borderId="32" xfId="4" applyFont="1" applyFill="1" applyBorder="1" applyAlignment="1">
      <alignment vertical="center"/>
    </xf>
    <xf numFmtId="0" fontId="53" fillId="8" borderId="20" xfId="0" applyFont="1" applyFill="1" applyBorder="1" applyAlignment="1">
      <alignment horizontal="center" vertical="center" wrapText="1"/>
    </xf>
    <xf numFmtId="3" fontId="59" fillId="8" borderId="7" xfId="0" applyNumberFormat="1" applyFont="1" applyFill="1" applyBorder="1" applyAlignment="1">
      <alignment vertical="top"/>
    </xf>
    <xf numFmtId="0" fontId="59" fillId="8" borderId="8" xfId="0" applyFont="1" applyFill="1" applyBorder="1" applyAlignment="1">
      <alignment vertical="top"/>
    </xf>
    <xf numFmtId="0" fontId="59" fillId="59" borderId="8" xfId="0" applyFont="1" applyFill="1" applyBorder="1" applyAlignment="1">
      <alignment vertical="top"/>
    </xf>
    <xf numFmtId="3" fontId="59" fillId="59" borderId="8" xfId="0" applyNumberFormat="1" applyFont="1" applyFill="1" applyBorder="1" applyAlignment="1">
      <alignment vertical="top"/>
    </xf>
    <xf numFmtId="3" fontId="59" fillId="61" borderId="8" xfId="0" applyNumberFormat="1" applyFont="1" applyFill="1" applyBorder="1" applyAlignment="1">
      <alignment vertical="top"/>
    </xf>
    <xf numFmtId="0" fontId="59" fillId="61" borderId="8" xfId="0" applyFont="1" applyFill="1" applyBorder="1" applyAlignment="1">
      <alignment vertical="top"/>
    </xf>
    <xf numFmtId="3" fontId="59" fillId="8" borderId="8" xfId="0" applyNumberFormat="1" applyFont="1" applyFill="1" applyBorder="1" applyAlignment="1">
      <alignment vertical="top"/>
    </xf>
    <xf numFmtId="0" fontId="59" fillId="8" borderId="9" xfId="0" applyFont="1" applyFill="1" applyBorder="1" applyAlignment="1">
      <alignment vertical="top"/>
    </xf>
    <xf numFmtId="0" fontId="114" fillId="6" borderId="28" xfId="4" applyFont="1" applyFill="1" applyBorder="1" applyAlignment="1">
      <alignment horizontal="left" vertical="center"/>
    </xf>
    <xf numFmtId="3" fontId="0" fillId="23" borderId="96" xfId="0" applyNumberFormat="1" applyFont="1" applyFill="1" applyBorder="1" applyAlignment="1">
      <alignment horizontal="right" vertical="center"/>
    </xf>
    <xf numFmtId="3" fontId="59" fillId="23" borderId="96" xfId="0" applyNumberFormat="1" applyFont="1" applyFill="1" applyBorder="1" applyAlignment="1">
      <alignment horizontal="right" vertical="center"/>
    </xf>
    <xf numFmtId="3" fontId="56" fillId="0" borderId="96" xfId="0" applyNumberFormat="1" applyFont="1" applyFill="1" applyBorder="1" applyAlignment="1">
      <alignment vertical="top"/>
    </xf>
    <xf numFmtId="3" fontId="56" fillId="0" borderId="101" xfId="0" applyNumberFormat="1" applyFont="1" applyFill="1" applyBorder="1" applyAlignment="1">
      <alignment horizontal="right" vertical="center"/>
    </xf>
    <xf numFmtId="3" fontId="56" fillId="59" borderId="101" xfId="0" applyNumberFormat="1" applyFont="1" applyFill="1" applyBorder="1" applyAlignment="1">
      <alignment horizontal="right" vertical="center"/>
    </xf>
    <xf numFmtId="3" fontId="56" fillId="61" borderId="101" xfId="0" applyNumberFormat="1" applyFont="1" applyFill="1" applyBorder="1" applyAlignment="1">
      <alignment horizontal="right" vertical="center"/>
    </xf>
    <xf numFmtId="3" fontId="56" fillId="0" borderId="101" xfId="0" applyNumberFormat="1" applyFont="1" applyFill="1" applyBorder="1" applyAlignment="1">
      <alignment vertical="top"/>
    </xf>
    <xf numFmtId="0" fontId="32" fillId="0" borderId="20" xfId="0" applyFont="1" applyFill="1" applyBorder="1" applyAlignment="1">
      <alignment horizontal="center" vertical="center" wrapText="1"/>
    </xf>
    <xf numFmtId="3" fontId="68" fillId="0" borderId="96" xfId="0" applyNumberFormat="1" applyFont="1" applyFill="1" applyBorder="1" applyAlignment="1">
      <alignment vertical="center"/>
    </xf>
    <xf numFmtId="3" fontId="68" fillId="0" borderId="13" xfId="0" applyNumberFormat="1" applyFont="1" applyFill="1" applyBorder="1" applyAlignment="1">
      <alignment horizontal="right" vertical="center"/>
    </xf>
    <xf numFmtId="3" fontId="68" fillId="59" borderId="13" xfId="0" applyNumberFormat="1" applyFont="1" applyFill="1" applyBorder="1" applyAlignment="1">
      <alignment horizontal="right" vertical="center"/>
    </xf>
    <xf numFmtId="3" fontId="68" fillId="61" borderId="13" xfId="0" applyNumberFormat="1" applyFont="1" applyFill="1" applyBorder="1" applyAlignment="1">
      <alignment horizontal="right" vertical="center"/>
    </xf>
    <xf numFmtId="3" fontId="68" fillId="0" borderId="96" xfId="0" applyNumberFormat="1" applyFont="1" applyFill="1" applyBorder="1" applyAlignment="1">
      <alignment vertical="top"/>
    </xf>
    <xf numFmtId="3" fontId="68" fillId="0" borderId="96" xfId="0" applyNumberFormat="1" applyFont="1" applyFill="1" applyBorder="1" applyAlignment="1">
      <alignment horizontal="right" vertical="center"/>
    </xf>
    <xf numFmtId="0" fontId="32" fillId="0" borderId="77" xfId="0" applyFont="1" applyFill="1" applyBorder="1" applyAlignment="1">
      <alignment vertical="center" wrapText="1"/>
    </xf>
    <xf numFmtId="3" fontId="68" fillId="0" borderId="47" xfId="0" applyNumberFormat="1" applyFont="1" applyFill="1" applyBorder="1" applyAlignment="1">
      <alignment vertical="center"/>
    </xf>
    <xf numFmtId="3" fontId="68" fillId="0" borderId="47" xfId="0" applyNumberFormat="1" applyFont="1" applyFill="1" applyBorder="1" applyAlignment="1">
      <alignment vertical="top"/>
    </xf>
    <xf numFmtId="3" fontId="68" fillId="0" borderId="47" xfId="0" applyNumberFormat="1" applyFont="1" applyFill="1" applyBorder="1" applyAlignment="1">
      <alignment horizontal="right" vertical="center"/>
    </xf>
    <xf numFmtId="43" fontId="53" fillId="6" borderId="110" xfId="1" applyFont="1" applyFill="1" applyBorder="1" applyAlignment="1">
      <alignment vertical="top"/>
    </xf>
    <xf numFmtId="3" fontId="52" fillId="23" borderId="110" xfId="0" applyNumberFormat="1" applyFont="1" applyFill="1" applyBorder="1" applyAlignment="1">
      <alignment vertical="top"/>
    </xf>
    <xf numFmtId="3" fontId="55" fillId="2" borderId="110" xfId="0" applyNumberFormat="1" applyFont="1" applyFill="1" applyBorder="1" applyAlignment="1">
      <alignment vertical="center"/>
    </xf>
    <xf numFmtId="3" fontId="55" fillId="59" borderId="110" xfId="0" applyNumberFormat="1" applyFont="1" applyFill="1" applyBorder="1" applyAlignment="1">
      <alignment vertical="center"/>
    </xf>
    <xf numFmtId="3" fontId="55" fillId="61" borderId="110" xfId="0" applyNumberFormat="1" applyFont="1" applyFill="1" applyBorder="1" applyAlignment="1">
      <alignment vertical="center"/>
    </xf>
    <xf numFmtId="43" fontId="55" fillId="33" borderId="110" xfId="1" applyFont="1" applyFill="1" applyBorder="1" applyAlignment="1">
      <alignment vertical="center"/>
    </xf>
    <xf numFmtId="3" fontId="57" fillId="27" borderId="110" xfId="0" applyNumberFormat="1" applyFont="1" applyFill="1" applyBorder="1" applyAlignment="1">
      <alignment vertical="center"/>
    </xf>
    <xf numFmtId="0" fontId="59" fillId="2" borderId="77" xfId="0" applyFont="1" applyFill="1" applyBorder="1" applyAlignment="1">
      <alignment vertical="center"/>
    </xf>
    <xf numFmtId="3" fontId="59" fillId="2" borderId="47" xfId="0" applyNumberFormat="1" applyFont="1" applyFill="1" applyBorder="1" applyAlignment="1">
      <alignment vertical="top"/>
    </xf>
    <xf numFmtId="3" fontId="59" fillId="33" borderId="47" xfId="0" applyNumberFormat="1" applyFont="1" applyFill="1" applyBorder="1" applyAlignment="1">
      <alignment vertical="top"/>
    </xf>
    <xf numFmtId="43" fontId="59" fillId="33" borderId="47" xfId="1" applyFont="1" applyFill="1" applyBorder="1" applyAlignment="1">
      <alignment vertical="top"/>
    </xf>
    <xf numFmtId="3" fontId="53" fillId="6" borderId="111" xfId="4" applyNumberFormat="1" applyFont="1" applyFill="1" applyBorder="1" applyAlignment="1">
      <alignment vertical="center"/>
    </xf>
    <xf numFmtId="3" fontId="52" fillId="6" borderId="119" xfId="4" applyNumberFormat="1" applyFont="1" applyFill="1" applyBorder="1" applyAlignment="1">
      <alignment vertical="center"/>
    </xf>
    <xf numFmtId="3" fontId="32" fillId="2" borderId="110" xfId="4" applyNumberFormat="1" applyFont="1" applyFill="1" applyBorder="1" applyAlignment="1">
      <alignment vertical="top"/>
    </xf>
    <xf numFmtId="3" fontId="32" fillId="0" borderId="109" xfId="4" applyNumberFormat="1" applyFont="1" applyFill="1" applyBorder="1" applyAlignment="1">
      <alignment vertical="top" wrapText="1"/>
    </xf>
    <xf numFmtId="3" fontId="32" fillId="0" borderId="72" xfId="4" applyNumberFormat="1" applyFont="1" applyFill="1" applyBorder="1" applyAlignment="1">
      <alignment vertical="top"/>
    </xf>
    <xf numFmtId="0" fontId="32" fillId="0" borderId="47" xfId="4" applyFont="1" applyFill="1" applyBorder="1" applyAlignment="1">
      <alignment vertical="top" wrapText="1"/>
    </xf>
    <xf numFmtId="3" fontId="32" fillId="8" borderId="7" xfId="4" applyNumberFormat="1" applyFont="1" applyFill="1" applyBorder="1" applyAlignment="1">
      <alignment horizontal="right" vertical="center"/>
    </xf>
    <xf numFmtId="43" fontId="53" fillId="23" borderId="96" xfId="1" applyFont="1" applyFill="1" applyBorder="1" applyAlignment="1">
      <alignment vertical="center"/>
    </xf>
    <xf numFmtId="43" fontId="55" fillId="26" borderId="96" xfId="1" applyFont="1" applyFill="1" applyBorder="1" applyAlignment="1">
      <alignment horizontal="right" vertical="center"/>
    </xf>
    <xf numFmtId="43" fontId="57" fillId="0" borderId="115" xfId="1" applyFont="1" applyFill="1" applyBorder="1" applyAlignment="1">
      <alignment horizontal="right" vertical="center"/>
    </xf>
    <xf numFmtId="3" fontId="32" fillId="0" borderId="96" xfId="4" applyNumberFormat="1" applyFont="1" applyFill="1" applyBorder="1" applyAlignment="1">
      <alignment vertical="top" wrapText="1"/>
    </xf>
    <xf numFmtId="3" fontId="52" fillId="8" borderId="110" xfId="4" applyNumberFormat="1" applyFont="1" applyFill="1" applyBorder="1" applyAlignment="1">
      <alignment horizontal="center" vertical="center"/>
    </xf>
    <xf numFmtId="3" fontId="32" fillId="24" borderId="119" xfId="4" applyNumberFormat="1" applyFont="1" applyFill="1" applyBorder="1" applyAlignment="1">
      <alignment horizontal="right" vertical="center"/>
    </xf>
    <xf numFmtId="3" fontId="45" fillId="6" borderId="28" xfId="4" applyNumberFormat="1" applyFont="1" applyFill="1" applyBorder="1" applyAlignment="1">
      <alignment vertical="center"/>
    </xf>
    <xf numFmtId="3" fontId="32" fillId="0" borderId="110" xfId="0" applyNumberFormat="1" applyFont="1" applyFill="1" applyBorder="1" applyAlignment="1">
      <alignment vertical="top"/>
    </xf>
    <xf numFmtId="0" fontId="32" fillId="33" borderId="32" xfId="4" applyFont="1" applyFill="1" applyBorder="1" applyAlignment="1">
      <alignment vertical="top"/>
    </xf>
    <xf numFmtId="4" fontId="32" fillId="0" borderId="109" xfId="4" applyNumberFormat="1" applyFont="1" applyFill="1" applyBorder="1" applyAlignment="1">
      <alignment vertical="top"/>
    </xf>
    <xf numFmtId="0" fontId="32" fillId="33" borderId="77" xfId="4" applyFont="1" applyFill="1" applyBorder="1" applyAlignment="1">
      <alignment vertical="top"/>
    </xf>
    <xf numFmtId="3" fontId="55" fillId="22" borderId="63" xfId="4" applyNumberFormat="1" applyFont="1" applyFill="1" applyBorder="1" applyAlignment="1">
      <alignment horizontal="right" vertical="center"/>
    </xf>
    <xf numFmtId="0" fontId="2" fillId="0" borderId="0" xfId="0" applyFont="1" applyAlignment="1"/>
    <xf numFmtId="3" fontId="53" fillId="6" borderId="110" xfId="4" applyNumberFormat="1" applyFont="1" applyFill="1" applyBorder="1" applyAlignment="1"/>
    <xf numFmtId="3" fontId="53" fillId="6" borderId="109" xfId="4" applyNumberFormat="1" applyFont="1" applyFill="1" applyBorder="1" applyAlignment="1"/>
    <xf numFmtId="3" fontId="52" fillId="6" borderId="109" xfId="4" applyNumberFormat="1" applyFont="1" applyFill="1" applyBorder="1" applyAlignment="1"/>
    <xf numFmtId="3" fontId="52" fillId="23" borderId="109" xfId="4" applyNumberFormat="1" applyFont="1" applyFill="1" applyBorder="1" applyAlignment="1"/>
    <xf numFmtId="3" fontId="2" fillId="0" borderId="0" xfId="0" applyNumberFormat="1" applyFont="1" applyAlignment="1"/>
    <xf numFmtId="3" fontId="57" fillId="0" borderId="110" xfId="4" applyNumberFormat="1" applyFont="1" applyFill="1" applyBorder="1" applyAlignment="1"/>
    <xf numFmtId="3" fontId="55" fillId="26" borderId="110" xfId="4" applyNumberFormat="1" applyFont="1" applyFill="1" applyBorder="1" applyAlignment="1"/>
    <xf numFmtId="3" fontId="32" fillId="0" borderId="110" xfId="4" applyNumberFormat="1" applyFont="1" applyFill="1" applyBorder="1" applyAlignment="1"/>
    <xf numFmtId="3" fontId="61" fillId="0" borderId="114" xfId="6" applyNumberFormat="1" applyFont="1" applyFill="1" applyBorder="1" applyAlignment="1">
      <alignment vertical="center"/>
    </xf>
    <xf numFmtId="0" fontId="57" fillId="2" borderId="120" xfId="4" applyFont="1" applyFill="1" applyBorder="1" applyAlignment="1">
      <alignment vertical="top"/>
    </xf>
    <xf numFmtId="3" fontId="61" fillId="26" borderId="109" xfId="6" applyNumberFormat="1" applyFont="1" applyFill="1" applyBorder="1" applyAlignment="1">
      <alignment vertical="center"/>
    </xf>
    <xf numFmtId="3" fontId="60" fillId="0" borderId="114" xfId="6" applyNumberFormat="1" applyFont="1" applyFill="1" applyBorder="1" applyAlignment="1">
      <alignment vertical="center"/>
    </xf>
    <xf numFmtId="3" fontId="61" fillId="0" borderId="110" xfId="114" applyNumberFormat="1" applyFont="1" applyFill="1" applyBorder="1" applyAlignment="1">
      <alignment vertical="center"/>
    </xf>
    <xf numFmtId="3" fontId="61" fillId="0" borderId="109" xfId="114" applyNumberFormat="1" applyFont="1" applyFill="1" applyBorder="1" applyAlignment="1">
      <alignment vertical="center"/>
    </xf>
    <xf numFmtId="3" fontId="59" fillId="0" borderId="109" xfId="112" applyNumberFormat="1" applyFont="1" applyFill="1" applyBorder="1" applyAlignment="1">
      <alignment vertical="center"/>
    </xf>
    <xf numFmtId="0" fontId="2" fillId="0" borderId="109" xfId="112" applyFont="1" applyBorder="1"/>
    <xf numFmtId="0" fontId="52" fillId="33" borderId="21" xfId="4" applyFont="1" applyFill="1" applyBorder="1" applyAlignment="1">
      <alignment horizontal="left" vertical="center"/>
    </xf>
    <xf numFmtId="3" fontId="55" fillId="33" borderId="9" xfId="4" applyNumberFormat="1" applyFont="1" applyFill="1" applyBorder="1" applyAlignment="1"/>
    <xf numFmtId="3" fontId="55" fillId="33" borderId="35" xfId="4" applyNumberFormat="1" applyFont="1" applyFill="1" applyBorder="1" applyAlignment="1"/>
    <xf numFmtId="0" fontId="59" fillId="2" borderId="0" xfId="0" applyFont="1" applyFill="1" applyBorder="1" applyAlignment="1">
      <alignment vertical="center" wrapText="1"/>
    </xf>
    <xf numFmtId="0" fontId="64" fillId="2" borderId="0" xfId="0" applyFont="1" applyFill="1" applyBorder="1" applyAlignment="1">
      <alignment horizontal="center" vertical="center" wrapText="1"/>
    </xf>
    <xf numFmtId="0" fontId="0" fillId="0" borderId="128" xfId="0" applyFont="1" applyBorder="1"/>
    <xf numFmtId="3" fontId="0" fillId="0" borderId="128" xfId="0" applyNumberFormat="1" applyFont="1" applyBorder="1"/>
    <xf numFmtId="43" fontId="0" fillId="0" borderId="128" xfId="0" applyNumberFormat="1" applyFont="1" applyBorder="1"/>
    <xf numFmtId="3" fontId="53" fillId="0" borderId="128" xfId="4" applyNumberFormat="1" applyFont="1" applyFill="1" applyBorder="1" applyAlignment="1">
      <alignment horizontal="right" vertical="center"/>
    </xf>
    <xf numFmtId="0" fontId="0" fillId="0" borderId="135" xfId="0" applyFont="1" applyBorder="1" applyAlignment="1">
      <alignment vertical="center"/>
    </xf>
    <xf numFmtId="0" fontId="71" fillId="0" borderId="135" xfId="0" applyFont="1" applyBorder="1"/>
    <xf numFmtId="0" fontId="32" fillId="8" borderId="136" xfId="4" applyFont="1" applyFill="1" applyBorder="1" applyAlignment="1">
      <alignment vertical="top" wrapText="1"/>
    </xf>
    <xf numFmtId="0" fontId="0" fillId="0" borderId="138" xfId="0" applyFont="1" applyBorder="1"/>
    <xf numFmtId="3" fontId="59" fillId="2" borderId="96" xfId="0" applyNumberFormat="1" applyFont="1" applyFill="1" applyBorder="1" applyAlignment="1">
      <alignment horizontal="right" vertical="center"/>
    </xf>
    <xf numFmtId="0" fontId="128" fillId="8" borderId="20" xfId="4" applyFont="1" applyFill="1" applyBorder="1" applyAlignment="1">
      <alignment vertical="center" wrapText="1"/>
    </xf>
    <xf numFmtId="3" fontId="57" fillId="8" borderId="29" xfId="0" applyNumberFormat="1" applyFont="1" applyFill="1" applyBorder="1" applyAlignment="1">
      <alignment vertical="center" wrapText="1"/>
    </xf>
    <xf numFmtId="3" fontId="128" fillId="8" borderId="29" xfId="0" applyNumberFormat="1" applyFont="1" applyFill="1" applyBorder="1" applyAlignment="1">
      <alignment vertical="center" wrapText="1"/>
    </xf>
    <xf numFmtId="3" fontId="128" fillId="33" borderId="29" xfId="0" applyNumberFormat="1" applyFont="1" applyFill="1" applyBorder="1" applyAlignment="1">
      <alignment vertical="center" wrapText="1"/>
    </xf>
    <xf numFmtId="43" fontId="128" fillId="8" borderId="29" xfId="1" applyFont="1" applyFill="1" applyBorder="1" applyAlignment="1">
      <alignment vertical="center" wrapText="1"/>
    </xf>
    <xf numFmtId="3" fontId="128" fillId="8" borderId="34" xfId="0" applyNumberFormat="1" applyFont="1" applyFill="1" applyBorder="1" applyAlignment="1">
      <alignment vertical="center" wrapText="1"/>
    </xf>
    <xf numFmtId="43" fontId="128" fillId="9" borderId="34" xfId="1" applyFont="1" applyFill="1" applyBorder="1" applyAlignment="1">
      <alignment vertical="center" wrapText="1"/>
    </xf>
    <xf numFmtId="3" fontId="33" fillId="0" borderId="0" xfId="0" applyNumberFormat="1" applyFont="1" applyFill="1" applyAlignment="1">
      <alignment vertical="center"/>
    </xf>
    <xf numFmtId="3" fontId="33" fillId="0" borderId="10" xfId="0" applyNumberFormat="1" applyFont="1" applyBorder="1" applyAlignment="1">
      <alignment vertical="center"/>
    </xf>
    <xf numFmtId="3" fontId="33" fillId="0" borderId="27" xfId="0" applyNumberFormat="1" applyFont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3" fillId="0" borderId="28" xfId="0" applyFont="1" applyFill="1" applyBorder="1" applyAlignment="1">
      <alignment vertical="center" wrapText="1"/>
    </xf>
    <xf numFmtId="43" fontId="33" fillId="0" borderId="35" xfId="1" applyFont="1" applyFill="1" applyBorder="1" applyAlignment="1">
      <alignment vertical="center" wrapText="1"/>
    </xf>
    <xf numFmtId="3" fontId="33" fillId="0" borderId="35" xfId="0" applyNumberFormat="1" applyFont="1" applyFill="1" applyBorder="1" applyAlignment="1">
      <alignment vertical="center" wrapText="1"/>
    </xf>
    <xf numFmtId="3" fontId="33" fillId="33" borderId="35" xfId="0" applyNumberFormat="1" applyFont="1" applyFill="1" applyBorder="1" applyAlignment="1">
      <alignment vertical="center" wrapText="1"/>
    </xf>
    <xf numFmtId="3" fontId="33" fillId="2" borderId="36" xfId="0" applyNumberFormat="1" applyFont="1" applyFill="1" applyBorder="1" applyAlignment="1">
      <alignment vertical="center" wrapText="1"/>
    </xf>
    <xf numFmtId="3" fontId="15" fillId="3" borderId="21" xfId="0" applyNumberFormat="1" applyFont="1" applyFill="1" applyBorder="1" applyAlignment="1">
      <alignment vertical="center" wrapText="1"/>
    </xf>
    <xf numFmtId="0" fontId="109" fillId="0" borderId="28" xfId="0" applyFont="1" applyFill="1" applyBorder="1" applyAlignment="1">
      <alignment vertical="center"/>
    </xf>
    <xf numFmtId="43" fontId="109" fillId="0" borderId="35" xfId="1" applyFont="1" applyFill="1" applyBorder="1" applyAlignment="1">
      <alignment vertical="center" wrapText="1"/>
    </xf>
    <xf numFmtId="3" fontId="109" fillId="0" borderId="35" xfId="0" applyNumberFormat="1" applyFont="1" applyFill="1" applyBorder="1" applyAlignment="1">
      <alignment vertical="center" wrapText="1"/>
    </xf>
    <xf numFmtId="3" fontId="109" fillId="33" borderId="35" xfId="0" applyNumberFormat="1" applyFont="1" applyFill="1" applyBorder="1" applyAlignment="1">
      <alignment vertical="center" wrapText="1"/>
    </xf>
    <xf numFmtId="3" fontId="109" fillId="2" borderId="36" xfId="0" applyNumberFormat="1" applyFont="1" applyFill="1" applyBorder="1" applyAlignment="1">
      <alignment vertical="center" wrapText="1"/>
    </xf>
    <xf numFmtId="43" fontId="109" fillId="3" borderId="21" xfId="1" applyFont="1" applyFill="1" applyBorder="1" applyAlignment="1">
      <alignment vertical="center" wrapText="1"/>
    </xf>
    <xf numFmtId="3" fontId="109" fillId="0" borderId="0" xfId="0" applyNumberFormat="1" applyFont="1" applyFill="1" applyAlignment="1">
      <alignment vertical="center"/>
    </xf>
    <xf numFmtId="3" fontId="109" fillId="0" borderId="10" xfId="0" applyNumberFormat="1" applyFont="1" applyBorder="1" applyAlignment="1">
      <alignment vertical="center"/>
    </xf>
    <xf numFmtId="3" fontId="109" fillId="0" borderId="27" xfId="0" applyNumberFormat="1" applyFont="1" applyBorder="1" applyAlignment="1">
      <alignment vertical="center"/>
    </xf>
    <xf numFmtId="0" fontId="109" fillId="0" borderId="0" xfId="0" applyFont="1" applyFill="1" applyBorder="1" applyAlignment="1">
      <alignment vertical="center"/>
    </xf>
    <xf numFmtId="3" fontId="53" fillId="6" borderId="145" xfId="4" applyNumberFormat="1" applyFont="1" applyFill="1" applyBorder="1" applyAlignment="1">
      <alignment horizontal="right" vertical="center"/>
    </xf>
    <xf numFmtId="3" fontId="53" fillId="23" borderId="142" xfId="4" applyNumberFormat="1" applyFont="1" applyFill="1" applyBorder="1" applyAlignment="1">
      <alignment horizontal="right" vertical="center"/>
    </xf>
    <xf numFmtId="3" fontId="55" fillId="0" borderId="145" xfId="4" applyNumberFormat="1" applyFont="1" applyFill="1" applyBorder="1" applyAlignment="1">
      <alignment horizontal="right" vertical="center"/>
    </xf>
    <xf numFmtId="3" fontId="55" fillId="26" borderId="142" xfId="4" applyNumberFormat="1" applyFont="1" applyFill="1" applyBorder="1" applyAlignment="1">
      <alignment horizontal="right" vertical="center"/>
    </xf>
    <xf numFmtId="3" fontId="59" fillId="0" borderId="127" xfId="4" applyNumberFormat="1" applyFont="1" applyFill="1" applyBorder="1" applyAlignment="1"/>
    <xf numFmtId="3" fontId="32" fillId="0" borderId="142" xfId="4" applyNumberFormat="1" applyFont="1" applyFill="1" applyBorder="1" applyAlignment="1">
      <alignment horizontal="right" vertical="center"/>
    </xf>
    <xf numFmtId="3" fontId="59" fillId="0" borderId="142" xfId="4" applyNumberFormat="1" applyFont="1" applyFill="1" applyBorder="1" applyAlignment="1">
      <alignment horizontal="right" vertical="center"/>
    </xf>
    <xf numFmtId="3" fontId="59" fillId="0" borderId="145" xfId="4" applyNumberFormat="1" applyFont="1" applyFill="1" applyBorder="1" applyAlignment="1"/>
    <xf numFmtId="3" fontId="32" fillId="0" borderId="145" xfId="4" applyNumberFormat="1" applyFont="1" applyFill="1" applyBorder="1" applyAlignment="1">
      <alignment horizontal="right" vertical="center"/>
    </xf>
    <xf numFmtId="3" fontId="59" fillId="26" borderId="145" xfId="4" applyNumberFormat="1" applyFont="1" applyFill="1" applyBorder="1" applyAlignment="1">
      <alignment horizontal="right" vertical="center"/>
    </xf>
    <xf numFmtId="3" fontId="61" fillId="0" borderId="145" xfId="6" applyNumberFormat="1" applyFont="1" applyFill="1" applyBorder="1" applyAlignment="1">
      <alignment vertical="center"/>
    </xf>
    <xf numFmtId="3" fontId="59" fillId="0" borderId="145" xfId="4" applyNumberFormat="1" applyFont="1" applyFill="1" applyBorder="1" applyAlignment="1">
      <alignment horizontal="right" vertical="center"/>
    </xf>
    <xf numFmtId="3" fontId="52" fillId="6" borderId="145" xfId="4" applyNumberFormat="1" applyFont="1" applyFill="1" applyBorder="1" applyAlignment="1"/>
    <xf numFmtId="3" fontId="57" fillId="2" borderId="145" xfId="4" applyNumberFormat="1" applyFont="1" applyFill="1" applyBorder="1" applyAlignment="1"/>
    <xf numFmtId="3" fontId="55" fillId="2" borderId="145" xfId="4" applyNumberFormat="1" applyFont="1" applyFill="1" applyBorder="1" applyAlignment="1"/>
    <xf numFmtId="3" fontId="32" fillId="0" borderId="72" xfId="4" applyNumberFormat="1" applyFont="1" applyFill="1" applyBorder="1" applyAlignment="1"/>
    <xf numFmtId="0" fontId="0" fillId="0" borderId="142" xfId="0" applyFont="1" applyBorder="1"/>
    <xf numFmtId="0" fontId="59" fillId="0" borderId="142" xfId="4" applyFont="1" applyFill="1" applyBorder="1" applyAlignment="1">
      <alignment vertical="top"/>
    </xf>
    <xf numFmtId="3" fontId="57" fillId="2" borderId="120" xfId="4" applyNumberFormat="1" applyFont="1" applyFill="1" applyBorder="1" applyAlignment="1">
      <alignment vertical="top" wrapText="1"/>
    </xf>
    <xf numFmtId="0" fontId="32" fillId="0" borderId="133" xfId="4" applyFont="1" applyFill="1" applyBorder="1" applyAlignment="1">
      <alignment vertical="top"/>
    </xf>
    <xf numFmtId="0" fontId="32" fillId="0" borderId="142" xfId="4" applyFont="1" applyFill="1" applyBorder="1" applyAlignment="1">
      <alignment vertical="center"/>
    </xf>
    <xf numFmtId="0" fontId="45" fillId="0" borderId="11" xfId="4" applyFont="1" applyBorder="1" applyAlignment="1">
      <alignment horizontal="center" vertical="center"/>
    </xf>
    <xf numFmtId="0" fontId="53" fillId="0" borderId="12" xfId="4" applyFont="1" applyBorder="1" applyAlignment="1">
      <alignment horizontal="center" vertical="center" wrapText="1"/>
    </xf>
    <xf numFmtId="3" fontId="46" fillId="0" borderId="46" xfId="4" applyNumberFormat="1" applyFont="1" applyFill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/>
    </xf>
    <xf numFmtId="0" fontId="60" fillId="0" borderId="20" xfId="0" applyFont="1" applyBorder="1" applyAlignment="1">
      <alignment horizontal="center" vertical="center"/>
    </xf>
    <xf numFmtId="3" fontId="46" fillId="0" borderId="41" xfId="4" applyNumberFormat="1" applyFont="1" applyFill="1" applyBorder="1" applyAlignment="1">
      <alignment horizontal="center" vertical="center" wrapText="1"/>
    </xf>
    <xf numFmtId="0" fontId="52" fillId="0" borderId="11" xfId="4" applyFont="1" applyFill="1" applyBorder="1" applyAlignment="1">
      <alignment horizontal="center" vertical="top"/>
    </xf>
    <xf numFmtId="0" fontId="32" fillId="8" borderId="43" xfId="4" applyFont="1" applyFill="1" applyBorder="1" applyAlignment="1">
      <alignment horizontal="center" vertical="top"/>
    </xf>
    <xf numFmtId="0" fontId="46" fillId="13" borderId="43" xfId="4" applyFont="1" applyFill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/>
    </xf>
    <xf numFmtId="3" fontId="52" fillId="27" borderId="62" xfId="4" applyNumberFormat="1" applyFont="1" applyFill="1" applyBorder="1" applyAlignment="1">
      <alignment horizontal="center" vertical="center"/>
    </xf>
    <xf numFmtId="3" fontId="52" fillId="27" borderId="10" xfId="4" applyNumberFormat="1" applyFont="1" applyFill="1" applyBorder="1" applyAlignment="1">
      <alignment horizontal="center" vertical="center"/>
    </xf>
    <xf numFmtId="3" fontId="52" fillId="27" borderId="74" xfId="4" applyNumberFormat="1" applyFont="1" applyFill="1" applyBorder="1" applyAlignment="1">
      <alignment horizontal="center" vertical="center"/>
    </xf>
    <xf numFmtId="0" fontId="45" fillId="0" borderId="67" xfId="4" applyFont="1" applyBorder="1" applyAlignment="1">
      <alignment horizontal="center" vertical="center" wrapText="1"/>
    </xf>
    <xf numFmtId="0" fontId="52" fillId="8" borderId="14" xfId="0" applyFont="1" applyFill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45" fillId="0" borderId="11" xfId="0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32" fillId="0" borderId="11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45" fillId="0" borderId="21" xfId="0" applyFont="1" applyFill="1" applyBorder="1" applyAlignment="1">
      <alignment horizontal="center" vertical="center"/>
    </xf>
    <xf numFmtId="3" fontId="53" fillId="23" borderId="35" xfId="0" applyNumberFormat="1" applyFont="1" applyFill="1" applyBorder="1" applyAlignment="1">
      <alignment horizontal="center" vertical="center"/>
    </xf>
    <xf numFmtId="3" fontId="53" fillId="2" borderId="108" xfId="4" applyNumberFormat="1" applyFont="1" applyFill="1" applyBorder="1" applyAlignment="1">
      <alignment horizontal="center" vertical="center" wrapText="1"/>
    </xf>
    <xf numFmtId="0" fontId="60" fillId="0" borderId="108" xfId="0" applyFont="1" applyBorder="1" applyAlignment="1">
      <alignment horizontal="center" vertical="center"/>
    </xf>
    <xf numFmtId="0" fontId="46" fillId="0" borderId="13" xfId="4" applyFont="1" applyFill="1" applyBorder="1" applyAlignment="1">
      <alignment horizontal="center" vertical="center" wrapText="1"/>
    </xf>
    <xf numFmtId="0" fontId="46" fillId="0" borderId="12" xfId="4" applyFont="1" applyFill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top"/>
    </xf>
    <xf numFmtId="0" fontId="52" fillId="0" borderId="43" xfId="4" quotePrefix="1" applyFont="1" applyFill="1" applyBorder="1" applyAlignment="1">
      <alignment horizontal="center" vertical="center"/>
    </xf>
    <xf numFmtId="0" fontId="52" fillId="2" borderId="28" xfId="4" applyFont="1" applyFill="1" applyBorder="1" applyAlignment="1">
      <alignment horizontal="center" vertical="center" wrapText="1"/>
    </xf>
    <xf numFmtId="3" fontId="52" fillId="23" borderId="96" xfId="4" applyNumberFormat="1" applyFont="1" applyFill="1" applyBorder="1" applyAlignment="1">
      <alignment horizontal="center" vertical="center"/>
    </xf>
    <xf numFmtId="0" fontId="46" fillId="0" borderId="35" xfId="4" applyFont="1" applyFill="1" applyBorder="1" applyAlignment="1">
      <alignment horizontal="center" vertical="center" wrapText="1"/>
    </xf>
    <xf numFmtId="0" fontId="46" fillId="0" borderId="126" xfId="4" applyFont="1" applyFill="1" applyBorder="1" applyAlignment="1">
      <alignment horizontal="center" vertical="center" wrapText="1"/>
    </xf>
    <xf numFmtId="3" fontId="52" fillId="23" borderId="47" xfId="4" applyNumberFormat="1" applyFont="1" applyFill="1" applyBorder="1" applyAlignment="1">
      <alignment horizontal="center" vertical="center"/>
    </xf>
    <xf numFmtId="3" fontId="53" fillId="23" borderId="96" xfId="4" applyNumberFormat="1" applyFont="1" applyFill="1" applyBorder="1" applyAlignment="1">
      <alignment horizontal="center" vertical="center"/>
    </xf>
    <xf numFmtId="0" fontId="0" fillId="0" borderId="115" xfId="0" applyFont="1" applyBorder="1"/>
    <xf numFmtId="3" fontId="52" fillId="35" borderId="96" xfId="4" applyNumberFormat="1" applyFont="1" applyFill="1" applyBorder="1" applyAlignment="1">
      <alignment horizontal="center" vertical="center"/>
    </xf>
    <xf numFmtId="3" fontId="52" fillId="23" borderId="109" xfId="4" applyNumberFormat="1" applyFont="1" applyFill="1" applyBorder="1" applyAlignment="1">
      <alignment horizontal="right" vertical="center"/>
    </xf>
    <xf numFmtId="3" fontId="32" fillId="26" borderId="0" xfId="4" applyNumberFormat="1" applyFont="1" applyFill="1" applyBorder="1" applyAlignment="1">
      <alignment horizontal="right" vertical="center"/>
    </xf>
    <xf numFmtId="43" fontId="52" fillId="6" borderId="110" xfId="1" applyFont="1" applyFill="1" applyBorder="1" applyAlignment="1"/>
    <xf numFmtId="43" fontId="60" fillId="0" borderId="109" xfId="1" applyFont="1" applyFill="1" applyBorder="1" applyAlignment="1">
      <alignment vertical="center"/>
    </xf>
    <xf numFmtId="3" fontId="60" fillId="0" borderId="110" xfId="6" applyNumberFormat="1" applyFont="1" applyFill="1" applyBorder="1" applyAlignment="1">
      <alignment vertical="center"/>
    </xf>
    <xf numFmtId="43" fontId="60" fillId="0" borderId="110" xfId="1" applyFont="1" applyFill="1" applyBorder="1" applyAlignment="1">
      <alignment vertical="center"/>
    </xf>
    <xf numFmtId="43" fontId="61" fillId="0" borderId="110" xfId="1" applyFont="1" applyFill="1" applyBorder="1" applyAlignment="1">
      <alignment vertical="center"/>
    </xf>
    <xf numFmtId="43" fontId="32" fillId="0" borderId="108" xfId="1" applyFont="1" applyFill="1" applyBorder="1" applyAlignment="1">
      <alignment horizontal="right" vertical="center"/>
    </xf>
    <xf numFmtId="0" fontId="32" fillId="0" borderId="83" xfId="4" applyFont="1" applyFill="1" applyBorder="1" applyAlignment="1">
      <alignment horizontal="left" vertical="center"/>
    </xf>
    <xf numFmtId="3" fontId="32" fillId="0" borderId="72" xfId="4" applyNumberFormat="1" applyFont="1" applyFill="1" applyBorder="1" applyAlignment="1">
      <alignment vertical="center"/>
    </xf>
    <xf numFmtId="3" fontId="32" fillId="0" borderId="47" xfId="4" applyNumberFormat="1" applyFont="1" applyFill="1" applyBorder="1" applyAlignment="1">
      <alignment horizontal="center" vertical="center"/>
    </xf>
    <xf numFmtId="3" fontId="32" fillId="0" borderId="138" xfId="4" applyNumberFormat="1" applyFont="1" applyFill="1" applyBorder="1" applyAlignment="1">
      <alignment horizontal="right" vertical="center"/>
    </xf>
    <xf numFmtId="43" fontId="60" fillId="0" borderId="29" xfId="1" applyFont="1" applyFill="1" applyBorder="1" applyAlignment="1">
      <alignment vertical="center"/>
    </xf>
    <xf numFmtId="43" fontId="60" fillId="0" borderId="23" xfId="1" applyFont="1" applyFill="1" applyBorder="1" applyAlignment="1">
      <alignment vertical="center"/>
    </xf>
    <xf numFmtId="0" fontId="52" fillId="6" borderId="28" xfId="4" applyFont="1" applyFill="1" applyBorder="1" applyAlignment="1">
      <alignment horizontal="left" vertical="center"/>
    </xf>
    <xf numFmtId="3" fontId="52" fillId="6" borderId="125" xfId="4" applyNumberFormat="1" applyFont="1" applyFill="1" applyBorder="1" applyAlignment="1">
      <alignment horizontal="right" vertical="center"/>
    </xf>
    <xf numFmtId="3" fontId="32" fillId="0" borderId="47" xfId="4" applyNumberFormat="1" applyFont="1" applyFill="1" applyBorder="1" applyAlignment="1"/>
    <xf numFmtId="3" fontId="32" fillId="26" borderId="72" xfId="4" applyNumberFormat="1" applyFont="1" applyFill="1" applyBorder="1" applyAlignment="1">
      <alignment horizontal="right" vertical="center"/>
    </xf>
    <xf numFmtId="3" fontId="32" fillId="8" borderId="3" xfId="4" applyNumberFormat="1" applyFont="1" applyFill="1" applyBorder="1" applyAlignment="1">
      <alignment horizontal="right" vertical="center"/>
    </xf>
    <xf numFmtId="43" fontId="53" fillId="6" borderId="110" xfId="1" applyFont="1" applyFill="1" applyBorder="1" applyAlignment="1">
      <alignment horizontal="right" vertical="center"/>
    </xf>
    <xf numFmtId="43" fontId="55" fillId="0" borderId="27" xfId="1" applyFont="1" applyFill="1" applyBorder="1" applyAlignment="1">
      <alignment horizontal="right" vertical="center"/>
    </xf>
    <xf numFmtId="43" fontId="59" fillId="0" borderId="109" xfId="1" applyFont="1" applyFill="1" applyBorder="1" applyAlignment="1">
      <alignment horizontal="right" vertical="center"/>
    </xf>
    <xf numFmtId="43" fontId="32" fillId="0" borderId="110" xfId="1" applyFont="1" applyFill="1" applyBorder="1" applyAlignment="1">
      <alignment horizontal="right" vertical="center"/>
    </xf>
    <xf numFmtId="43" fontId="59" fillId="26" borderId="110" xfId="1" applyFont="1" applyFill="1" applyBorder="1" applyAlignment="1">
      <alignment horizontal="right" vertical="center"/>
    </xf>
    <xf numFmtId="43" fontId="59" fillId="0" borderId="110" xfId="1" applyFont="1" applyFill="1" applyBorder="1" applyAlignment="1"/>
    <xf numFmtId="43" fontId="59" fillId="0" borderId="110" xfId="1" applyFont="1" applyFill="1" applyBorder="1" applyAlignment="1">
      <alignment horizontal="right" vertical="center"/>
    </xf>
    <xf numFmtId="0" fontId="59" fillId="0" borderId="113" xfId="4" applyFont="1" applyFill="1" applyBorder="1" applyAlignment="1">
      <alignment vertical="center"/>
    </xf>
    <xf numFmtId="3" fontId="59" fillId="0" borderId="110" xfId="4" applyNumberFormat="1" applyFont="1" applyFill="1" applyBorder="1" applyAlignment="1">
      <alignment vertical="center"/>
    </xf>
    <xf numFmtId="43" fontId="52" fillId="6" borderId="110" xfId="1" applyFont="1" applyFill="1" applyBorder="1" applyAlignment="1">
      <alignment vertical="center"/>
    </xf>
    <xf numFmtId="43" fontId="52" fillId="33" borderId="110" xfId="1" applyFont="1" applyFill="1" applyBorder="1" applyAlignment="1"/>
    <xf numFmtId="43" fontId="59" fillId="33" borderId="110" xfId="1" applyFont="1" applyFill="1" applyBorder="1" applyAlignment="1"/>
    <xf numFmtId="3" fontId="57" fillId="2" borderId="110" xfId="4" applyNumberFormat="1" applyFont="1" applyFill="1" applyBorder="1" applyAlignment="1">
      <alignment vertical="center"/>
    </xf>
    <xf numFmtId="3" fontId="55" fillId="2" borderId="110" xfId="4" applyNumberFormat="1" applyFont="1" applyFill="1" applyBorder="1" applyAlignment="1">
      <alignment vertical="center"/>
    </xf>
    <xf numFmtId="43" fontId="57" fillId="2" borderId="110" xfId="1" applyFont="1" applyFill="1" applyBorder="1" applyAlignment="1">
      <alignment vertical="center"/>
    </xf>
    <xf numFmtId="3" fontId="59" fillId="0" borderId="72" xfId="4" applyNumberFormat="1" applyFont="1" applyFill="1" applyBorder="1" applyAlignment="1">
      <alignment vertical="center"/>
    </xf>
    <xf numFmtId="3" fontId="59" fillId="2" borderId="47" xfId="4" applyNumberFormat="1" applyFont="1" applyFill="1" applyBorder="1" applyAlignment="1">
      <alignment vertical="center"/>
    </xf>
    <xf numFmtId="3" fontId="59" fillId="2" borderId="72" xfId="4" applyNumberFormat="1" applyFont="1" applyFill="1" applyBorder="1" applyAlignment="1">
      <alignment vertical="center"/>
    </xf>
    <xf numFmtId="3" fontId="32" fillId="2" borderId="47" xfId="4" applyNumberFormat="1" applyFont="1" applyFill="1" applyBorder="1" applyAlignment="1">
      <alignment vertical="center"/>
    </xf>
    <xf numFmtId="43" fontId="32" fillId="2" borderId="47" xfId="1" applyFont="1" applyFill="1" applyBorder="1" applyAlignment="1">
      <alignment vertical="center"/>
    </xf>
    <xf numFmtId="3" fontId="59" fillId="2" borderId="74" xfId="4" applyNumberFormat="1" applyFont="1" applyFill="1" applyBorder="1" applyAlignment="1">
      <alignment vertical="center"/>
    </xf>
    <xf numFmtId="0" fontId="95" fillId="2" borderId="0" xfId="0" applyFont="1" applyFill="1" applyAlignment="1"/>
    <xf numFmtId="43" fontId="52" fillId="8" borderId="2" xfId="1" applyFont="1" applyFill="1" applyBorder="1" applyAlignment="1">
      <alignment horizontal="right" vertical="center"/>
    </xf>
    <xf numFmtId="3" fontId="51" fillId="6" borderId="98" xfId="6" applyNumberFormat="1" applyFont="1" applyFill="1" applyBorder="1" applyAlignment="1">
      <alignment horizontal="right" vertical="center"/>
    </xf>
    <xf numFmtId="43" fontId="51" fillId="6" borderId="98" xfId="1" applyFont="1" applyFill="1" applyBorder="1" applyAlignment="1">
      <alignment horizontal="right" vertical="center"/>
    </xf>
    <xf numFmtId="3" fontId="53" fillId="23" borderId="98" xfId="4" applyNumberFormat="1" applyFont="1" applyFill="1" applyBorder="1" applyAlignment="1">
      <alignment horizontal="right" vertical="center"/>
    </xf>
    <xf numFmtId="3" fontId="61" fillId="0" borderId="98" xfId="6" applyNumberFormat="1" applyFont="1" applyFill="1" applyBorder="1" applyAlignment="1">
      <alignment horizontal="right" vertical="center"/>
    </xf>
    <xf numFmtId="3" fontId="59" fillId="0" borderId="102" xfId="4" applyNumberFormat="1" applyFont="1" applyFill="1" applyBorder="1" applyAlignment="1">
      <alignment horizontal="right" vertical="center"/>
    </xf>
    <xf numFmtId="3" fontId="59" fillId="2" borderId="98" xfId="4" applyNumberFormat="1" applyFont="1" applyFill="1" applyBorder="1" applyAlignment="1">
      <alignment horizontal="right" vertical="center"/>
    </xf>
    <xf numFmtId="43" fontId="59" fillId="0" borderId="98" xfId="1" applyFont="1" applyFill="1" applyBorder="1" applyAlignment="1">
      <alignment horizontal="right" vertical="center"/>
    </xf>
    <xf numFmtId="3" fontId="59" fillId="0" borderId="13" xfId="4" applyNumberFormat="1" applyFont="1" applyFill="1" applyBorder="1" applyAlignment="1">
      <alignment horizontal="right" vertical="center"/>
    </xf>
    <xf numFmtId="3" fontId="59" fillId="0" borderId="27" xfId="4" applyNumberFormat="1" applyFont="1" applyFill="1" applyBorder="1" applyAlignment="1">
      <alignment horizontal="right" vertical="center"/>
    </xf>
    <xf numFmtId="43" fontId="59" fillId="0" borderId="27" xfId="1" applyFont="1" applyFill="1" applyBorder="1" applyAlignment="1">
      <alignment horizontal="right" vertical="center"/>
    </xf>
    <xf numFmtId="3" fontId="51" fillId="6" borderId="96" xfId="6" applyNumberFormat="1" applyFont="1" applyFill="1" applyBorder="1" applyAlignment="1">
      <alignment horizontal="right" vertical="center"/>
    </xf>
    <xf numFmtId="43" fontId="51" fillId="6" borderId="96" xfId="1" applyFont="1" applyFill="1" applyBorder="1" applyAlignment="1">
      <alignment horizontal="right" vertical="center"/>
    </xf>
    <xf numFmtId="3" fontId="59" fillId="2" borderId="104" xfId="4" applyNumberFormat="1" applyFont="1" applyFill="1" applyBorder="1" applyAlignment="1">
      <alignment vertical="top" wrapText="1"/>
    </xf>
    <xf numFmtId="3" fontId="61" fillId="0" borderId="100" xfId="6" applyNumberFormat="1" applyFont="1" applyFill="1" applyBorder="1" applyAlignment="1">
      <alignment horizontal="right" vertical="center"/>
    </xf>
    <xf numFmtId="43" fontId="61" fillId="0" borderId="100" xfId="1" applyFont="1" applyFill="1" applyBorder="1" applyAlignment="1">
      <alignment horizontal="right" vertical="center"/>
    </xf>
    <xf numFmtId="0" fontId="95" fillId="0" borderId="0" xfId="0" applyFont="1" applyFill="1" applyBorder="1" applyAlignment="1">
      <alignment vertical="center"/>
    </xf>
    <xf numFmtId="0" fontId="71" fillId="0" borderId="128" xfId="0" applyFont="1" applyBorder="1"/>
    <xf numFmtId="3" fontId="71" fillId="0" borderId="128" xfId="0" applyNumberFormat="1" applyFont="1" applyBorder="1"/>
    <xf numFmtId="43" fontId="71" fillId="0" borderId="128" xfId="0" applyNumberFormat="1" applyFont="1" applyBorder="1"/>
    <xf numFmtId="3" fontId="55" fillId="0" borderId="128" xfId="4" applyNumberFormat="1" applyFont="1" applyFill="1" applyBorder="1" applyAlignment="1">
      <alignment horizontal="right" vertical="center"/>
    </xf>
    <xf numFmtId="0" fontId="51" fillId="0" borderId="128" xfId="0" applyFont="1" applyBorder="1"/>
    <xf numFmtId="3" fontId="51" fillId="0" borderId="128" xfId="0" applyNumberFormat="1" applyFont="1" applyBorder="1"/>
    <xf numFmtId="43" fontId="51" fillId="0" borderId="128" xfId="0" applyNumberFormat="1" applyFont="1" applyBorder="1"/>
    <xf numFmtId="0" fontId="47" fillId="2" borderId="109" xfId="0" applyFont="1" applyFill="1" applyBorder="1" applyAlignment="1">
      <alignment vertical="center" wrapText="1"/>
    </xf>
    <xf numFmtId="0" fontId="51" fillId="0" borderId="109" xfId="0" applyFont="1" applyBorder="1" applyAlignment="1">
      <alignment horizontal="center" vertical="center" wrapText="1"/>
    </xf>
    <xf numFmtId="0" fontId="52" fillId="0" borderId="109" xfId="0" applyFont="1" applyBorder="1" applyAlignment="1">
      <alignment horizontal="center" vertical="center"/>
    </xf>
    <xf numFmtId="0" fontId="53" fillId="0" borderId="109" xfId="4" applyFont="1" applyBorder="1" applyAlignment="1">
      <alignment horizontal="center" vertical="center" wrapText="1"/>
    </xf>
    <xf numFmtId="0" fontId="53" fillId="33" borderId="109" xfId="4" applyFont="1" applyFill="1" applyBorder="1" applyAlignment="1">
      <alignment horizontal="center" vertical="center" wrapText="1"/>
    </xf>
    <xf numFmtId="0" fontId="49" fillId="2" borderId="109" xfId="0" applyFont="1" applyFill="1" applyBorder="1" applyAlignment="1">
      <alignment horizontal="center" vertical="top"/>
    </xf>
    <xf numFmtId="0" fontId="49" fillId="2" borderId="109" xfId="0" quotePrefix="1" applyFont="1" applyFill="1" applyBorder="1" applyAlignment="1">
      <alignment horizontal="center" vertical="top"/>
    </xf>
    <xf numFmtId="0" fontId="49" fillId="27" borderId="109" xfId="0" quotePrefix="1" applyFont="1" applyFill="1" applyBorder="1" applyAlignment="1">
      <alignment horizontal="center" vertical="top"/>
    </xf>
    <xf numFmtId="0" fontId="55" fillId="57" borderId="109" xfId="4" applyFont="1" applyFill="1" applyBorder="1" applyAlignment="1">
      <alignment horizontal="left" vertical="center"/>
    </xf>
    <xf numFmtId="3" fontId="55" fillId="57" borderId="109" xfId="4" applyNumberFormat="1" applyFont="1" applyFill="1" applyBorder="1" applyAlignment="1">
      <alignment horizontal="right" vertical="center"/>
    </xf>
    <xf numFmtId="3" fontId="55" fillId="22" borderId="109" xfId="4" applyNumberFormat="1" applyFont="1" applyFill="1" applyBorder="1" applyAlignment="1">
      <alignment horizontal="right" vertical="center"/>
    </xf>
    <xf numFmtId="0" fontId="46" fillId="8" borderId="109" xfId="4" applyFont="1" applyFill="1" applyBorder="1" applyAlignment="1">
      <alignment horizontal="center" vertical="top"/>
    </xf>
    <xf numFmtId="0" fontId="55" fillId="57" borderId="109" xfId="0" applyFont="1" applyFill="1" applyBorder="1" applyAlignment="1">
      <alignment horizontal="left" vertical="top"/>
    </xf>
    <xf numFmtId="0" fontId="56" fillId="57" borderId="109" xfId="0" quotePrefix="1" applyFont="1" applyFill="1" applyBorder="1" applyAlignment="1">
      <alignment horizontal="center" vertical="top"/>
    </xf>
    <xf numFmtId="3" fontId="55" fillId="57" borderId="109" xfId="0" quotePrefix="1" applyNumberFormat="1" applyFont="1" applyFill="1" applyBorder="1" applyAlignment="1">
      <alignment horizontal="right" vertical="top"/>
    </xf>
    <xf numFmtId="0" fontId="53" fillId="6" borderId="109" xfId="4" applyFont="1" applyFill="1" applyBorder="1" applyAlignment="1">
      <alignment horizontal="left" vertical="center"/>
    </xf>
    <xf numFmtId="3" fontId="52" fillId="6" borderId="109" xfId="4" applyNumberFormat="1" applyFont="1" applyFill="1" applyBorder="1" applyAlignment="1">
      <alignment horizontal="right" vertical="center"/>
    </xf>
    <xf numFmtId="3" fontId="46" fillId="8" borderId="109" xfId="4" applyNumberFormat="1" applyFont="1" applyFill="1" applyBorder="1" applyAlignment="1">
      <alignment horizontal="center" vertical="top"/>
    </xf>
    <xf numFmtId="3" fontId="57" fillId="8" borderId="109" xfId="4" applyNumberFormat="1" applyFont="1" applyFill="1" applyBorder="1" applyAlignment="1">
      <alignment vertical="top" wrapText="1"/>
    </xf>
    <xf numFmtId="3" fontId="57" fillId="8" borderId="109" xfId="4" applyNumberFormat="1" applyFont="1" applyFill="1" applyBorder="1" applyAlignment="1">
      <alignment horizontal="right" vertical="center"/>
    </xf>
    <xf numFmtId="3" fontId="57" fillId="24" borderId="109" xfId="4" applyNumberFormat="1" applyFont="1" applyFill="1" applyBorder="1" applyAlignment="1">
      <alignment horizontal="right" vertical="center"/>
    </xf>
    <xf numFmtId="3" fontId="32" fillId="8" borderId="109" xfId="4" applyNumberFormat="1" applyFont="1" applyFill="1" applyBorder="1" applyAlignment="1">
      <alignment vertical="top" wrapText="1"/>
    </xf>
    <xf numFmtId="3" fontId="60" fillId="8" borderId="109" xfId="0" applyNumberFormat="1" applyFont="1" applyFill="1" applyBorder="1"/>
    <xf numFmtId="0" fontId="32" fillId="8" borderId="109" xfId="4" applyFont="1" applyFill="1" applyBorder="1" applyAlignment="1">
      <alignment vertical="top" wrapText="1"/>
    </xf>
    <xf numFmtId="0" fontId="57" fillId="8" borderId="109" xfId="4" applyFont="1" applyFill="1" applyBorder="1" applyAlignment="1">
      <alignment vertical="top"/>
    </xf>
    <xf numFmtId="0" fontId="57" fillId="8" borderId="135" xfId="4" applyFont="1" applyFill="1" applyBorder="1" applyAlignment="1">
      <alignment vertical="top"/>
    </xf>
    <xf numFmtId="3" fontId="56" fillId="8" borderId="135" xfId="4" applyNumberFormat="1" applyFont="1" applyFill="1" applyBorder="1" applyAlignment="1">
      <alignment horizontal="right" vertical="center"/>
    </xf>
    <xf numFmtId="3" fontId="56" fillId="24" borderId="135" xfId="4" applyNumberFormat="1" applyFont="1" applyFill="1" applyBorder="1" applyAlignment="1">
      <alignment horizontal="right" vertical="center"/>
    </xf>
    <xf numFmtId="0" fontId="46" fillId="8" borderId="135" xfId="4" applyFont="1" applyFill="1" applyBorder="1" applyAlignment="1">
      <alignment horizontal="center" vertical="top"/>
    </xf>
    <xf numFmtId="3" fontId="32" fillId="8" borderId="137" xfId="4" applyNumberFormat="1" applyFont="1" applyFill="1" applyBorder="1" applyAlignment="1">
      <alignment vertical="top" wrapText="1"/>
    </xf>
    <xf numFmtId="3" fontId="32" fillId="8" borderId="135" xfId="4" applyNumberFormat="1" applyFont="1" applyFill="1" applyBorder="1" applyAlignment="1">
      <alignment vertical="top" wrapText="1"/>
    </xf>
    <xf numFmtId="3" fontId="60" fillId="8" borderId="109" xfId="6" applyNumberFormat="1" applyFont="1" applyFill="1" applyBorder="1" applyAlignment="1">
      <alignment vertical="center"/>
    </xf>
    <xf numFmtId="0" fontId="53" fillId="6" borderId="137" xfId="4" applyFont="1" applyFill="1" applyBorder="1" applyAlignment="1">
      <alignment horizontal="left" vertical="center"/>
    </xf>
    <xf numFmtId="0" fontId="53" fillId="6" borderId="135" xfId="4" applyFont="1" applyFill="1" applyBorder="1" applyAlignment="1">
      <alignment horizontal="left" vertical="center"/>
    </xf>
    <xf numFmtId="0" fontId="46" fillId="8" borderId="124" xfId="4" applyFont="1" applyFill="1" applyBorder="1" applyAlignment="1">
      <alignment horizontal="center" vertical="top"/>
    </xf>
    <xf numFmtId="3" fontId="0" fillId="58" borderId="109" xfId="0" applyNumberFormat="1" applyFont="1" applyFill="1" applyBorder="1"/>
    <xf numFmtId="3" fontId="57" fillId="8" borderId="137" xfId="4" applyNumberFormat="1" applyFont="1" applyFill="1" applyBorder="1" applyAlignment="1">
      <alignment vertical="top" wrapText="1"/>
    </xf>
    <xf numFmtId="3" fontId="55" fillId="8" borderId="135" xfId="4" applyNumberFormat="1" applyFont="1" applyFill="1" applyBorder="1" applyAlignment="1">
      <alignment vertical="top" wrapText="1"/>
    </xf>
    <xf numFmtId="3" fontId="61" fillId="8" borderId="124" xfId="6" applyNumberFormat="1" applyFont="1" applyFill="1" applyBorder="1" applyAlignment="1">
      <alignment vertical="center"/>
    </xf>
    <xf numFmtId="0" fontId="32" fillId="8" borderId="137" xfId="4" applyFont="1" applyFill="1" applyBorder="1" applyAlignment="1">
      <alignment vertical="top" wrapText="1"/>
    </xf>
    <xf numFmtId="0" fontId="32" fillId="8" borderId="135" xfId="4" applyFont="1" applyFill="1" applyBorder="1" applyAlignment="1">
      <alignment horizontal="left" vertical="center"/>
    </xf>
    <xf numFmtId="3" fontId="60" fillId="8" borderId="124" xfId="6" applyNumberFormat="1" applyFont="1" applyFill="1" applyBorder="1" applyAlignment="1">
      <alignment vertical="center"/>
    </xf>
    <xf numFmtId="0" fontId="55" fillId="8" borderId="137" xfId="4" applyFont="1" applyFill="1" applyBorder="1" applyAlignment="1">
      <alignment vertical="center"/>
    </xf>
    <xf numFmtId="0" fontId="55" fillId="8" borderId="135" xfId="4" applyFont="1" applyFill="1" applyBorder="1" applyAlignment="1">
      <alignment vertical="center"/>
    </xf>
    <xf numFmtId="0" fontId="46" fillId="8" borderId="124" xfId="4" applyFont="1" applyFill="1" applyBorder="1" applyAlignment="1">
      <alignment horizontal="center" vertical="center"/>
    </xf>
    <xf numFmtId="3" fontId="119" fillId="8" borderId="134" xfId="6" applyNumberFormat="1" applyFont="1" applyFill="1" applyBorder="1" applyAlignment="1">
      <alignment vertical="center"/>
    </xf>
    <xf numFmtId="3" fontId="61" fillId="8" borderId="134" xfId="6" applyNumberFormat="1" applyFont="1" applyFill="1" applyBorder="1" applyAlignment="1">
      <alignment vertical="center"/>
    </xf>
    <xf numFmtId="0" fontId="46" fillId="8" borderId="134" xfId="4" applyFont="1" applyFill="1" applyBorder="1" applyAlignment="1">
      <alignment horizontal="center" vertical="center"/>
    </xf>
    <xf numFmtId="0" fontId="32" fillId="8" borderId="47" xfId="4" applyFont="1" applyFill="1" applyBorder="1" applyAlignment="1">
      <alignment vertical="center"/>
    </xf>
    <xf numFmtId="3" fontId="60" fillId="8" borderId="47" xfId="6" applyNumberFormat="1" applyFont="1" applyFill="1" applyBorder="1" applyAlignment="1">
      <alignment vertical="center"/>
    </xf>
    <xf numFmtId="3" fontId="46" fillId="8" borderId="47" xfId="4" applyNumberFormat="1" applyFont="1" applyFill="1" applyBorder="1" applyAlignment="1">
      <alignment horizontal="center" vertical="top"/>
    </xf>
    <xf numFmtId="0" fontId="52" fillId="8" borderId="35" xfId="4" applyFont="1" applyFill="1" applyBorder="1" applyAlignment="1">
      <alignment vertical="center" wrapText="1"/>
    </xf>
    <xf numFmtId="0" fontId="52" fillId="8" borderId="35" xfId="4" applyFont="1" applyFill="1" applyBorder="1" applyAlignment="1">
      <alignment horizontal="center" vertical="center" wrapText="1"/>
    </xf>
    <xf numFmtId="3" fontId="52" fillId="8" borderId="35" xfId="4" applyNumberFormat="1" applyFont="1" applyFill="1" applyBorder="1" applyAlignment="1"/>
    <xf numFmtId="3" fontId="52" fillId="23" borderId="35" xfId="4" applyNumberFormat="1" applyFont="1" applyFill="1" applyBorder="1" applyAlignment="1">
      <alignment horizontal="right" vertical="center"/>
    </xf>
    <xf numFmtId="0" fontId="52" fillId="6" borderId="109" xfId="4" applyFont="1" applyFill="1" applyBorder="1" applyAlignment="1">
      <alignment horizontal="left" vertical="center"/>
    </xf>
    <xf numFmtId="0" fontId="57" fillId="2" borderId="109" xfId="4" applyFont="1" applyFill="1" applyBorder="1" applyAlignment="1">
      <alignment vertical="top"/>
    </xf>
    <xf numFmtId="3" fontId="55" fillId="24" borderId="109" xfId="4" applyNumberFormat="1" applyFont="1" applyFill="1" applyBorder="1" applyAlignment="1">
      <alignment horizontal="right" vertical="center"/>
    </xf>
    <xf numFmtId="0" fontId="32" fillId="0" borderId="109" xfId="4" applyFont="1" applyFill="1" applyBorder="1" applyAlignment="1">
      <alignment vertical="top"/>
    </xf>
    <xf numFmtId="3" fontId="32" fillId="26" borderId="109" xfId="4" applyNumberFormat="1" applyFont="1" applyFill="1" applyBorder="1" applyAlignment="1">
      <alignment horizontal="right" vertical="center"/>
    </xf>
    <xf numFmtId="3" fontId="32" fillId="26" borderId="109" xfId="4" applyNumberFormat="1" applyFont="1" applyFill="1" applyBorder="1" applyAlignment="1">
      <alignment horizontal="center" vertical="center"/>
    </xf>
    <xf numFmtId="3" fontId="61" fillId="24" borderId="109" xfId="6" applyNumberFormat="1" applyFont="1" applyFill="1" applyBorder="1" applyAlignment="1">
      <alignment vertical="center"/>
    </xf>
    <xf numFmtId="0" fontId="32" fillId="0" borderId="109" xfId="4" applyFont="1" applyFill="1" applyBorder="1" applyAlignment="1">
      <alignment vertical="center"/>
    </xf>
    <xf numFmtId="0" fontId="52" fillId="8" borderId="142" xfId="4" applyFont="1" applyFill="1" applyBorder="1" applyAlignment="1">
      <alignment vertical="center" wrapText="1"/>
    </xf>
    <xf numFmtId="0" fontId="52" fillId="8" borderId="142" xfId="4" applyFont="1" applyFill="1" applyBorder="1" applyAlignment="1">
      <alignment horizontal="center" vertical="center" wrapText="1"/>
    </xf>
    <xf numFmtId="3" fontId="32" fillId="8" borderId="142" xfId="4" applyNumberFormat="1" applyFont="1" applyFill="1" applyBorder="1" applyAlignment="1">
      <alignment horizontal="right" vertical="center"/>
    </xf>
    <xf numFmtId="3" fontId="52" fillId="8" borderId="142" xfId="4" applyNumberFormat="1" applyFont="1" applyFill="1" applyBorder="1" applyAlignment="1">
      <alignment horizontal="right" vertical="center"/>
    </xf>
    <xf numFmtId="3" fontId="52" fillId="23" borderId="142" xfId="4" applyNumberFormat="1" applyFont="1" applyFill="1" applyBorder="1" applyAlignment="1">
      <alignment horizontal="right" vertical="center"/>
    </xf>
    <xf numFmtId="0" fontId="52" fillId="6" borderId="142" xfId="4" applyFont="1" applyFill="1" applyBorder="1" applyAlignment="1">
      <alignment horizontal="left" vertical="center"/>
    </xf>
    <xf numFmtId="0" fontId="53" fillId="6" borderId="142" xfId="4" applyFont="1" applyFill="1" applyBorder="1" applyAlignment="1">
      <alignment horizontal="left" vertical="center"/>
    </xf>
    <xf numFmtId="3" fontId="53" fillId="6" borderId="142" xfId="4" applyNumberFormat="1" applyFont="1" applyFill="1" applyBorder="1" applyAlignment="1">
      <alignment horizontal="right" vertical="center"/>
    </xf>
    <xf numFmtId="3" fontId="57" fillId="2" borderId="142" xfId="4" applyNumberFormat="1" applyFont="1" applyFill="1" applyBorder="1" applyAlignment="1">
      <alignment vertical="top" wrapText="1"/>
    </xf>
    <xf numFmtId="3" fontId="55" fillId="0" borderId="142" xfId="4" applyNumberFormat="1" applyFont="1" applyFill="1" applyBorder="1" applyAlignment="1">
      <alignment horizontal="right" vertical="center"/>
    </xf>
    <xf numFmtId="3" fontId="55" fillId="24" borderId="142" xfId="4" applyNumberFormat="1" applyFont="1" applyFill="1" applyBorder="1" applyAlignment="1">
      <alignment horizontal="right" vertical="center"/>
    </xf>
    <xf numFmtId="0" fontId="32" fillId="0" borderId="142" xfId="4" applyFont="1" applyFill="1" applyBorder="1" applyAlignment="1">
      <alignment vertical="top"/>
    </xf>
    <xf numFmtId="3" fontId="60" fillId="0" borderId="142" xfId="6" applyNumberFormat="1" applyFont="1" applyFill="1" applyBorder="1" applyAlignment="1">
      <alignment vertical="center"/>
    </xf>
    <xf numFmtId="3" fontId="32" fillId="26" borderId="142" xfId="4" applyNumberFormat="1" applyFont="1" applyFill="1" applyBorder="1" applyAlignment="1">
      <alignment horizontal="right" vertical="center"/>
    </xf>
    <xf numFmtId="0" fontId="57" fillId="2" borderId="142" xfId="4" applyFont="1" applyFill="1" applyBorder="1" applyAlignment="1">
      <alignment vertical="top"/>
    </xf>
    <xf numFmtId="3" fontId="61" fillId="0" borderId="142" xfId="6" applyNumberFormat="1" applyFont="1" applyFill="1" applyBorder="1" applyAlignment="1">
      <alignment vertical="center"/>
    </xf>
    <xf numFmtId="3" fontId="61" fillId="24" borderId="142" xfId="6" applyNumberFormat="1" applyFont="1" applyFill="1" applyBorder="1" applyAlignment="1">
      <alignment vertical="center"/>
    </xf>
    <xf numFmtId="0" fontId="0" fillId="0" borderId="135" xfId="0" applyFont="1" applyBorder="1"/>
    <xf numFmtId="3" fontId="52" fillId="6" borderId="142" xfId="4" applyNumberFormat="1" applyFont="1" applyFill="1" applyBorder="1" applyAlignment="1"/>
    <xf numFmtId="0" fontId="32" fillId="0" borderId="144" xfId="4" applyFont="1" applyFill="1" applyBorder="1" applyAlignment="1">
      <alignment vertical="center"/>
    </xf>
    <xf numFmtId="3" fontId="60" fillId="0" borderId="144" xfId="6" applyNumberFormat="1" applyFont="1" applyFill="1" applyBorder="1" applyAlignment="1">
      <alignment vertical="center"/>
    </xf>
    <xf numFmtId="3" fontId="32" fillId="0" borderId="144" xfId="4" applyNumberFormat="1" applyFont="1" applyFill="1" applyBorder="1" applyAlignment="1">
      <alignment horizontal="right" vertical="center"/>
    </xf>
    <xf numFmtId="3" fontId="59" fillId="0" borderId="144" xfId="4" applyNumberFormat="1" applyFont="1" applyFill="1" applyBorder="1" applyAlignment="1">
      <alignment horizontal="right" vertical="center"/>
    </xf>
    <xf numFmtId="0" fontId="52" fillId="8" borderId="79" xfId="4" applyFont="1" applyFill="1" applyBorder="1" applyAlignment="1">
      <alignment vertical="center" wrapText="1"/>
    </xf>
    <xf numFmtId="0" fontId="52" fillId="8" borderId="70" xfId="4" applyFont="1" applyFill="1" applyBorder="1" applyAlignment="1">
      <alignment horizontal="center" vertical="center" wrapText="1"/>
    </xf>
    <xf numFmtId="3" fontId="52" fillId="23" borderId="70" xfId="4" applyNumberFormat="1" applyFont="1" applyFill="1" applyBorder="1" applyAlignment="1">
      <alignment horizontal="right" vertical="center"/>
    </xf>
    <xf numFmtId="0" fontId="0" fillId="0" borderId="145" xfId="0" applyFont="1" applyBorder="1"/>
    <xf numFmtId="3" fontId="0" fillId="0" borderId="145" xfId="0" applyNumberFormat="1" applyFont="1" applyBorder="1"/>
    <xf numFmtId="0" fontId="60" fillId="0" borderId="142" xfId="0" applyFont="1" applyFill="1" applyBorder="1" applyAlignment="1">
      <alignment horizontal="center" vertical="center" wrapText="1"/>
    </xf>
    <xf numFmtId="0" fontId="32" fillId="0" borderId="144" xfId="4" applyFont="1" applyFill="1" applyBorder="1" applyAlignment="1">
      <alignment vertical="top"/>
    </xf>
    <xf numFmtId="3" fontId="57" fillId="2" borderId="109" xfId="4" applyNumberFormat="1" applyFont="1" applyFill="1" applyBorder="1" applyAlignment="1">
      <alignment vertical="top" wrapText="1"/>
    </xf>
    <xf numFmtId="0" fontId="52" fillId="8" borderId="109" xfId="4" applyFont="1" applyFill="1" applyBorder="1" applyAlignment="1">
      <alignment vertical="center" wrapText="1"/>
    </xf>
    <xf numFmtId="0" fontId="52" fillId="8" borderId="109" xfId="4" applyFont="1" applyFill="1" applyBorder="1" applyAlignment="1">
      <alignment horizontal="center" vertical="center" wrapText="1"/>
    </xf>
    <xf numFmtId="3" fontId="52" fillId="8" borderId="109" xfId="4" applyNumberFormat="1" applyFont="1" applyFill="1" applyBorder="1" applyAlignment="1">
      <alignment horizontal="right" vertical="center"/>
    </xf>
    <xf numFmtId="0" fontId="32" fillId="0" borderId="47" xfId="4" applyFont="1" applyFill="1" applyBorder="1" applyAlignment="1">
      <alignment vertical="center"/>
    </xf>
    <xf numFmtId="0" fontId="57" fillId="2" borderId="109" xfId="4" applyFont="1" applyFill="1" applyBorder="1" applyAlignment="1">
      <alignment vertical="center"/>
    </xf>
    <xf numFmtId="0" fontId="60" fillId="0" borderId="109" xfId="0" applyFont="1" applyBorder="1"/>
    <xf numFmtId="0" fontId="52" fillId="8" borderId="124" xfId="4" applyFont="1" applyFill="1" applyBorder="1" applyAlignment="1">
      <alignment vertical="center" wrapText="1"/>
    </xf>
    <xf numFmtId="0" fontId="52" fillId="8" borderId="124" xfId="4" applyFont="1" applyFill="1" applyBorder="1" applyAlignment="1">
      <alignment horizontal="center" vertical="center" wrapText="1"/>
    </xf>
    <xf numFmtId="3" fontId="52" fillId="8" borderId="124" xfId="4" applyNumberFormat="1" applyFont="1" applyFill="1" applyBorder="1" applyAlignment="1">
      <alignment horizontal="right" vertical="center"/>
    </xf>
    <xf numFmtId="0" fontId="52" fillId="6" borderId="124" xfId="4" applyFont="1" applyFill="1" applyBorder="1" applyAlignment="1">
      <alignment horizontal="left" vertical="center"/>
    </xf>
    <xf numFmtId="0" fontId="53" fillId="6" borderId="124" xfId="4" applyFont="1" applyFill="1" applyBorder="1" applyAlignment="1">
      <alignment horizontal="left" vertical="center"/>
    </xf>
    <xf numFmtId="3" fontId="57" fillId="2" borderId="124" xfId="4" applyNumberFormat="1" applyFont="1" applyFill="1" applyBorder="1" applyAlignment="1">
      <alignment vertical="top" wrapText="1"/>
    </xf>
    <xf numFmtId="0" fontId="32" fillId="0" borderId="124" xfId="4" applyFont="1" applyFill="1" applyBorder="1" applyAlignment="1">
      <alignment vertical="top"/>
    </xf>
    <xf numFmtId="3" fontId="32" fillId="26" borderId="124" xfId="4" applyNumberFormat="1" applyFont="1" applyFill="1" applyBorder="1" applyAlignment="1">
      <alignment horizontal="right" vertical="center"/>
    </xf>
    <xf numFmtId="0" fontId="57" fillId="2" borderId="124" xfId="4" applyFont="1" applyFill="1" applyBorder="1" applyAlignment="1">
      <alignment vertical="top"/>
    </xf>
    <xf numFmtId="3" fontId="61" fillId="26" borderId="124" xfId="6" applyNumberFormat="1" applyFont="1" applyFill="1" applyBorder="1" applyAlignment="1">
      <alignment vertical="center"/>
    </xf>
    <xf numFmtId="3" fontId="52" fillId="6" borderId="124" xfId="4" applyNumberFormat="1" applyFont="1" applyFill="1" applyBorder="1" applyAlignment="1"/>
    <xf numFmtId="0" fontId="60" fillId="0" borderId="47" xfId="0" applyFont="1" applyBorder="1"/>
    <xf numFmtId="3" fontId="55" fillId="0" borderId="109" xfId="4" applyNumberFormat="1" applyFont="1" applyFill="1" applyBorder="1" applyAlignment="1">
      <alignment horizontal="center" vertical="center"/>
    </xf>
    <xf numFmtId="3" fontId="59" fillId="24" borderId="109" xfId="0" applyNumberFormat="1" applyFont="1" applyFill="1" applyBorder="1" applyAlignment="1">
      <alignment vertical="center"/>
    </xf>
    <xf numFmtId="3" fontId="59" fillId="0" borderId="109" xfId="0" applyNumberFormat="1" applyFont="1" applyFill="1" applyBorder="1" applyAlignment="1">
      <alignment horizontal="right"/>
    </xf>
    <xf numFmtId="0" fontId="59" fillId="0" borderId="113" xfId="0" applyFont="1" applyFill="1" applyBorder="1" applyAlignment="1">
      <alignment horizontal="left" vertical="center" wrapText="1"/>
    </xf>
    <xf numFmtId="3" fontId="55" fillId="2" borderId="122" xfId="4" applyNumberFormat="1" applyFont="1" applyFill="1" applyBorder="1" applyAlignment="1">
      <alignment vertical="center" wrapText="1"/>
    </xf>
    <xf numFmtId="0" fontId="55" fillId="2" borderId="115" xfId="4" applyFont="1" applyFill="1" applyBorder="1" applyAlignment="1">
      <alignment vertical="top"/>
    </xf>
    <xf numFmtId="3" fontId="48" fillId="0" borderId="0" xfId="0" applyNumberFormat="1" applyFont="1" applyFill="1" applyBorder="1" applyAlignment="1">
      <alignment vertical="center"/>
    </xf>
    <xf numFmtId="0" fontId="32" fillId="0" borderId="32" xfId="4" applyFont="1" applyFill="1" applyBorder="1" applyAlignment="1"/>
    <xf numFmtId="0" fontId="53" fillId="6" borderId="131" xfId="4" applyFont="1" applyFill="1" applyBorder="1" applyAlignment="1">
      <alignment horizontal="left" vertical="center"/>
    </xf>
    <xf numFmtId="3" fontId="55" fillId="2" borderId="136" xfId="4" applyNumberFormat="1" applyFont="1" applyFill="1" applyBorder="1" applyAlignment="1">
      <alignment vertical="top" wrapText="1"/>
    </xf>
    <xf numFmtId="3" fontId="55" fillId="0" borderId="143" xfId="4" applyNumberFormat="1" applyFont="1" applyFill="1" applyBorder="1" applyAlignment="1">
      <alignment horizontal="right" vertical="center"/>
    </xf>
    <xf numFmtId="3" fontId="55" fillId="0" borderId="127" xfId="4" applyNumberFormat="1" applyFont="1" applyFill="1" applyBorder="1" applyAlignment="1">
      <alignment horizontal="right" vertical="center"/>
    </xf>
    <xf numFmtId="3" fontId="55" fillId="26" borderId="145" xfId="4" applyNumberFormat="1" applyFont="1" applyFill="1" applyBorder="1" applyAlignment="1">
      <alignment horizontal="right" vertical="center"/>
    </xf>
    <xf numFmtId="0" fontId="32" fillId="0" borderId="136" xfId="4" applyFont="1" applyFill="1" applyBorder="1" applyAlignment="1">
      <alignment vertical="top"/>
    </xf>
    <xf numFmtId="3" fontId="60" fillId="0" borderId="145" xfId="6" applyNumberFormat="1" applyFont="1" applyFill="1" applyBorder="1" applyAlignment="1">
      <alignment vertical="center"/>
    </xf>
    <xf numFmtId="3" fontId="32" fillId="0" borderId="143" xfId="4" applyNumberFormat="1" applyFont="1" applyFill="1" applyBorder="1" applyAlignment="1">
      <alignment horizontal="right" vertical="center"/>
    </xf>
    <xf numFmtId="3" fontId="32" fillId="0" borderId="127" xfId="4" applyNumberFormat="1" applyFont="1" applyFill="1" applyBorder="1" applyAlignment="1">
      <alignment horizontal="right" vertical="center"/>
    </xf>
    <xf numFmtId="3" fontId="32" fillId="24" borderId="142" xfId="4" applyNumberFormat="1" applyFont="1" applyFill="1" applyBorder="1" applyAlignment="1">
      <alignment vertical="top"/>
    </xf>
    <xf numFmtId="3" fontId="55" fillId="2" borderId="131" xfId="4" applyNumberFormat="1" applyFont="1" applyFill="1" applyBorder="1" applyAlignment="1">
      <alignment vertical="center" wrapText="1"/>
    </xf>
    <xf numFmtId="0" fontId="46" fillId="0" borderId="42" xfId="0" applyFont="1" applyFill="1" applyBorder="1" applyAlignment="1">
      <alignment vertical="center" wrapText="1"/>
    </xf>
    <xf numFmtId="0" fontId="55" fillId="57" borderId="17" xfId="4" applyFont="1" applyFill="1" applyBorder="1" applyAlignment="1">
      <alignment horizontal="left" vertical="center"/>
    </xf>
    <xf numFmtId="3" fontId="60" fillId="8" borderId="37" xfId="6" applyNumberFormat="1" applyFont="1" applyFill="1" applyBorder="1" applyAlignment="1">
      <alignment vertical="center"/>
    </xf>
    <xf numFmtId="3" fontId="55" fillId="2" borderId="31" xfId="4" applyNumberFormat="1" applyFont="1" applyFill="1" applyBorder="1" applyAlignment="1">
      <alignment vertical="center" wrapText="1"/>
    </xf>
    <xf numFmtId="3" fontId="32" fillId="24" borderId="72" xfId="4" applyNumberFormat="1" applyFont="1" applyFill="1" applyBorder="1" applyAlignment="1">
      <alignment vertical="center"/>
    </xf>
    <xf numFmtId="3" fontId="57" fillId="0" borderId="65" xfId="4" applyNumberFormat="1" applyFont="1" applyFill="1" applyBorder="1" applyAlignment="1">
      <alignment horizontal="right" vertical="center"/>
    </xf>
    <xf numFmtId="3" fontId="57" fillId="26" borderId="30" xfId="4" applyNumberFormat="1" applyFont="1" applyFill="1" applyBorder="1" applyAlignment="1">
      <alignment horizontal="right" vertical="center"/>
    </xf>
    <xf numFmtId="3" fontId="32" fillId="0" borderId="30" xfId="112" applyNumberFormat="1" applyFont="1" applyFill="1" applyBorder="1" applyAlignment="1">
      <alignment vertical="center"/>
    </xf>
    <xf numFmtId="3" fontId="59" fillId="0" borderId="30" xfId="112" applyNumberFormat="1" applyFont="1" applyFill="1" applyBorder="1" applyAlignment="1">
      <alignment vertical="center"/>
    </xf>
    <xf numFmtId="3" fontId="32" fillId="0" borderId="35" xfId="112" applyNumberFormat="1" applyFont="1" applyFill="1" applyBorder="1" applyAlignment="1">
      <alignment vertical="center"/>
    </xf>
    <xf numFmtId="3" fontId="32" fillId="24" borderId="2" xfId="112" applyNumberFormat="1" applyFont="1" applyFill="1" applyBorder="1" applyAlignment="1">
      <alignment vertical="top"/>
    </xf>
    <xf numFmtId="0" fontId="125" fillId="0" borderId="119" xfId="5" applyFont="1" applyBorder="1" applyAlignment="1">
      <alignment horizontal="left" vertical="center" wrapText="1"/>
    </xf>
    <xf numFmtId="0" fontId="125" fillId="0" borderId="115" xfId="5" applyFont="1" applyBorder="1" applyAlignment="1">
      <alignment horizontal="left" vertical="center" wrapText="1"/>
    </xf>
    <xf numFmtId="0" fontId="125" fillId="0" borderId="125" xfId="5" applyFont="1" applyBorder="1" applyAlignment="1">
      <alignment horizontal="left" vertical="center" wrapText="1"/>
    </xf>
    <xf numFmtId="0" fontId="118" fillId="20" borderId="119" xfId="5" applyFont="1" applyFill="1" applyBorder="1" applyAlignment="1">
      <alignment horizontal="center" vertical="center"/>
    </xf>
    <xf numFmtId="0" fontId="118" fillId="20" borderId="115" xfId="5" applyFont="1" applyFill="1" applyBorder="1" applyAlignment="1">
      <alignment horizontal="center" vertical="center"/>
    </xf>
    <xf numFmtId="0" fontId="118" fillId="20" borderId="110" xfId="5" applyFont="1" applyFill="1" applyBorder="1" applyAlignment="1">
      <alignment horizontal="center" vertical="center"/>
    </xf>
    <xf numFmtId="0" fontId="125" fillId="0" borderId="110" xfId="5" applyFont="1" applyBorder="1" applyAlignment="1">
      <alignment horizontal="left" vertical="center" wrapText="1"/>
    </xf>
    <xf numFmtId="0" fontId="109" fillId="0" borderId="118" xfId="0" applyFont="1" applyBorder="1" applyAlignment="1">
      <alignment horizontal="center"/>
    </xf>
    <xf numFmtId="0" fontId="109" fillId="0" borderId="114" xfId="0" applyFont="1" applyBorder="1" applyAlignment="1">
      <alignment horizontal="center"/>
    </xf>
    <xf numFmtId="0" fontId="115" fillId="0" borderId="8" xfId="0" applyFont="1" applyBorder="1" applyAlignment="1">
      <alignment horizontal="center"/>
    </xf>
    <xf numFmtId="0" fontId="124" fillId="0" borderId="119" xfId="5" applyFont="1" applyBorder="1" applyAlignment="1">
      <alignment horizontal="center" vertical="center" wrapText="1"/>
    </xf>
    <xf numFmtId="0" fontId="124" fillId="0" borderId="115" xfId="5" applyFont="1" applyBorder="1" applyAlignment="1">
      <alignment horizontal="center" vertical="center" wrapText="1"/>
    </xf>
    <xf numFmtId="0" fontId="124" fillId="0" borderId="110" xfId="5" applyFont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23" xfId="0" applyFont="1" applyFill="1" applyBorder="1" applyAlignment="1">
      <alignment horizontal="center" vertical="center" wrapText="1"/>
    </xf>
    <xf numFmtId="0" fontId="14" fillId="16" borderId="4" xfId="0" applyFont="1" applyFill="1" applyBorder="1" applyAlignment="1">
      <alignment horizontal="center" wrapText="1"/>
    </xf>
    <xf numFmtId="0" fontId="14" fillId="16" borderId="23" xfId="0" applyFont="1" applyFill="1" applyBorder="1" applyAlignment="1">
      <alignment horizontal="center" wrapText="1"/>
    </xf>
    <xf numFmtId="3" fontId="16" fillId="2" borderId="1" xfId="0" applyNumberFormat="1" applyFont="1" applyFill="1" applyBorder="1" applyAlignment="1">
      <alignment horizontal="center" vertical="center" wrapText="1"/>
    </xf>
    <xf numFmtId="3" fontId="16" fillId="2" borderId="3" xfId="0" applyNumberFormat="1" applyFont="1" applyFill="1" applyBorder="1" applyAlignment="1">
      <alignment horizontal="center" vertical="center" wrapText="1"/>
    </xf>
    <xf numFmtId="3" fontId="16" fillId="2" borderId="26" xfId="0" applyNumberFormat="1" applyFont="1" applyFill="1" applyBorder="1" applyAlignment="1">
      <alignment horizontal="center" vertical="center" wrapText="1"/>
    </xf>
    <xf numFmtId="3" fontId="16" fillId="2" borderId="0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3" fontId="21" fillId="10" borderId="104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1" xfId="0" applyFont="1" applyFill="1" applyBorder="1" applyAlignment="1">
      <alignment horizontal="center" vertical="center" wrapText="1"/>
    </xf>
    <xf numFmtId="3" fontId="21" fillId="10" borderId="33" xfId="0" applyNumberFormat="1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 wrapText="1"/>
    </xf>
    <xf numFmtId="3" fontId="52" fillId="27" borderId="62" xfId="4" applyNumberFormat="1" applyFont="1" applyFill="1" applyBorder="1" applyAlignment="1">
      <alignment horizontal="center" vertical="center"/>
    </xf>
    <xf numFmtId="3" fontId="52" fillId="27" borderId="10" xfId="4" applyNumberFormat="1" applyFont="1" applyFill="1" applyBorder="1" applyAlignment="1">
      <alignment horizontal="center" vertical="center"/>
    </xf>
    <xf numFmtId="3" fontId="52" fillId="27" borderId="74" xfId="4" applyNumberFormat="1" applyFont="1" applyFill="1" applyBorder="1" applyAlignment="1">
      <alignment horizontal="center" vertical="center"/>
    </xf>
    <xf numFmtId="3" fontId="59" fillId="27" borderId="126" xfId="4" applyNumberFormat="1" applyFont="1" applyFill="1" applyBorder="1" applyAlignment="1">
      <alignment horizontal="center" vertical="center"/>
    </xf>
    <xf numFmtId="3" fontId="59" fillId="27" borderId="13" xfId="4" applyNumberFormat="1" applyFont="1" applyFill="1" applyBorder="1" applyAlignment="1">
      <alignment horizontal="center" vertical="center"/>
    </xf>
    <xf numFmtId="3" fontId="59" fillId="27" borderId="12" xfId="4" applyNumberFormat="1" applyFont="1" applyFill="1" applyBorder="1" applyAlignment="1">
      <alignment horizontal="center" vertical="center"/>
    </xf>
    <xf numFmtId="3" fontId="59" fillId="27" borderId="63" xfId="4" applyNumberFormat="1" applyFont="1" applyFill="1" applyBorder="1" applyAlignment="1">
      <alignment horizontal="center" vertical="center"/>
    </xf>
    <xf numFmtId="3" fontId="53" fillId="27" borderId="63" xfId="4" applyNumberFormat="1" applyFont="1" applyFill="1" applyBorder="1" applyAlignment="1">
      <alignment horizontal="center" vertical="center"/>
    </xf>
    <xf numFmtId="3" fontId="53" fillId="27" borderId="13" xfId="4" applyNumberFormat="1" applyFont="1" applyFill="1" applyBorder="1" applyAlignment="1">
      <alignment horizontal="center" vertical="center"/>
    </xf>
    <xf numFmtId="3" fontId="53" fillId="27" borderId="12" xfId="4" applyNumberFormat="1" applyFont="1" applyFill="1" applyBorder="1" applyAlignment="1">
      <alignment horizontal="center" vertical="center"/>
    </xf>
    <xf numFmtId="43" fontId="52" fillId="23" borderId="103" xfId="1" applyFont="1" applyFill="1" applyBorder="1" applyAlignment="1">
      <alignment horizontal="center" vertical="center"/>
    </xf>
    <xf numFmtId="43" fontId="52" fillId="23" borderId="10" xfId="1" applyFont="1" applyFill="1" applyBorder="1" applyAlignment="1">
      <alignment horizontal="center" vertical="center"/>
    </xf>
    <xf numFmtId="43" fontId="52" fillId="23" borderId="74" xfId="1" applyFont="1" applyFill="1" applyBorder="1" applyAlignment="1">
      <alignment horizontal="center" vertical="center"/>
    </xf>
    <xf numFmtId="3" fontId="53" fillId="26" borderId="63" xfId="4" applyNumberFormat="1" applyFont="1" applyFill="1" applyBorder="1" applyAlignment="1">
      <alignment horizontal="center" vertical="center"/>
    </xf>
    <xf numFmtId="3" fontId="53" fillId="26" borderId="13" xfId="4" applyNumberFormat="1" applyFont="1" applyFill="1" applyBorder="1" applyAlignment="1">
      <alignment horizontal="center" vertical="center"/>
    </xf>
    <xf numFmtId="3" fontId="53" fillId="26" borderId="12" xfId="4" applyNumberFormat="1" applyFont="1" applyFill="1" applyBorder="1" applyAlignment="1">
      <alignment horizontal="center" vertical="center"/>
    </xf>
    <xf numFmtId="3" fontId="53" fillId="27" borderId="143" xfId="4" applyNumberFormat="1" applyFont="1" applyFill="1" applyBorder="1" applyAlignment="1">
      <alignment horizontal="center" vertical="center"/>
    </xf>
    <xf numFmtId="3" fontId="52" fillId="27" borderId="63" xfId="4" applyNumberFormat="1" applyFont="1" applyFill="1" applyBorder="1" applyAlignment="1">
      <alignment horizontal="center" vertical="center"/>
    </xf>
    <xf numFmtId="3" fontId="52" fillId="27" borderId="13" xfId="4" applyNumberFormat="1" applyFont="1" applyFill="1" applyBorder="1" applyAlignment="1">
      <alignment horizontal="center" vertical="center"/>
    </xf>
    <xf numFmtId="3" fontId="52" fillId="27" borderId="12" xfId="4" applyNumberFormat="1" applyFont="1" applyFill="1" applyBorder="1" applyAlignment="1">
      <alignment horizontal="center" vertical="center"/>
    </xf>
    <xf numFmtId="3" fontId="52" fillId="27" borderId="114" xfId="4" applyNumberFormat="1" applyFont="1" applyFill="1" applyBorder="1" applyAlignment="1">
      <alignment horizontal="center" vertical="center"/>
    </xf>
    <xf numFmtId="3" fontId="52" fillId="27" borderId="27" xfId="4" applyNumberFormat="1" applyFont="1" applyFill="1" applyBorder="1" applyAlignment="1">
      <alignment horizontal="center" vertical="center"/>
    </xf>
    <xf numFmtId="3" fontId="52" fillId="27" borderId="23" xfId="4" applyNumberFormat="1" applyFont="1" applyFill="1" applyBorder="1" applyAlignment="1">
      <alignment horizontal="center" vertical="center"/>
    </xf>
    <xf numFmtId="3" fontId="53" fillId="27" borderId="126" xfId="4" applyNumberFormat="1" applyFont="1" applyFill="1" applyBorder="1" applyAlignment="1">
      <alignment horizontal="center" vertical="center"/>
    </xf>
    <xf numFmtId="3" fontId="53" fillId="27" borderId="108" xfId="4" applyNumberFormat="1" applyFont="1" applyFill="1" applyBorder="1" applyAlignment="1">
      <alignment horizontal="center" vertical="center"/>
    </xf>
    <xf numFmtId="43" fontId="52" fillId="23" borderId="62" xfId="1" applyFont="1" applyFill="1" applyBorder="1" applyAlignment="1">
      <alignment horizontal="center" vertical="center"/>
    </xf>
    <xf numFmtId="43" fontId="52" fillId="23" borderId="63" xfId="1" applyFont="1" applyFill="1" applyBorder="1" applyAlignment="1">
      <alignment horizontal="center" vertical="center"/>
    </xf>
    <xf numFmtId="43" fontId="52" fillId="23" borderId="13" xfId="1" applyFont="1" applyFill="1" applyBorder="1" applyAlignment="1">
      <alignment horizontal="center" vertical="center"/>
    </xf>
    <xf numFmtId="43" fontId="52" fillId="23" borderId="12" xfId="1" applyFont="1" applyFill="1" applyBorder="1" applyAlignment="1">
      <alignment horizontal="center" vertical="center"/>
    </xf>
    <xf numFmtId="3" fontId="52" fillId="27" borderId="108" xfId="4" applyNumberFormat="1" applyFont="1" applyFill="1" applyBorder="1" applyAlignment="1">
      <alignment horizontal="center" vertical="center"/>
    </xf>
    <xf numFmtId="3" fontId="53" fillId="27" borderId="139" xfId="4" applyNumberFormat="1" applyFont="1" applyFill="1" applyBorder="1" applyAlignment="1">
      <alignment horizontal="center" vertical="center"/>
    </xf>
    <xf numFmtId="0" fontId="52" fillId="2" borderId="5" xfId="4" applyFont="1" applyFill="1" applyBorder="1" applyAlignment="1">
      <alignment horizontal="center" vertical="center"/>
    </xf>
    <xf numFmtId="0" fontId="52" fillId="2" borderId="11" xfId="4" applyFont="1" applyFill="1" applyBorder="1" applyAlignment="1">
      <alignment horizontal="center" vertical="center"/>
    </xf>
    <xf numFmtId="0" fontId="52" fillId="2" borderId="25" xfId="4" applyFont="1" applyFill="1" applyBorder="1" applyAlignment="1">
      <alignment horizontal="center" vertical="center"/>
    </xf>
    <xf numFmtId="3" fontId="46" fillId="0" borderId="42" xfId="4" applyNumberFormat="1" applyFont="1" applyFill="1" applyBorder="1" applyAlignment="1">
      <alignment horizontal="center" vertical="center" wrapText="1"/>
    </xf>
    <xf numFmtId="3" fontId="46" fillId="0" borderId="43" xfId="4" applyNumberFormat="1" applyFont="1" applyFill="1" applyBorder="1" applyAlignment="1">
      <alignment horizontal="center" vertical="center" wrapText="1"/>
    </xf>
    <xf numFmtId="3" fontId="46" fillId="0" borderId="41" xfId="4" applyNumberFormat="1" applyFont="1" applyFill="1" applyBorder="1" applyAlignment="1">
      <alignment horizontal="center" vertical="center" wrapText="1"/>
    </xf>
    <xf numFmtId="0" fontId="51" fillId="0" borderId="73" xfId="0" applyFont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0" fontId="51" fillId="0" borderId="112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51" fillId="0" borderId="97" xfId="0" applyFont="1" applyBorder="1" applyAlignment="1">
      <alignment horizontal="center" vertical="center"/>
    </xf>
    <xf numFmtId="0" fontId="51" fillId="0" borderId="20" xfId="0" applyFont="1" applyBorder="1" applyAlignment="1">
      <alignment horizontal="center" vertical="center"/>
    </xf>
    <xf numFmtId="3" fontId="53" fillId="2" borderId="73" xfId="4" applyNumberFormat="1" applyFont="1" applyFill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/>
    </xf>
    <xf numFmtId="3" fontId="53" fillId="2" borderId="6" xfId="4" applyNumberFormat="1" applyFont="1" applyFill="1" applyBorder="1" applyAlignment="1">
      <alignment horizontal="center" vertical="center" wrapText="1"/>
    </xf>
    <xf numFmtId="3" fontId="53" fillId="2" borderId="20" xfId="4" applyNumberFormat="1" applyFont="1" applyFill="1" applyBorder="1" applyAlignment="1">
      <alignment horizontal="center" vertical="center" wrapText="1"/>
    </xf>
    <xf numFmtId="3" fontId="46" fillId="0" borderId="82" xfId="4" applyNumberFormat="1" applyFont="1" applyFill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/>
    </xf>
    <xf numFmtId="43" fontId="52" fillId="23" borderId="126" xfId="1" applyFont="1" applyFill="1" applyBorder="1" applyAlignment="1">
      <alignment horizontal="center" vertical="center"/>
    </xf>
    <xf numFmtId="3" fontId="46" fillId="0" borderId="116" xfId="4" applyNumberFormat="1" applyFont="1" applyFill="1" applyBorder="1" applyAlignment="1">
      <alignment horizontal="center" vertical="center" wrapText="1"/>
    </xf>
    <xf numFmtId="0" fontId="45" fillId="0" borderId="5" xfId="4" applyFont="1" applyFill="1" applyBorder="1" applyAlignment="1">
      <alignment horizontal="center" vertical="center"/>
    </xf>
    <xf numFmtId="0" fontId="45" fillId="0" borderId="11" xfId="4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46" fillId="0" borderId="42" xfId="4" applyFont="1" applyFill="1" applyBorder="1" applyAlignment="1">
      <alignment horizontal="center" vertical="center" wrapText="1"/>
    </xf>
    <xf numFmtId="0" fontId="46" fillId="0" borderId="43" xfId="4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 wrapText="1"/>
    </xf>
    <xf numFmtId="0" fontId="52" fillId="0" borderId="5" xfId="0" applyFont="1" applyFill="1" applyBorder="1" applyAlignment="1">
      <alignment horizontal="center" vertical="center"/>
    </xf>
    <xf numFmtId="0" fontId="60" fillId="0" borderId="11" xfId="0" applyFont="1" applyFill="1" applyBorder="1" applyAlignment="1">
      <alignment vertical="center"/>
    </xf>
    <xf numFmtId="0" fontId="60" fillId="0" borderId="25" xfId="0" applyFont="1" applyFill="1" applyBorder="1" applyAlignment="1">
      <alignment vertical="center"/>
    </xf>
    <xf numFmtId="0" fontId="46" fillId="0" borderId="42" xfId="0" applyFont="1" applyFill="1" applyBorder="1" applyAlignment="1">
      <alignment horizontal="center" vertical="center" wrapText="1"/>
    </xf>
    <xf numFmtId="0" fontId="46" fillId="0" borderId="43" xfId="0" applyFont="1" applyFill="1" applyBorder="1" applyAlignment="1">
      <alignment horizontal="center" vertical="center" wrapText="1"/>
    </xf>
    <xf numFmtId="0" fontId="46" fillId="0" borderId="41" xfId="0" applyFont="1" applyFill="1" applyBorder="1" applyAlignment="1">
      <alignment horizontal="center" vertical="center" wrapText="1"/>
    </xf>
    <xf numFmtId="0" fontId="52" fillId="0" borderId="11" xfId="4" applyFont="1" applyFill="1" applyBorder="1" applyAlignment="1">
      <alignment horizontal="center" vertical="center"/>
    </xf>
    <xf numFmtId="0" fontId="52" fillId="0" borderId="25" xfId="4" applyFont="1" applyFill="1" applyBorder="1" applyAlignment="1">
      <alignment horizontal="center" vertical="center"/>
    </xf>
    <xf numFmtId="0" fontId="46" fillId="0" borderId="46" xfId="4" applyFont="1" applyFill="1" applyBorder="1" applyAlignment="1">
      <alignment horizontal="center" vertical="center" wrapText="1"/>
    </xf>
    <xf numFmtId="0" fontId="46" fillId="0" borderId="49" xfId="4" applyFont="1" applyFill="1" applyBorder="1" applyAlignment="1">
      <alignment horizontal="center" vertical="center" wrapText="1"/>
    </xf>
    <xf numFmtId="0" fontId="46" fillId="0" borderId="48" xfId="4" applyFont="1" applyFill="1" applyBorder="1" applyAlignment="1">
      <alignment horizontal="center" vertical="center" wrapText="1"/>
    </xf>
    <xf numFmtId="0" fontId="52" fillId="0" borderId="5" xfId="4" applyFont="1" applyFill="1" applyBorder="1" applyAlignment="1">
      <alignment horizontal="center" vertical="center" wrapText="1"/>
    </xf>
    <xf numFmtId="0" fontId="52" fillId="0" borderId="11" xfId="4" applyFont="1" applyFill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 wrapText="1"/>
    </xf>
    <xf numFmtId="0" fontId="60" fillId="0" borderId="25" xfId="0" applyFont="1" applyBorder="1" applyAlignment="1">
      <alignment horizontal="center" vertical="center" wrapText="1"/>
    </xf>
    <xf numFmtId="0" fontId="50" fillId="0" borderId="43" xfId="0" applyFont="1" applyBorder="1" applyAlignment="1">
      <alignment vertical="center" wrapText="1"/>
    </xf>
    <xf numFmtId="0" fontId="50" fillId="0" borderId="41" xfId="0" applyFont="1" applyBorder="1" applyAlignment="1">
      <alignment vertical="center" wrapText="1"/>
    </xf>
    <xf numFmtId="3" fontId="53" fillId="2" borderId="97" xfId="4" applyNumberFormat="1" applyFont="1" applyFill="1" applyBorder="1" applyAlignment="1">
      <alignment horizontal="center" vertical="center" wrapText="1"/>
    </xf>
    <xf numFmtId="0" fontId="60" fillId="0" borderId="20" xfId="0" applyFont="1" applyBorder="1" applyAlignment="1">
      <alignment horizontal="center" vertical="center" wrapText="1"/>
    </xf>
    <xf numFmtId="3" fontId="53" fillId="26" borderId="101" xfId="4" applyNumberFormat="1" applyFont="1" applyFill="1" applyBorder="1" applyAlignment="1">
      <alignment horizontal="center" vertical="center"/>
    </xf>
    <xf numFmtId="3" fontId="53" fillId="2" borderId="22" xfId="4" applyNumberFormat="1" applyFont="1" applyFill="1" applyBorder="1" applyAlignment="1">
      <alignment horizontal="center" vertical="center" wrapText="1"/>
    </xf>
    <xf numFmtId="0" fontId="52" fillId="28" borderId="5" xfId="4" applyFont="1" applyFill="1" applyBorder="1" applyAlignment="1">
      <alignment horizontal="center" vertical="top" wrapText="1"/>
    </xf>
    <xf numFmtId="0" fontId="52" fillId="28" borderId="11" xfId="4" applyFont="1" applyFill="1" applyBorder="1" applyAlignment="1">
      <alignment horizontal="center" vertical="top" wrapText="1"/>
    </xf>
    <xf numFmtId="0" fontId="52" fillId="28" borderId="25" xfId="4" applyFont="1" applyFill="1" applyBorder="1" applyAlignment="1">
      <alignment horizontal="center" vertical="top" wrapText="1"/>
    </xf>
    <xf numFmtId="0" fontId="52" fillId="28" borderId="66" xfId="4" applyFont="1" applyFill="1" applyBorder="1" applyAlignment="1">
      <alignment horizontal="center" vertical="center" wrapText="1"/>
    </xf>
    <xf numFmtId="0" fontId="52" fillId="28" borderId="67" xfId="4" applyFont="1" applyFill="1" applyBorder="1" applyAlignment="1">
      <alignment horizontal="center" vertical="center" wrapText="1"/>
    </xf>
    <xf numFmtId="0" fontId="52" fillId="28" borderId="69" xfId="4" applyFont="1" applyFill="1" applyBorder="1" applyAlignment="1">
      <alignment horizontal="center" vertical="center" wrapText="1"/>
    </xf>
    <xf numFmtId="0" fontId="45" fillId="0" borderId="25" xfId="4" applyFont="1" applyFill="1" applyBorder="1" applyAlignment="1">
      <alignment horizontal="center" vertical="center"/>
    </xf>
    <xf numFmtId="3" fontId="53" fillId="2" borderId="112" xfId="4" applyNumberFormat="1" applyFont="1" applyFill="1" applyBorder="1" applyAlignment="1">
      <alignment horizontal="center" vertical="center" wrapText="1"/>
    </xf>
    <xf numFmtId="0" fontId="46" fillId="0" borderId="41" xfId="4" applyFont="1" applyFill="1" applyBorder="1" applyAlignment="1">
      <alignment horizontal="center" vertical="center" wrapText="1"/>
    </xf>
    <xf numFmtId="0" fontId="52" fillId="13" borderId="5" xfId="4" applyFont="1" applyFill="1" applyBorder="1" applyAlignment="1">
      <alignment horizontal="center" vertical="top"/>
    </xf>
    <xf numFmtId="0" fontId="52" fillId="13" borderId="11" xfId="4" applyFont="1" applyFill="1" applyBorder="1" applyAlignment="1">
      <alignment horizontal="center" vertical="top"/>
    </xf>
    <xf numFmtId="0" fontId="60" fillId="0" borderId="11" xfId="0" applyFont="1" applyBorder="1" applyAlignment="1">
      <alignment horizontal="center" vertical="top"/>
    </xf>
    <xf numFmtId="0" fontId="60" fillId="0" borderId="25" xfId="0" applyFont="1" applyBorder="1" applyAlignment="1">
      <alignment horizontal="center" vertical="top"/>
    </xf>
    <xf numFmtId="0" fontId="46" fillId="13" borderId="42" xfId="4" applyFont="1" applyFill="1" applyBorder="1" applyAlignment="1">
      <alignment horizontal="center" vertical="center" wrapText="1"/>
    </xf>
    <xf numFmtId="0" fontId="46" fillId="13" borderId="43" xfId="4" applyFont="1" applyFill="1" applyBorder="1" applyAlignment="1">
      <alignment horizontal="center" vertical="center" wrapText="1"/>
    </xf>
    <xf numFmtId="0" fontId="50" fillId="0" borderId="42" xfId="0" applyFont="1" applyBorder="1" applyAlignment="1">
      <alignment horizontal="center" vertical="center" wrapText="1"/>
    </xf>
    <xf numFmtId="0" fontId="50" fillId="0" borderId="43" xfId="0" applyFont="1" applyBorder="1" applyAlignment="1">
      <alignment horizontal="center" vertical="center" wrapText="1"/>
    </xf>
    <xf numFmtId="0" fontId="50" fillId="0" borderId="41" xfId="0" applyFont="1" applyBorder="1" applyAlignment="1">
      <alignment horizontal="center" vertical="center" wrapText="1"/>
    </xf>
    <xf numFmtId="0" fontId="50" fillId="0" borderId="82" xfId="0" applyFont="1" applyBorder="1" applyAlignment="1">
      <alignment horizontal="center" vertical="center" wrapText="1"/>
    </xf>
    <xf numFmtId="0" fontId="46" fillId="0" borderId="82" xfId="4" applyFont="1" applyFill="1" applyBorder="1" applyAlignment="1">
      <alignment horizontal="center" vertical="center" wrapText="1"/>
    </xf>
    <xf numFmtId="0" fontId="53" fillId="0" borderId="73" xfId="4" applyFont="1" applyFill="1" applyBorder="1" applyAlignment="1">
      <alignment horizontal="center" vertical="center"/>
    </xf>
    <xf numFmtId="0" fontId="53" fillId="0" borderId="20" xfId="4" applyFont="1" applyFill="1" applyBorder="1" applyAlignment="1">
      <alignment horizontal="center" vertical="center"/>
    </xf>
    <xf numFmtId="0" fontId="53" fillId="2" borderId="73" xfId="4" applyFont="1" applyFill="1" applyBorder="1" applyAlignment="1">
      <alignment horizontal="center" vertical="center" wrapText="1"/>
    </xf>
    <xf numFmtId="0" fontId="53" fillId="2" borderId="6" xfId="4" applyFont="1" applyFill="1" applyBorder="1" applyAlignment="1">
      <alignment horizontal="center" vertical="center" wrapText="1"/>
    </xf>
    <xf numFmtId="0" fontId="60" fillId="0" borderId="6" xfId="0" applyFont="1" applyBorder="1" applyAlignment="1">
      <alignment wrapText="1"/>
    </xf>
    <xf numFmtId="0" fontId="60" fillId="0" borderId="22" xfId="0" applyFont="1" applyBorder="1" applyAlignment="1">
      <alignment wrapText="1"/>
    </xf>
    <xf numFmtId="3" fontId="53" fillId="2" borderId="132" xfId="4" applyNumberFormat="1" applyFont="1" applyFill="1" applyBorder="1" applyAlignment="1">
      <alignment horizontal="center" vertical="center" wrapText="1"/>
    </xf>
    <xf numFmtId="0" fontId="50" fillId="0" borderId="130" xfId="0" applyFont="1" applyBorder="1" applyAlignment="1">
      <alignment horizontal="center" vertical="center" wrapText="1"/>
    </xf>
    <xf numFmtId="0" fontId="50" fillId="0" borderId="116" xfId="0" applyFont="1" applyBorder="1" applyAlignment="1">
      <alignment horizontal="center" vertical="center" wrapText="1"/>
    </xf>
    <xf numFmtId="3" fontId="60" fillId="26" borderId="108" xfId="6" applyNumberFormat="1" applyFont="1" applyFill="1" applyBorder="1" applyAlignment="1">
      <alignment horizontal="center" vertical="center"/>
    </xf>
    <xf numFmtId="3" fontId="60" fillId="26" borderId="13" xfId="6" applyNumberFormat="1" applyFont="1" applyFill="1" applyBorder="1" applyAlignment="1">
      <alignment horizontal="center" vertical="center"/>
    </xf>
    <xf numFmtId="3" fontId="60" fillId="26" borderId="12" xfId="6" applyNumberFormat="1" applyFont="1" applyFill="1" applyBorder="1" applyAlignment="1">
      <alignment horizontal="center" vertical="center"/>
    </xf>
    <xf numFmtId="0" fontId="60" fillId="0" borderId="116" xfId="0" applyFont="1" applyBorder="1" applyAlignment="1">
      <alignment horizontal="center" vertical="center" wrapText="1"/>
    </xf>
    <xf numFmtId="0" fontId="60" fillId="0" borderId="43" xfId="0" applyFont="1" applyBorder="1" applyAlignment="1">
      <alignment horizontal="center" vertical="center" wrapText="1"/>
    </xf>
    <xf numFmtId="0" fontId="60" fillId="0" borderId="41" xfId="0" applyFont="1" applyBorder="1" applyAlignment="1">
      <alignment horizontal="center" vertical="center" wrapText="1"/>
    </xf>
    <xf numFmtId="0" fontId="60" fillId="0" borderId="82" xfId="0" applyFont="1" applyBorder="1" applyAlignment="1">
      <alignment horizontal="center" vertical="center" wrapText="1"/>
    </xf>
    <xf numFmtId="0" fontId="44" fillId="2" borderId="0" xfId="4" applyFont="1" applyFill="1" applyBorder="1" applyAlignment="1">
      <alignment horizontal="left" vertical="center" wrapText="1"/>
    </xf>
    <xf numFmtId="0" fontId="46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46" fillId="0" borderId="15" xfId="4" applyFont="1" applyBorder="1" applyAlignment="1">
      <alignment horizontal="center" vertical="center" wrapText="1"/>
    </xf>
    <xf numFmtId="0" fontId="50" fillId="0" borderId="13" xfId="6" applyFont="1" applyBorder="1" applyAlignment="1">
      <alignment horizontal="center" vertical="center" wrapText="1"/>
    </xf>
    <xf numFmtId="0" fontId="50" fillId="0" borderId="12" xfId="6" applyFont="1" applyBorder="1" applyAlignment="1">
      <alignment horizontal="center" vertical="center" wrapText="1"/>
    </xf>
    <xf numFmtId="0" fontId="49" fillId="0" borderId="66" xfId="4" applyFont="1" applyBorder="1" applyAlignment="1">
      <alignment horizontal="center" vertical="center" wrapText="1"/>
    </xf>
    <xf numFmtId="0" fontId="49" fillId="0" borderId="67" xfId="4" applyFont="1" applyBorder="1" applyAlignment="1">
      <alignment horizontal="center" vertical="center" wrapText="1"/>
    </xf>
    <xf numFmtId="0" fontId="49" fillId="0" borderId="69" xfId="4" applyFont="1" applyBorder="1" applyAlignment="1">
      <alignment horizontal="center" vertical="center" wrapText="1"/>
    </xf>
    <xf numFmtId="0" fontId="46" fillId="8" borderId="5" xfId="4" applyFont="1" applyFill="1" applyBorder="1" applyAlignment="1">
      <alignment horizontal="center" vertical="top" wrapText="1"/>
    </xf>
    <xf numFmtId="0" fontId="46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0" fontId="48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53" fillId="24" borderId="63" xfId="4" applyNumberFormat="1" applyFont="1" applyFill="1" applyBorder="1" applyAlignment="1">
      <alignment horizontal="center" vertical="center"/>
    </xf>
    <xf numFmtId="3" fontId="53" fillId="24" borderId="13" xfId="4" applyNumberFormat="1" applyFont="1" applyFill="1" applyBorder="1" applyAlignment="1">
      <alignment horizontal="center" vertical="center"/>
    </xf>
    <xf numFmtId="3" fontId="53" fillId="24" borderId="12" xfId="4" applyNumberFormat="1" applyFont="1" applyFill="1" applyBorder="1" applyAlignment="1">
      <alignment horizontal="center" vertical="center"/>
    </xf>
    <xf numFmtId="0" fontId="52" fillId="2" borderId="2" xfId="0" applyFont="1" applyFill="1" applyBorder="1" applyAlignment="1">
      <alignment horizontal="center" vertical="center" wrapText="1"/>
    </xf>
    <xf numFmtId="0" fontId="52" fillId="2" borderId="7" xfId="0" applyFont="1" applyFill="1" applyBorder="1" applyAlignment="1">
      <alignment horizontal="center" vertical="center" wrapText="1"/>
    </xf>
    <xf numFmtId="0" fontId="53" fillId="2" borderId="15" xfId="0" applyFont="1" applyFill="1" applyBorder="1" applyAlignment="1">
      <alignment horizontal="center" vertical="center" wrapText="1"/>
    </xf>
    <xf numFmtId="0" fontId="53" fillId="2" borderId="35" xfId="0" applyFont="1" applyFill="1" applyBorder="1" applyAlignment="1">
      <alignment horizontal="center" vertical="center" wrapText="1"/>
    </xf>
    <xf numFmtId="0" fontId="53" fillId="0" borderId="2" xfId="4" applyFont="1" applyBorder="1" applyAlignment="1">
      <alignment horizontal="center" vertical="center" wrapText="1"/>
    </xf>
    <xf numFmtId="0" fontId="53" fillId="0" borderId="3" xfId="4" applyFont="1" applyBorder="1" applyAlignment="1">
      <alignment horizontal="center" vertical="center" wrapText="1"/>
    </xf>
    <xf numFmtId="0" fontId="53" fillId="0" borderId="4" xfId="4" applyFont="1" applyBorder="1" applyAlignment="1">
      <alignment horizontal="center" vertical="center" wrapText="1"/>
    </xf>
    <xf numFmtId="0" fontId="53" fillId="0" borderId="7" xfId="4" applyFont="1" applyBorder="1" applyAlignment="1">
      <alignment horizontal="center" vertical="center" wrapText="1"/>
    </xf>
    <xf numFmtId="0" fontId="53" fillId="0" borderId="8" xfId="4" applyFont="1" applyBorder="1" applyAlignment="1">
      <alignment horizontal="center" vertical="center" wrapText="1"/>
    </xf>
    <xf numFmtId="0" fontId="53" fillId="0" borderId="9" xfId="4" applyFont="1" applyBorder="1" applyAlignment="1">
      <alignment horizontal="center" vertical="center" wrapText="1"/>
    </xf>
    <xf numFmtId="0" fontId="45" fillId="0" borderId="5" xfId="4" applyFont="1" applyFill="1" applyBorder="1" applyAlignment="1">
      <alignment horizontal="center" vertical="center" wrapText="1"/>
    </xf>
    <xf numFmtId="0" fontId="45" fillId="0" borderId="11" xfId="4" applyFont="1" applyFill="1" applyBorder="1" applyAlignment="1">
      <alignment horizontal="center" vertical="center" wrapText="1"/>
    </xf>
    <xf numFmtId="0" fontId="45" fillId="0" borderId="25" xfId="4" applyFont="1" applyFill="1" applyBorder="1" applyAlignment="1">
      <alignment horizontal="center" vertical="center" wrapText="1"/>
    </xf>
    <xf numFmtId="3" fontId="46" fillId="0" borderId="46" xfId="4" applyNumberFormat="1" applyFont="1" applyFill="1" applyBorder="1" applyAlignment="1">
      <alignment horizontal="center" vertical="center" wrapText="1"/>
    </xf>
    <xf numFmtId="0" fontId="60" fillId="0" borderId="20" xfId="0" applyFont="1" applyBorder="1" applyAlignment="1">
      <alignment horizontal="center" vertical="center"/>
    </xf>
    <xf numFmtId="3" fontId="52" fillId="27" borderId="126" xfId="4" applyNumberFormat="1" applyFont="1" applyFill="1" applyBorder="1" applyAlignment="1">
      <alignment horizontal="center" vertical="center"/>
    </xf>
    <xf numFmtId="0" fontId="53" fillId="2" borderId="112" xfId="4" applyFont="1" applyFill="1" applyBorder="1" applyAlignment="1">
      <alignment horizontal="center" vertical="center" wrapText="1"/>
    </xf>
    <xf numFmtId="3" fontId="52" fillId="2" borderId="112" xfId="4" applyNumberFormat="1" applyFont="1" applyFill="1" applyBorder="1" applyAlignment="1">
      <alignment horizontal="center" vertical="center" wrapText="1"/>
    </xf>
    <xf numFmtId="3" fontId="52" fillId="2" borderId="22" xfId="4" applyNumberFormat="1" applyFont="1" applyFill="1" applyBorder="1" applyAlignment="1">
      <alignment horizontal="center" vertical="center" wrapText="1"/>
    </xf>
    <xf numFmtId="0" fontId="54" fillId="0" borderId="112" xfId="0" applyFont="1" applyBorder="1" applyAlignment="1">
      <alignment horizontal="center" vertical="center"/>
    </xf>
    <xf numFmtId="0" fontId="54" fillId="0" borderId="6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45" fillId="28" borderId="5" xfId="4" applyFont="1" applyFill="1" applyBorder="1" applyAlignment="1">
      <alignment horizontal="center" vertical="top"/>
    </xf>
    <xf numFmtId="0" fontId="45" fillId="28" borderId="11" xfId="4" applyFont="1" applyFill="1" applyBorder="1" applyAlignment="1">
      <alignment horizontal="center" vertical="top"/>
    </xf>
    <xf numFmtId="0" fontId="45" fillId="28" borderId="25" xfId="4" applyFont="1" applyFill="1" applyBorder="1" applyAlignment="1">
      <alignment horizontal="center" vertical="top"/>
    </xf>
    <xf numFmtId="3" fontId="46" fillId="28" borderId="42" xfId="4" applyNumberFormat="1" applyFont="1" applyFill="1" applyBorder="1" applyAlignment="1">
      <alignment horizontal="center" vertical="top" wrapText="1"/>
    </xf>
    <xf numFmtId="3" fontId="46" fillId="28" borderId="43" xfId="4" applyNumberFormat="1" applyFont="1" applyFill="1" applyBorder="1" applyAlignment="1">
      <alignment horizontal="center" vertical="top" wrapText="1"/>
    </xf>
    <xf numFmtId="0" fontId="0" fillId="0" borderId="26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54" fillId="0" borderId="5" xfId="0" applyFont="1" applyBorder="1" applyAlignment="1">
      <alignment horizontal="center" vertical="center"/>
    </xf>
    <xf numFmtId="0" fontId="54" fillId="0" borderId="1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/>
    </xf>
    <xf numFmtId="0" fontId="52" fillId="0" borderId="5" xfId="4" applyFont="1" applyFill="1" applyBorder="1" applyAlignment="1">
      <alignment horizontal="center" vertical="top"/>
    </xf>
    <xf numFmtId="0" fontId="52" fillId="0" borderId="11" xfId="4" applyFont="1" applyFill="1" applyBorder="1" applyAlignment="1">
      <alignment horizontal="center" vertical="top"/>
    </xf>
    <xf numFmtId="0" fontId="32" fillId="8" borderId="43" xfId="4" applyFont="1" applyFill="1" applyBorder="1" applyAlignment="1">
      <alignment horizontal="center" vertical="top"/>
    </xf>
    <xf numFmtId="0" fontId="32" fillId="8" borderId="41" xfId="4" applyFont="1" applyFill="1" applyBorder="1" applyAlignment="1">
      <alignment horizontal="center" vertical="top"/>
    </xf>
    <xf numFmtId="0" fontId="52" fillId="0" borderId="5" xfId="4" applyFont="1" applyFill="1" applyBorder="1" applyAlignment="1">
      <alignment horizontal="center" vertical="center"/>
    </xf>
    <xf numFmtId="3" fontId="46" fillId="0" borderId="42" xfId="4" applyNumberFormat="1" applyFont="1" applyFill="1" applyBorder="1" applyAlignment="1">
      <alignment horizontal="center" vertical="center"/>
    </xf>
    <xf numFmtId="3" fontId="46" fillId="0" borderId="43" xfId="4" applyNumberFormat="1" applyFont="1" applyFill="1" applyBorder="1" applyAlignment="1">
      <alignment horizontal="center" vertical="center"/>
    </xf>
    <xf numFmtId="3" fontId="46" fillId="0" borderId="41" xfId="4" applyNumberFormat="1" applyFont="1" applyFill="1" applyBorder="1" applyAlignment="1">
      <alignment horizontal="center" vertical="center"/>
    </xf>
    <xf numFmtId="0" fontId="45" fillId="0" borderId="111" xfId="4" applyFont="1" applyFill="1" applyBorder="1" applyAlignment="1">
      <alignment horizontal="center" vertical="center"/>
    </xf>
    <xf numFmtId="0" fontId="0" fillId="0" borderId="111" xfId="0" applyFont="1" applyBorder="1" applyAlignment="1">
      <alignment horizontal="center" vertical="center"/>
    </xf>
    <xf numFmtId="0" fontId="45" fillId="0" borderId="109" xfId="4" applyFont="1" applyFill="1" applyBorder="1" applyAlignment="1">
      <alignment horizontal="center" vertical="center" wrapText="1"/>
    </xf>
    <xf numFmtId="0" fontId="65" fillId="0" borderId="109" xfId="0" applyFont="1" applyFill="1" applyBorder="1" applyAlignment="1">
      <alignment horizontal="center" vertical="center" wrapText="1"/>
    </xf>
    <xf numFmtId="3" fontId="53" fillId="2" borderId="109" xfId="4" applyNumberFormat="1" applyFont="1" applyFill="1" applyBorder="1" applyAlignment="1">
      <alignment horizontal="center" vertical="center" wrapText="1"/>
    </xf>
    <xf numFmtId="0" fontId="60" fillId="0" borderId="109" xfId="0" applyFont="1" applyBorder="1" applyAlignment="1">
      <alignment horizontal="center" vertical="center" wrapText="1"/>
    </xf>
    <xf numFmtId="0" fontId="53" fillId="2" borderId="109" xfId="4" applyFont="1" applyFill="1" applyBorder="1" applyAlignment="1">
      <alignment horizontal="center" vertical="center" wrapText="1"/>
    </xf>
    <xf numFmtId="0" fontId="60" fillId="0" borderId="109" xfId="0" applyFont="1" applyBorder="1" applyAlignment="1">
      <alignment wrapText="1"/>
    </xf>
    <xf numFmtId="3" fontId="53" fillId="23" borderId="109" xfId="4" applyNumberFormat="1" applyFont="1" applyFill="1" applyBorder="1" applyAlignment="1">
      <alignment horizontal="center" vertical="center"/>
    </xf>
    <xf numFmtId="3" fontId="52" fillId="27" borderId="109" xfId="4" applyNumberFormat="1" applyFont="1" applyFill="1" applyBorder="1" applyAlignment="1">
      <alignment horizontal="center" vertical="center"/>
    </xf>
    <xf numFmtId="0" fontId="51" fillId="0" borderId="109" xfId="0" applyFont="1" applyBorder="1" applyAlignment="1">
      <alignment horizontal="center" vertical="center" wrapText="1"/>
    </xf>
    <xf numFmtId="0" fontId="45" fillId="0" borderId="20" xfId="4" applyFont="1" applyFill="1" applyBorder="1" applyAlignment="1">
      <alignment horizontal="center" vertical="center"/>
    </xf>
    <xf numFmtId="0" fontId="45" fillId="0" borderId="35" xfId="4" applyFont="1" applyFill="1" applyBorder="1" applyAlignment="1">
      <alignment horizontal="center" vertical="center" wrapText="1"/>
    </xf>
    <xf numFmtId="0" fontId="65" fillId="0" borderId="109" xfId="0" applyFont="1" applyBorder="1" applyAlignment="1">
      <alignment horizontal="center" vertical="center" wrapText="1"/>
    </xf>
    <xf numFmtId="0" fontId="45" fillId="0" borderId="20" xfId="4" quotePrefix="1" applyFont="1" applyFill="1" applyBorder="1" applyAlignment="1">
      <alignment horizontal="center" vertical="center"/>
    </xf>
    <xf numFmtId="0" fontId="51" fillId="0" borderId="109" xfId="0" applyFont="1" applyFill="1" applyBorder="1" applyAlignment="1">
      <alignment horizontal="center" vertical="center" wrapText="1"/>
    </xf>
    <xf numFmtId="0" fontId="51" fillId="0" borderId="109" xfId="0" applyFont="1" applyFill="1" applyBorder="1" applyAlignment="1">
      <alignment horizontal="center" wrapText="1"/>
    </xf>
    <xf numFmtId="0" fontId="45" fillId="0" borderId="28" xfId="4" applyFont="1" applyFill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65" fillId="0" borderId="47" xfId="0" applyFont="1" applyBorder="1" applyAlignment="1">
      <alignment horizontal="center" vertical="center" wrapText="1"/>
    </xf>
    <xf numFmtId="0" fontId="60" fillId="0" borderId="47" xfId="0" applyFont="1" applyBorder="1" applyAlignment="1">
      <alignment wrapText="1"/>
    </xf>
    <xf numFmtId="3" fontId="52" fillId="27" borderId="47" xfId="4" applyNumberFormat="1" applyFont="1" applyFill="1" applyBorder="1" applyAlignment="1">
      <alignment horizontal="center" vertical="center"/>
    </xf>
    <xf numFmtId="3" fontId="52" fillId="23" borderId="124" xfId="4" applyNumberFormat="1" applyFont="1" applyFill="1" applyBorder="1" applyAlignment="1">
      <alignment horizontal="center" vertical="center"/>
    </xf>
    <xf numFmtId="3" fontId="52" fillId="23" borderId="134" xfId="4" applyNumberFormat="1" applyFont="1" applyFill="1" applyBorder="1" applyAlignment="1">
      <alignment horizontal="center" vertical="center"/>
    </xf>
    <xf numFmtId="3" fontId="52" fillId="23" borderId="47" xfId="4" applyNumberFormat="1" applyFont="1" applyFill="1" applyBorder="1" applyAlignment="1">
      <alignment horizontal="center" vertical="center"/>
    </xf>
    <xf numFmtId="0" fontId="45" fillId="0" borderId="70" xfId="4" quotePrefix="1" applyFont="1" applyFill="1" applyBorder="1" applyAlignment="1">
      <alignment horizontal="center" vertical="center" wrapText="1"/>
    </xf>
    <xf numFmtId="0" fontId="45" fillId="0" borderId="142" xfId="4" applyFont="1" applyFill="1" applyBorder="1" applyAlignment="1">
      <alignment horizontal="center" vertical="center" wrapText="1"/>
    </xf>
    <xf numFmtId="0" fontId="0" fillId="0" borderId="142" xfId="0" applyFont="1" applyBorder="1" applyAlignment="1">
      <alignment horizontal="center" vertical="center" wrapText="1"/>
    </xf>
    <xf numFmtId="0" fontId="0" fillId="0" borderId="144" xfId="0" applyFont="1" applyBorder="1" applyAlignment="1">
      <alignment horizontal="center" vertical="center" wrapText="1"/>
    </xf>
    <xf numFmtId="0" fontId="45" fillId="0" borderId="70" xfId="4" applyFont="1" applyFill="1" applyBorder="1" applyAlignment="1">
      <alignment horizontal="center" vertical="center" wrapText="1"/>
    </xf>
    <xf numFmtId="0" fontId="65" fillId="0" borderId="142" xfId="0" applyFont="1" applyBorder="1" applyAlignment="1">
      <alignment horizontal="center" vertical="center" wrapText="1"/>
    </xf>
    <xf numFmtId="0" fontId="65" fillId="0" borderId="144" xfId="0" applyFont="1" applyBorder="1" applyAlignment="1">
      <alignment horizontal="center" vertical="center" wrapText="1"/>
    </xf>
    <xf numFmtId="3" fontId="53" fillId="0" borderId="142" xfId="4" applyNumberFormat="1" applyFont="1" applyFill="1" applyBorder="1" applyAlignment="1">
      <alignment horizontal="center" vertical="center" wrapText="1"/>
    </xf>
    <xf numFmtId="0" fontId="60" fillId="0" borderId="142" xfId="0" applyFont="1" applyFill="1" applyBorder="1" applyAlignment="1">
      <alignment horizontal="center" vertical="center" wrapText="1"/>
    </xf>
    <xf numFmtId="0" fontId="53" fillId="0" borderId="143" xfId="4" applyFont="1" applyFill="1" applyBorder="1" applyAlignment="1">
      <alignment horizontal="center" wrapText="1"/>
    </xf>
    <xf numFmtId="0" fontId="60" fillId="0" borderId="13" xfId="0" applyFont="1" applyFill="1" applyBorder="1" applyAlignment="1">
      <alignment horizontal="center" wrapText="1"/>
    </xf>
    <xf numFmtId="0" fontId="60" fillId="0" borderId="12" xfId="0" applyFont="1" applyFill="1" applyBorder="1" applyAlignment="1">
      <alignment horizontal="center" wrapText="1"/>
    </xf>
    <xf numFmtId="3" fontId="52" fillId="27" borderId="142" xfId="4" applyNumberFormat="1" applyFont="1" applyFill="1" applyBorder="1" applyAlignment="1">
      <alignment horizontal="center" vertical="center"/>
    </xf>
    <xf numFmtId="3" fontId="52" fillId="27" borderId="144" xfId="4" applyNumberFormat="1" applyFont="1" applyFill="1" applyBorder="1" applyAlignment="1">
      <alignment horizontal="center" vertical="center"/>
    </xf>
    <xf numFmtId="0" fontId="45" fillId="0" borderId="141" xfId="4" quotePrefix="1" applyFont="1" applyFill="1" applyBorder="1" applyAlignment="1">
      <alignment horizontal="center" vertical="center" wrapText="1"/>
    </xf>
    <xf numFmtId="0" fontId="45" fillId="0" borderId="141" xfId="4" applyFont="1" applyFill="1" applyBorder="1" applyAlignment="1">
      <alignment horizontal="center" vertical="center" wrapText="1"/>
    </xf>
    <xf numFmtId="0" fontId="45" fillId="0" borderId="122" xfId="4" applyFont="1" applyFill="1" applyBorder="1" applyAlignment="1">
      <alignment horizontal="center" vertical="center" wrapText="1"/>
    </xf>
    <xf numFmtId="0" fontId="0" fillId="0" borderId="141" xfId="0" applyFont="1" applyBorder="1" applyAlignment="1">
      <alignment horizontal="center" vertical="center" wrapText="1"/>
    </xf>
    <xf numFmtId="0" fontId="0" fillId="0" borderId="140" xfId="0" applyFont="1" applyBorder="1" applyAlignment="1">
      <alignment horizontal="center" vertical="center" wrapText="1"/>
    </xf>
    <xf numFmtId="3" fontId="53" fillId="2" borderId="142" xfId="4" applyNumberFormat="1" applyFont="1" applyFill="1" applyBorder="1" applyAlignment="1">
      <alignment horizontal="center" vertical="center" wrapText="1"/>
    </xf>
    <xf numFmtId="0" fontId="60" fillId="0" borderId="142" xfId="0" applyFont="1" applyBorder="1" applyAlignment="1">
      <alignment horizontal="center" vertical="center" wrapText="1"/>
    </xf>
    <xf numFmtId="0" fontId="60" fillId="0" borderId="145" xfId="0" applyFont="1" applyBorder="1" applyAlignment="1">
      <alignment horizontal="center" vertical="center" wrapText="1"/>
    </xf>
    <xf numFmtId="0" fontId="53" fillId="2" borderId="142" xfId="4" applyFont="1" applyFill="1" applyBorder="1" applyAlignment="1">
      <alignment horizontal="center" vertical="center" wrapText="1"/>
    </xf>
    <xf numFmtId="0" fontId="60" fillId="0" borderId="142" xfId="0" applyFont="1" applyBorder="1" applyAlignment="1">
      <alignment wrapText="1"/>
    </xf>
    <xf numFmtId="0" fontId="60" fillId="0" borderId="144" xfId="0" applyFont="1" applyBorder="1" applyAlignment="1">
      <alignment wrapText="1"/>
    </xf>
    <xf numFmtId="0" fontId="44" fillId="2" borderId="9" xfId="4" applyFont="1" applyFill="1" applyBorder="1" applyAlignment="1">
      <alignment horizontal="left" vertical="center" wrapText="1"/>
    </xf>
    <xf numFmtId="0" fontId="44" fillId="2" borderId="35" xfId="4" applyFont="1" applyFill="1" applyBorder="1" applyAlignment="1">
      <alignment horizontal="left" vertical="center" wrapText="1"/>
    </xf>
    <xf numFmtId="0" fontId="44" fillId="2" borderId="7" xfId="4" applyFont="1" applyFill="1" applyBorder="1" applyAlignment="1">
      <alignment horizontal="left" vertical="center" wrapText="1"/>
    </xf>
    <xf numFmtId="0" fontId="46" fillId="0" borderId="109" xfId="4" applyFont="1" applyBorder="1" applyAlignment="1">
      <alignment horizontal="center" vertical="center" wrapText="1"/>
    </xf>
    <xf numFmtId="0" fontId="0" fillId="0" borderId="109" xfId="0" applyFont="1" applyBorder="1" applyAlignment="1">
      <alignment horizontal="center" vertical="center" wrapText="1"/>
    </xf>
    <xf numFmtId="0" fontId="50" fillId="0" borderId="109" xfId="6" applyFont="1" applyBorder="1" applyAlignment="1">
      <alignment horizontal="center" vertical="center" wrapText="1"/>
    </xf>
    <xf numFmtId="0" fontId="45" fillId="0" borderId="109" xfId="4" applyFont="1" applyBorder="1" applyAlignment="1">
      <alignment horizontal="center" vertical="center" wrapText="1"/>
    </xf>
    <xf numFmtId="0" fontId="48" fillId="19" borderId="109" xfId="4" applyFont="1" applyFill="1" applyBorder="1" applyAlignment="1">
      <alignment horizontal="center" vertical="center" wrapText="1"/>
    </xf>
    <xf numFmtId="0" fontId="0" fillId="19" borderId="109" xfId="0" applyFont="1" applyFill="1" applyBorder="1" applyAlignment="1">
      <alignment horizontal="center" vertical="center" wrapText="1"/>
    </xf>
    <xf numFmtId="0" fontId="52" fillId="2" borderId="109" xfId="0" applyFont="1" applyFill="1" applyBorder="1" applyAlignment="1">
      <alignment horizontal="center" vertical="center" wrapText="1"/>
    </xf>
    <xf numFmtId="0" fontId="53" fillId="2" borderId="109" xfId="0" applyFont="1" applyFill="1" applyBorder="1" applyAlignment="1">
      <alignment horizontal="center" vertical="center" wrapText="1"/>
    </xf>
    <xf numFmtId="0" fontId="53" fillId="0" borderId="109" xfId="4" applyFont="1" applyBorder="1" applyAlignment="1">
      <alignment horizontal="center" vertical="center" wrapText="1"/>
    </xf>
    <xf numFmtId="0" fontId="45" fillId="0" borderId="112" xfId="4" applyFont="1" applyBorder="1" applyAlignment="1">
      <alignment horizontal="center" vertical="center"/>
    </xf>
    <xf numFmtId="0" fontId="45" fillId="0" borderId="6" xfId="4" applyFont="1" applyBorder="1" applyAlignment="1">
      <alignment horizontal="center" vertical="center"/>
    </xf>
    <xf numFmtId="0" fontId="45" fillId="0" borderId="20" xfId="4" applyFont="1" applyBorder="1" applyAlignment="1">
      <alignment horizontal="center" vertical="center"/>
    </xf>
    <xf numFmtId="0" fontId="45" fillId="0" borderId="37" xfId="4" applyFont="1" applyFill="1" applyBorder="1" applyAlignment="1">
      <alignment horizontal="center" vertical="center"/>
    </xf>
    <xf numFmtId="0" fontId="45" fillId="0" borderId="124" xfId="4" applyFont="1" applyFill="1" applyBorder="1" applyAlignment="1">
      <alignment horizontal="center" vertical="center" wrapText="1"/>
    </xf>
    <xf numFmtId="0" fontId="65" fillId="0" borderId="124" xfId="0" applyFont="1" applyFill="1" applyBorder="1" applyAlignment="1">
      <alignment horizontal="center" vertical="center" wrapText="1"/>
    </xf>
    <xf numFmtId="0" fontId="65" fillId="0" borderId="47" xfId="0" applyFont="1" applyFill="1" applyBorder="1" applyAlignment="1">
      <alignment horizontal="center" vertical="center" wrapText="1"/>
    </xf>
    <xf numFmtId="3" fontId="53" fillId="2" borderId="124" xfId="4" applyNumberFormat="1" applyFont="1" applyFill="1" applyBorder="1" applyAlignment="1">
      <alignment horizontal="center" vertical="center" wrapText="1"/>
    </xf>
    <xf numFmtId="0" fontId="60" fillId="0" borderId="124" xfId="0" applyFont="1" applyBorder="1" applyAlignment="1">
      <alignment horizontal="center" vertical="center" wrapText="1"/>
    </xf>
    <xf numFmtId="0" fontId="53" fillId="2" borderId="124" xfId="4" applyFont="1" applyFill="1" applyBorder="1" applyAlignment="1">
      <alignment horizontal="center" vertical="center" wrapText="1"/>
    </xf>
    <xf numFmtId="0" fontId="60" fillId="0" borderId="124" xfId="0" applyFont="1" applyBorder="1" applyAlignment="1">
      <alignment wrapText="1"/>
    </xf>
    <xf numFmtId="3" fontId="52" fillId="27" borderId="124" xfId="4" applyNumberFormat="1" applyFont="1" applyFill="1" applyBorder="1" applyAlignment="1">
      <alignment horizontal="center" vertical="center"/>
    </xf>
    <xf numFmtId="0" fontId="46" fillId="0" borderId="66" xfId="0" applyFont="1" applyFill="1" applyBorder="1" applyAlignment="1">
      <alignment horizontal="center" vertical="center" wrapText="1"/>
    </xf>
    <xf numFmtId="0" fontId="46" fillId="0" borderId="67" xfId="0" applyFont="1" applyFill="1" applyBorder="1" applyAlignment="1">
      <alignment horizontal="center" vertical="center" wrapText="1"/>
    </xf>
    <xf numFmtId="0" fontId="51" fillId="0" borderId="20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0" fontId="51" fillId="0" borderId="6" xfId="0" applyFont="1" applyBorder="1" applyAlignment="1">
      <alignment horizontal="center" vertical="center" wrapText="1"/>
    </xf>
    <xf numFmtId="0" fontId="0" fillId="0" borderId="67" xfId="0" applyFont="1" applyBorder="1"/>
    <xf numFmtId="0" fontId="45" fillId="0" borderId="66" xfId="4" applyFont="1" applyBorder="1" applyAlignment="1">
      <alignment horizontal="center" vertical="center" wrapText="1"/>
    </xf>
    <xf numFmtId="0" fontId="45" fillId="0" borderId="67" xfId="4" applyFont="1" applyBorder="1" applyAlignment="1">
      <alignment horizontal="center" vertical="center" wrapText="1"/>
    </xf>
    <xf numFmtId="0" fontId="45" fillId="0" borderId="69" xfId="4" applyFont="1" applyBorder="1" applyAlignment="1">
      <alignment horizontal="center" vertical="center" wrapText="1"/>
    </xf>
    <xf numFmtId="0" fontId="47" fillId="2" borderId="2" xfId="0" applyFont="1" applyFill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center" vertical="center" wrapText="1"/>
    </xf>
    <xf numFmtId="0" fontId="47" fillId="2" borderId="4" xfId="0" applyFont="1" applyFill="1" applyBorder="1" applyAlignment="1">
      <alignment horizontal="center" vertical="center" wrapText="1"/>
    </xf>
    <xf numFmtId="0" fontId="47" fillId="2" borderId="7" xfId="0" applyFont="1" applyFill="1" applyBorder="1" applyAlignment="1">
      <alignment horizontal="center" vertical="center" wrapText="1"/>
    </xf>
    <xf numFmtId="0" fontId="47" fillId="2" borderId="8" xfId="0" applyFont="1" applyFill="1" applyBorder="1" applyAlignment="1">
      <alignment horizontal="center" vertical="center" wrapText="1"/>
    </xf>
    <xf numFmtId="0" fontId="47" fillId="2" borderId="9" xfId="0" applyFont="1" applyFill="1" applyBorder="1" applyAlignment="1">
      <alignment horizontal="center" vertical="center" wrapText="1"/>
    </xf>
    <xf numFmtId="0" fontId="45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45" fillId="0" borderId="5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49" fillId="0" borderId="43" xfId="0" applyFont="1" applyFill="1" applyBorder="1" applyAlignment="1">
      <alignment horizontal="center" vertical="center" wrapText="1"/>
    </xf>
    <xf numFmtId="0" fontId="49" fillId="0" borderId="41" xfId="0" applyFont="1" applyFill="1" applyBorder="1" applyAlignment="1">
      <alignment horizontal="center" vertical="center" wrapText="1"/>
    </xf>
    <xf numFmtId="3" fontId="53" fillId="23" borderId="63" xfId="0" applyNumberFormat="1" applyFont="1" applyFill="1" applyBorder="1" applyAlignment="1">
      <alignment horizontal="center" vertical="center"/>
    </xf>
    <xf numFmtId="3" fontId="53" fillId="23" borderId="13" xfId="0" applyNumberFormat="1" applyFont="1" applyFill="1" applyBorder="1" applyAlignment="1">
      <alignment horizontal="center" vertical="center"/>
    </xf>
    <xf numFmtId="3" fontId="53" fillId="23" borderId="12" xfId="0" applyNumberFormat="1" applyFont="1" applyFill="1" applyBorder="1" applyAlignment="1">
      <alignment horizontal="center" vertical="center"/>
    </xf>
    <xf numFmtId="0" fontId="44" fillId="2" borderId="24" xfId="0" applyFont="1" applyFill="1" applyBorder="1" applyAlignment="1">
      <alignment horizontal="left" vertical="center" wrapText="1"/>
    </xf>
    <xf numFmtId="0" fontId="48" fillId="0" borderId="11" xfId="0" applyFont="1" applyBorder="1" applyAlignment="1">
      <alignment horizontal="center" vertical="center" wrapText="1"/>
    </xf>
    <xf numFmtId="0" fontId="46" fillId="0" borderId="6" xfId="4" applyFont="1" applyBorder="1" applyAlignment="1">
      <alignment horizontal="center" vertical="center" wrapText="1"/>
    </xf>
    <xf numFmtId="0" fontId="46" fillId="0" borderId="22" xfId="4" applyFont="1" applyBorder="1" applyAlignment="1">
      <alignment horizontal="center" vertical="center" wrapText="1"/>
    </xf>
    <xf numFmtId="0" fontId="46" fillId="0" borderId="13" xfId="4" applyFont="1" applyBorder="1" applyAlignment="1">
      <alignment horizontal="center" vertical="center" wrapText="1"/>
    </xf>
    <xf numFmtId="0" fontId="46" fillId="0" borderId="12" xfId="4" applyFont="1" applyBorder="1" applyAlignment="1">
      <alignment horizontal="center" vertical="center" wrapText="1"/>
    </xf>
    <xf numFmtId="3" fontId="52" fillId="23" borderId="13" xfId="0" applyNumberFormat="1" applyFont="1" applyFill="1" applyBorder="1" applyAlignment="1">
      <alignment horizontal="center" vertical="center"/>
    </xf>
    <xf numFmtId="3" fontId="52" fillId="23" borderId="12" xfId="0" applyNumberFormat="1" applyFont="1" applyFill="1" applyBorder="1" applyAlignment="1">
      <alignment horizontal="center" vertical="center"/>
    </xf>
    <xf numFmtId="0" fontId="52" fillId="2" borderId="42" xfId="0" applyFont="1" applyFill="1" applyBorder="1" applyAlignment="1">
      <alignment horizontal="center" vertical="center" wrapText="1"/>
    </xf>
    <xf numFmtId="0" fontId="51" fillId="2" borderId="43" xfId="0" applyFont="1" applyFill="1" applyBorder="1" applyAlignment="1">
      <alignment horizontal="center" wrapText="1"/>
    </xf>
    <xf numFmtId="0" fontId="51" fillId="2" borderId="41" xfId="0" applyFont="1" applyFill="1" applyBorder="1" applyAlignment="1">
      <alignment horizontal="center" wrapText="1"/>
    </xf>
    <xf numFmtId="0" fontId="51" fillId="0" borderId="97" xfId="0" applyFont="1" applyBorder="1" applyAlignment="1">
      <alignment horizontal="center" vertical="center" wrapText="1"/>
    </xf>
    <xf numFmtId="0" fontId="45" fillId="0" borderId="42" xfId="0" applyFont="1" applyFill="1" applyBorder="1" applyAlignment="1">
      <alignment horizontal="center" vertical="center" wrapText="1"/>
    </xf>
    <xf numFmtId="0" fontId="65" fillId="0" borderId="43" xfId="0" applyFont="1" applyBorder="1" applyAlignment="1">
      <alignment horizontal="center" wrapText="1"/>
    </xf>
    <xf numFmtId="0" fontId="65" fillId="0" borderId="41" xfId="0" applyFont="1" applyBorder="1" applyAlignment="1">
      <alignment horizontal="center" wrapText="1"/>
    </xf>
    <xf numFmtId="3" fontId="53" fillId="23" borderId="101" xfId="0" applyNumberFormat="1" applyFont="1" applyFill="1" applyBorder="1" applyAlignment="1">
      <alignment horizontal="center" vertical="center"/>
    </xf>
    <xf numFmtId="0" fontId="53" fillId="2" borderId="97" xfId="0" applyFont="1" applyFill="1" applyBorder="1" applyAlignment="1">
      <alignment horizontal="center" vertical="center" wrapText="1"/>
    </xf>
    <xf numFmtId="0" fontId="53" fillId="2" borderId="6" xfId="0" applyFont="1" applyFill="1" applyBorder="1" applyAlignment="1">
      <alignment horizontal="center" vertical="center" wrapText="1"/>
    </xf>
    <xf numFmtId="0" fontId="53" fillId="2" borderId="20" xfId="0" applyFont="1" applyFill="1" applyBorder="1" applyAlignment="1">
      <alignment horizontal="center" vertical="center" wrapText="1"/>
    </xf>
    <xf numFmtId="0" fontId="64" fillId="0" borderId="26" xfId="4" applyFont="1" applyFill="1" applyBorder="1" applyAlignment="1">
      <alignment horizontal="center" vertical="center" wrapText="1"/>
    </xf>
    <xf numFmtId="0" fontId="64" fillId="0" borderId="68" xfId="4" applyFont="1" applyFill="1" applyBorder="1" applyAlignment="1">
      <alignment horizontal="center" vertical="center" wrapText="1"/>
    </xf>
    <xf numFmtId="0" fontId="33" fillId="0" borderId="112" xfId="4" applyFont="1" applyFill="1" applyBorder="1" applyAlignment="1">
      <alignment horizontal="center" vertical="center" wrapText="1"/>
    </xf>
    <xf numFmtId="0" fontId="33" fillId="0" borderId="20" xfId="4" applyFont="1" applyFill="1" applyBorder="1" applyAlignment="1">
      <alignment horizontal="center" vertical="center" wrapText="1"/>
    </xf>
    <xf numFmtId="3" fontId="53" fillId="23" borderId="108" xfId="0" applyNumberFormat="1" applyFont="1" applyFill="1" applyBorder="1" applyAlignment="1">
      <alignment horizontal="center" vertical="center"/>
    </xf>
    <xf numFmtId="3" fontId="53" fillId="23" borderId="35" xfId="0" applyNumberFormat="1" applyFont="1" applyFill="1" applyBorder="1" applyAlignment="1">
      <alignment horizontal="center" vertical="center"/>
    </xf>
    <xf numFmtId="0" fontId="45" fillId="2" borderId="5" xfId="0" applyFont="1" applyFill="1" applyBorder="1" applyAlignment="1">
      <alignment horizontal="center" vertical="center"/>
    </xf>
    <xf numFmtId="0" fontId="45" fillId="2" borderId="11" xfId="0" applyFont="1" applyFill="1" applyBorder="1" applyAlignment="1">
      <alignment horizontal="center" vertical="center"/>
    </xf>
    <xf numFmtId="0" fontId="45" fillId="2" borderId="25" xfId="0" applyFont="1" applyFill="1" applyBorder="1" applyAlignment="1">
      <alignment horizontal="center" vertical="center"/>
    </xf>
    <xf numFmtId="0" fontId="53" fillId="0" borderId="97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/>
    </xf>
    <xf numFmtId="0" fontId="51" fillId="0" borderId="112" xfId="0" applyFont="1" applyBorder="1" applyAlignment="1">
      <alignment horizontal="center" vertical="center" wrapText="1"/>
    </xf>
    <xf numFmtId="0" fontId="45" fillId="0" borderId="113" xfId="0" applyFont="1" applyFill="1" applyBorder="1" applyAlignment="1">
      <alignment horizontal="center" vertical="center"/>
    </xf>
    <xf numFmtId="0" fontId="45" fillId="0" borderId="21" xfId="0" applyFont="1" applyFill="1" applyBorder="1" applyAlignment="1">
      <alignment horizontal="center" vertical="center"/>
    </xf>
    <xf numFmtId="0" fontId="52" fillId="2" borderId="43" xfId="0" applyFont="1" applyFill="1" applyBorder="1" applyAlignment="1">
      <alignment horizontal="center" vertical="center" wrapText="1"/>
    </xf>
    <xf numFmtId="0" fontId="52" fillId="2" borderId="41" xfId="0" applyFont="1" applyFill="1" applyBorder="1" applyAlignment="1">
      <alignment horizontal="center" vertical="center" wrapText="1"/>
    </xf>
    <xf numFmtId="3" fontId="53" fillId="23" borderId="126" xfId="0" applyNumberFormat="1" applyFont="1" applyFill="1" applyBorder="1" applyAlignment="1">
      <alignment horizontal="center" vertical="center"/>
    </xf>
    <xf numFmtId="0" fontId="48" fillId="0" borderId="52" xfId="0" applyFont="1" applyBorder="1" applyAlignment="1">
      <alignment horizontal="center" vertical="center" wrapText="1"/>
    </xf>
    <xf numFmtId="0" fontId="48" fillId="19" borderId="13" xfId="4" applyFont="1" applyFill="1" applyBorder="1" applyAlignment="1">
      <alignment horizontal="center" vertical="center" wrapText="1"/>
    </xf>
    <xf numFmtId="0" fontId="48" fillId="19" borderId="12" xfId="4" applyFont="1" applyFill="1" applyBorder="1" applyAlignment="1">
      <alignment horizontal="center" vertical="center" wrapText="1"/>
    </xf>
    <xf numFmtId="0" fontId="53" fillId="2" borderId="42" xfId="0" applyFont="1" applyFill="1" applyBorder="1" applyAlignment="1">
      <alignment horizontal="center" vertical="center" wrapText="1"/>
    </xf>
    <xf numFmtId="0" fontId="52" fillId="0" borderId="42" xfId="0" applyFont="1" applyFill="1" applyBorder="1" applyAlignment="1">
      <alignment horizontal="center" vertical="center" wrapText="1"/>
    </xf>
    <xf numFmtId="0" fontId="51" fillId="0" borderId="43" xfId="0" applyFont="1" applyBorder="1" applyAlignment="1">
      <alignment horizontal="center" wrapText="1"/>
    </xf>
    <xf numFmtId="0" fontId="51" fillId="0" borderId="41" xfId="0" applyFont="1" applyBorder="1" applyAlignment="1">
      <alignment horizontal="center" wrapText="1"/>
    </xf>
    <xf numFmtId="3" fontId="52" fillId="23" borderId="101" xfId="0" applyNumberFormat="1" applyFont="1" applyFill="1" applyBorder="1" applyAlignment="1">
      <alignment horizontal="center" vertical="center"/>
    </xf>
    <xf numFmtId="0" fontId="53" fillId="2" borderId="11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59" fillId="33" borderId="0" xfId="0" applyFont="1" applyFill="1" applyBorder="1" applyAlignment="1">
      <alignment horizontal="left" vertical="center" wrapText="1"/>
    </xf>
    <xf numFmtId="0" fontId="52" fillId="0" borderId="43" xfId="0" applyFont="1" applyFill="1" applyBorder="1" applyAlignment="1">
      <alignment horizontal="center" vertical="center" wrapText="1"/>
    </xf>
    <xf numFmtId="0" fontId="60" fillId="0" borderId="41" xfId="0" applyFont="1" applyBorder="1"/>
    <xf numFmtId="3" fontId="53" fillId="29" borderId="42" xfId="0" applyNumberFormat="1" applyFont="1" applyFill="1" applyBorder="1" applyAlignment="1">
      <alignment horizontal="center" vertical="center" wrapText="1"/>
    </xf>
    <xf numFmtId="3" fontId="53" fillId="29" borderId="43" xfId="0" applyNumberFormat="1" applyFont="1" applyFill="1" applyBorder="1" applyAlignment="1">
      <alignment horizontal="center" vertical="center" wrapText="1"/>
    </xf>
    <xf numFmtId="3" fontId="53" fillId="29" borderId="41" xfId="0" applyNumberFormat="1" applyFont="1" applyFill="1" applyBorder="1" applyAlignment="1">
      <alignment horizontal="center" vertical="center" wrapText="1"/>
    </xf>
    <xf numFmtId="0" fontId="53" fillId="8" borderId="97" xfId="0" applyFont="1" applyFill="1" applyBorder="1" applyAlignment="1">
      <alignment horizontal="center" vertical="center" wrapText="1"/>
    </xf>
    <xf numFmtId="0" fontId="53" fillId="8" borderId="6" xfId="0" applyFont="1" applyFill="1" applyBorder="1" applyAlignment="1">
      <alignment horizontal="center" vertical="center" wrapText="1"/>
    </xf>
    <xf numFmtId="0" fontId="54" fillId="0" borderId="66" xfId="0" applyFont="1" applyBorder="1" applyAlignment="1">
      <alignment horizontal="center" vertical="center" wrapText="1"/>
    </xf>
    <xf numFmtId="0" fontId="54" fillId="0" borderId="67" xfId="0" applyFont="1" applyBorder="1"/>
    <xf numFmtId="0" fontId="54" fillId="0" borderId="69" xfId="0" applyFont="1" applyBorder="1"/>
    <xf numFmtId="0" fontId="51" fillId="2" borderId="22" xfId="0" applyFont="1" applyFill="1" applyBorder="1" applyAlignment="1">
      <alignment horizontal="center" vertical="center" wrapText="1"/>
    </xf>
    <xf numFmtId="3" fontId="32" fillId="8" borderId="79" xfId="0" applyNumberFormat="1" applyFont="1" applyFill="1" applyBorder="1" applyAlignment="1">
      <alignment horizontal="center" vertical="top"/>
    </xf>
    <xf numFmtId="3" fontId="32" fillId="8" borderId="18" xfId="0" applyNumberFormat="1" applyFont="1" applyFill="1" applyBorder="1" applyAlignment="1">
      <alignment horizontal="center" vertical="top"/>
    </xf>
    <xf numFmtId="3" fontId="32" fillId="8" borderId="17" xfId="0" applyNumberFormat="1" applyFont="1" applyFill="1" applyBorder="1" applyAlignment="1">
      <alignment horizontal="center" vertical="top"/>
    </xf>
    <xf numFmtId="0" fontId="52" fillId="0" borderId="41" xfId="0" applyFont="1" applyFill="1" applyBorder="1" applyAlignment="1">
      <alignment horizontal="center" vertical="center" wrapText="1"/>
    </xf>
    <xf numFmtId="3" fontId="59" fillId="8" borderId="79" xfId="0" applyNumberFormat="1" applyFont="1" applyFill="1" applyBorder="1" applyAlignment="1">
      <alignment horizontal="center" vertical="top"/>
    </xf>
    <xf numFmtId="3" fontId="59" fillId="8" borderId="18" xfId="0" applyNumberFormat="1" applyFont="1" applyFill="1" applyBorder="1" applyAlignment="1">
      <alignment horizontal="center" vertical="top"/>
    </xf>
    <xf numFmtId="3" fontId="59" fillId="8" borderId="17" xfId="0" applyNumberFormat="1" applyFont="1" applyFill="1" applyBorder="1" applyAlignment="1">
      <alignment horizontal="center" vertical="top"/>
    </xf>
    <xf numFmtId="0" fontId="33" fillId="0" borderId="6" xfId="4" applyFont="1" applyFill="1" applyBorder="1" applyAlignment="1">
      <alignment horizontal="center" vertical="center" wrapText="1"/>
    </xf>
    <xf numFmtId="0" fontId="32" fillId="0" borderId="112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32" fillId="0" borderId="112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15" fillId="0" borderId="112" xfId="4" applyFont="1" applyFill="1" applyBorder="1" applyAlignment="1">
      <alignment horizontal="center" vertical="center" wrapText="1"/>
    </xf>
    <xf numFmtId="0" fontId="15" fillId="0" borderId="20" xfId="4" applyFont="1" applyFill="1" applyBorder="1" applyAlignment="1">
      <alignment horizontal="center" vertical="center"/>
    </xf>
    <xf numFmtId="0" fontId="33" fillId="0" borderId="6" xfId="0" applyFont="1" applyFill="1" applyBorder="1" applyAlignment="1">
      <alignment horizontal="center" vertical="center" wrapText="1"/>
    </xf>
    <xf numFmtId="0" fontId="33" fillId="0" borderId="20" xfId="0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20" xfId="4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/>
    </xf>
    <xf numFmtId="0" fontId="54" fillId="0" borderId="26" xfId="0" applyFont="1" applyBorder="1" applyAlignment="1">
      <alignment horizontal="center" vertical="center"/>
    </xf>
    <xf numFmtId="0" fontId="54" fillId="0" borderId="68" xfId="0" applyFont="1" applyBorder="1" applyAlignment="1">
      <alignment horizontal="center" vertical="center"/>
    </xf>
    <xf numFmtId="0" fontId="49" fillId="0" borderId="42" xfId="0" applyFont="1" applyFill="1" applyBorder="1" applyAlignment="1">
      <alignment horizontal="center" vertical="center" wrapText="1"/>
    </xf>
    <xf numFmtId="0" fontId="49" fillId="0" borderId="67" xfId="0" applyFont="1" applyFill="1" applyBorder="1" applyAlignment="1">
      <alignment horizontal="center" vertical="center" wrapText="1"/>
    </xf>
    <xf numFmtId="0" fontId="0" fillId="0" borderId="69" xfId="0" applyFont="1" applyBorder="1"/>
    <xf numFmtId="3" fontId="53" fillId="2" borderId="108" xfId="4" applyNumberFormat="1" applyFont="1" applyFill="1" applyBorder="1" applyAlignment="1">
      <alignment horizontal="center" vertical="center" wrapText="1"/>
    </xf>
    <xf numFmtId="3" fontId="53" fillId="2" borderId="13" xfId="4" applyNumberFormat="1" applyFont="1" applyFill="1" applyBorder="1" applyAlignment="1">
      <alignment horizontal="center" vertical="center" wrapText="1"/>
    </xf>
    <xf numFmtId="3" fontId="53" fillId="2" borderId="35" xfId="4" applyNumberFormat="1" applyFont="1" applyFill="1" applyBorder="1" applyAlignment="1">
      <alignment horizontal="center" vertical="center" wrapText="1"/>
    </xf>
    <xf numFmtId="0" fontId="51" fillId="0" borderId="108" xfId="0" applyFont="1" applyBorder="1" applyAlignment="1">
      <alignment horizontal="center" vertical="center"/>
    </xf>
    <xf numFmtId="0" fontId="51" fillId="0" borderId="35" xfId="0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0" fontId="48" fillId="2" borderId="14" xfId="0" applyFont="1" applyFill="1" applyBorder="1" applyAlignment="1">
      <alignment horizontal="center" vertical="center" wrapText="1"/>
    </xf>
    <xf numFmtId="0" fontId="48" fillId="2" borderId="6" xfId="0" applyFont="1" applyFill="1" applyBorder="1" applyAlignment="1">
      <alignment horizontal="center" vertical="center" wrapText="1"/>
    </xf>
    <xf numFmtId="3" fontId="53" fillId="2" borderId="96" xfId="4" applyNumberFormat="1" applyFont="1" applyFill="1" applyBorder="1" applyAlignment="1">
      <alignment horizontal="center" vertical="center" wrapText="1"/>
    </xf>
    <xf numFmtId="0" fontId="60" fillId="0" borderId="108" xfId="0" applyFont="1" applyBorder="1" applyAlignment="1">
      <alignment horizontal="center" vertical="center"/>
    </xf>
    <xf numFmtId="0" fontId="48" fillId="2" borderId="22" xfId="0" applyFont="1" applyFill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/>
    </xf>
    <xf numFmtId="3" fontId="53" fillId="26" borderId="108" xfId="0" applyNumberFormat="1" applyFont="1" applyFill="1" applyBorder="1" applyAlignment="1">
      <alignment horizontal="center" vertical="center"/>
    </xf>
    <xf numFmtId="3" fontId="53" fillId="26" borderId="13" xfId="0" applyNumberFormat="1" applyFont="1" applyFill="1" applyBorder="1" applyAlignment="1">
      <alignment horizontal="center" vertical="center"/>
    </xf>
    <xf numFmtId="3" fontId="53" fillId="26" borderId="12" xfId="0" applyNumberFormat="1" applyFont="1" applyFill="1" applyBorder="1" applyAlignment="1">
      <alignment horizontal="center" vertical="center"/>
    </xf>
    <xf numFmtId="0" fontId="48" fillId="2" borderId="16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vertical="center" wrapText="1"/>
    </xf>
    <xf numFmtId="0" fontId="0" fillId="2" borderId="37" xfId="0" applyFont="1" applyFill="1" applyBorder="1" applyAlignment="1">
      <alignment vertical="center" wrapText="1"/>
    </xf>
    <xf numFmtId="0" fontId="60" fillId="0" borderId="96" xfId="0" applyFont="1" applyBorder="1" applyAlignment="1">
      <alignment horizontal="center" vertical="center"/>
    </xf>
    <xf numFmtId="0" fontId="60" fillId="0" borderId="47" xfId="0" applyFont="1" applyBorder="1" applyAlignment="1">
      <alignment horizontal="center" vertical="center"/>
    </xf>
    <xf numFmtId="3" fontId="53" fillId="26" borderId="118" xfId="0" applyNumberFormat="1" applyFont="1" applyFill="1" applyBorder="1" applyAlignment="1">
      <alignment horizontal="center" vertical="center"/>
    </xf>
    <xf numFmtId="3" fontId="53" fillId="26" borderId="10" xfId="0" applyNumberFormat="1" applyFont="1" applyFill="1" applyBorder="1" applyAlignment="1">
      <alignment horizontal="center" vertical="center"/>
    </xf>
    <xf numFmtId="3" fontId="53" fillId="26" borderId="74" xfId="0" applyNumberFormat="1" applyFont="1" applyFill="1" applyBorder="1" applyAlignment="1">
      <alignment horizontal="center" vertical="center"/>
    </xf>
    <xf numFmtId="0" fontId="48" fillId="0" borderId="39" xfId="0" applyFont="1" applyBorder="1" applyAlignment="1">
      <alignment horizontal="center" vertical="center" wrapText="1"/>
    </xf>
    <xf numFmtId="0" fontId="46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48" fillId="8" borderId="43" xfId="0" applyNumberFormat="1" applyFont="1" applyFill="1" applyBorder="1" applyAlignment="1">
      <alignment horizontal="center" vertical="center" wrapText="1"/>
    </xf>
    <xf numFmtId="3" fontId="48" fillId="8" borderId="41" xfId="0" applyNumberFormat="1" applyFont="1" applyFill="1" applyBorder="1" applyAlignment="1">
      <alignment horizontal="center" vertical="center" wrapText="1"/>
    </xf>
    <xf numFmtId="0" fontId="55" fillId="8" borderId="96" xfId="4" applyFont="1" applyFill="1" applyBorder="1" applyAlignment="1">
      <alignment horizontal="center" vertical="center"/>
    </xf>
    <xf numFmtId="0" fontId="55" fillId="8" borderId="108" xfId="4" applyFont="1" applyFill="1" applyBorder="1" applyAlignment="1">
      <alignment horizontal="center" vertical="center"/>
    </xf>
    <xf numFmtId="0" fontId="55" fillId="8" borderId="13" xfId="4" applyFont="1" applyFill="1" applyBorder="1" applyAlignment="1">
      <alignment horizontal="center" vertical="center"/>
    </xf>
    <xf numFmtId="0" fontId="55" fillId="8" borderId="12" xfId="4" applyFont="1" applyFill="1" applyBorder="1" applyAlignment="1">
      <alignment horizontal="center" vertical="center"/>
    </xf>
    <xf numFmtId="0" fontId="48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53" fillId="24" borderId="108" xfId="0" applyNumberFormat="1" applyFont="1" applyFill="1" applyBorder="1" applyAlignment="1">
      <alignment horizontal="center" vertical="center"/>
    </xf>
    <xf numFmtId="3" fontId="53" fillId="24" borderId="13" xfId="0" applyNumberFormat="1" applyFont="1" applyFill="1" applyBorder="1" applyAlignment="1">
      <alignment horizontal="center" vertical="center"/>
    </xf>
    <xf numFmtId="3" fontId="53" fillId="24" borderId="12" xfId="0" applyNumberFormat="1" applyFont="1" applyFill="1" applyBorder="1" applyAlignment="1">
      <alignment horizontal="center" vertical="center"/>
    </xf>
    <xf numFmtId="0" fontId="52" fillId="0" borderId="43" xfId="4" applyFont="1" applyFill="1" applyBorder="1" applyAlignment="1">
      <alignment horizontal="center" vertical="center"/>
    </xf>
    <xf numFmtId="0" fontId="52" fillId="0" borderId="46" xfId="4" applyFont="1" applyFill="1" applyBorder="1" applyAlignment="1">
      <alignment horizontal="center" vertical="center"/>
    </xf>
    <xf numFmtId="0" fontId="46" fillId="0" borderId="13" xfId="4" applyFont="1" applyFill="1" applyBorder="1" applyAlignment="1">
      <alignment horizontal="center" vertical="center" wrapText="1"/>
    </xf>
    <xf numFmtId="0" fontId="46" fillId="0" borderId="35" xfId="4" applyFont="1" applyFill="1" applyBorder="1" applyAlignment="1">
      <alignment horizontal="center" vertical="center" wrapText="1"/>
    </xf>
    <xf numFmtId="0" fontId="53" fillId="2" borderId="28" xfId="4" applyFont="1" applyFill="1" applyBorder="1" applyAlignment="1">
      <alignment horizontal="center" vertical="center" wrapText="1"/>
    </xf>
    <xf numFmtId="0" fontId="0" fillId="0" borderId="115" xfId="0" applyFont="1" applyBorder="1"/>
    <xf numFmtId="0" fontId="60" fillId="0" borderId="28" xfId="0" applyFont="1" applyBorder="1" applyAlignment="1">
      <alignment horizontal="center" vertical="center" wrapText="1"/>
    </xf>
    <xf numFmtId="3" fontId="52" fillId="35" borderId="96" xfId="4" applyNumberFormat="1" applyFont="1" applyFill="1" applyBorder="1" applyAlignment="1">
      <alignment horizontal="center" vertical="center"/>
    </xf>
    <xf numFmtId="0" fontId="48" fillId="2" borderId="6" xfId="4" applyFont="1" applyFill="1" applyBorder="1" applyAlignment="1">
      <alignment horizontal="center" vertical="center" wrapText="1"/>
    </xf>
    <xf numFmtId="0" fontId="48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49" fillId="0" borderId="13" xfId="4" applyFont="1" applyFill="1" applyBorder="1" applyAlignment="1">
      <alignment horizontal="center" vertical="center" wrapText="1"/>
    </xf>
    <xf numFmtId="0" fontId="53" fillId="2" borderId="6" xfId="4" applyFont="1" applyFill="1" applyBorder="1" applyAlignment="1">
      <alignment horizontal="center" vertical="center" wrapText="1" shrinkToFit="1"/>
    </xf>
    <xf numFmtId="3" fontId="53" fillId="23" borderId="13" xfId="4" applyNumberFormat="1" applyFont="1" applyFill="1" applyBorder="1" applyAlignment="1">
      <alignment horizontal="center" vertical="center"/>
    </xf>
    <xf numFmtId="0" fontId="52" fillId="0" borderId="41" xfId="4" applyFont="1" applyFill="1" applyBorder="1" applyAlignment="1">
      <alignment horizontal="center" vertical="center"/>
    </xf>
    <xf numFmtId="0" fontId="46" fillId="0" borderId="109" xfId="4" applyFont="1" applyFill="1" applyBorder="1" applyAlignment="1">
      <alignment horizontal="center" vertical="center" wrapText="1"/>
    </xf>
    <xf numFmtId="0" fontId="46" fillId="0" borderId="47" xfId="4" applyFont="1" applyFill="1" applyBorder="1" applyAlignment="1">
      <alignment horizontal="center" vertical="center" wrapText="1"/>
    </xf>
    <xf numFmtId="0" fontId="52" fillId="2" borderId="28" xfId="4" applyFont="1" applyFill="1" applyBorder="1" applyAlignment="1">
      <alignment horizontal="center" vertical="center" wrapText="1"/>
    </xf>
    <xf numFmtId="0" fontId="52" fillId="2" borderId="28" xfId="4" applyFont="1" applyFill="1" applyBorder="1" applyAlignment="1">
      <alignment horizontal="center" vertical="center" wrapText="1" shrinkToFit="1"/>
    </xf>
    <xf numFmtId="0" fontId="52" fillId="2" borderId="37" xfId="4" applyFont="1" applyFill="1" applyBorder="1" applyAlignment="1">
      <alignment horizontal="center" vertical="center" wrapText="1" shrinkToFit="1"/>
    </xf>
    <xf numFmtId="3" fontId="52" fillId="23" borderId="109" xfId="4" applyNumberFormat="1" applyFont="1" applyFill="1" applyBorder="1" applyAlignment="1">
      <alignment horizontal="center" vertical="center"/>
    </xf>
    <xf numFmtId="0" fontId="60" fillId="0" borderId="43" xfId="0" applyFont="1" applyBorder="1" applyAlignment="1">
      <alignment vertical="center" wrapText="1"/>
    </xf>
    <xf numFmtId="0" fontId="46" fillId="0" borderId="27" xfId="0" applyFont="1" applyFill="1" applyBorder="1" applyAlignment="1">
      <alignment horizontal="center" vertical="center" wrapText="1"/>
    </xf>
    <xf numFmtId="0" fontId="60" fillId="0" borderId="28" xfId="0" applyFont="1" applyBorder="1" applyAlignment="1">
      <alignment horizontal="center" wrapText="1"/>
    </xf>
    <xf numFmtId="0" fontId="60" fillId="0" borderId="98" xfId="0" applyFont="1" applyBorder="1" applyAlignment="1">
      <alignment horizontal="center" wrapText="1"/>
    </xf>
    <xf numFmtId="0" fontId="53" fillId="2" borderId="98" xfId="4" applyFont="1" applyFill="1" applyBorder="1" applyAlignment="1">
      <alignment horizontal="center" vertical="center" wrapText="1"/>
    </xf>
    <xf numFmtId="3" fontId="53" fillId="23" borderId="96" xfId="4" applyNumberFormat="1" applyFont="1" applyFill="1" applyBorder="1" applyAlignment="1">
      <alignment horizontal="center" vertical="center"/>
    </xf>
    <xf numFmtId="0" fontId="52" fillId="0" borderId="43" xfId="4" quotePrefix="1" applyFont="1" applyFill="1" applyBorder="1" applyAlignment="1">
      <alignment horizontal="center" vertical="center"/>
    </xf>
    <xf numFmtId="0" fontId="52" fillId="0" borderId="10" xfId="4" applyFont="1" applyFill="1" applyBorder="1" applyAlignment="1">
      <alignment horizontal="center" vertical="center"/>
    </xf>
    <xf numFmtId="0" fontId="52" fillId="0" borderId="74" xfId="4" applyFont="1" applyFill="1" applyBorder="1" applyAlignment="1">
      <alignment horizontal="center" vertical="center"/>
    </xf>
    <xf numFmtId="0" fontId="46" fillId="0" borderId="108" xfId="4" applyFont="1" applyFill="1" applyBorder="1" applyAlignment="1">
      <alignment horizontal="center" vertical="center" wrapText="1"/>
    </xf>
    <xf numFmtId="0" fontId="46" fillId="0" borderId="12" xfId="4" applyFont="1" applyFill="1" applyBorder="1" applyAlignment="1">
      <alignment horizontal="center" vertical="center" wrapText="1"/>
    </xf>
    <xf numFmtId="0" fontId="53" fillId="2" borderId="111" xfId="4" applyFont="1" applyFill="1" applyBorder="1" applyAlignment="1">
      <alignment horizontal="center" vertical="center" wrapText="1"/>
    </xf>
    <xf numFmtId="0" fontId="60" fillId="0" borderId="111" xfId="0" applyFont="1" applyBorder="1" applyAlignment="1">
      <alignment horizontal="center" wrapText="1"/>
    </xf>
    <xf numFmtId="0" fontId="60" fillId="0" borderId="110" xfId="0" applyFont="1" applyBorder="1" applyAlignment="1">
      <alignment horizontal="center" wrapText="1"/>
    </xf>
    <xf numFmtId="0" fontId="53" fillId="2" borderId="110" xfId="4" applyFont="1" applyFill="1" applyBorder="1" applyAlignment="1">
      <alignment horizontal="center" vertical="center" wrapText="1"/>
    </xf>
    <xf numFmtId="0" fontId="53" fillId="2" borderId="72" xfId="4" applyFont="1" applyFill="1" applyBorder="1" applyAlignment="1">
      <alignment horizontal="center" vertical="center" wrapText="1"/>
    </xf>
    <xf numFmtId="3" fontId="52" fillId="23" borderId="96" xfId="4" applyNumberFormat="1" applyFont="1" applyFill="1" applyBorder="1" applyAlignment="1">
      <alignment horizontal="center" vertical="center"/>
    </xf>
    <xf numFmtId="0" fontId="53" fillId="0" borderId="111" xfId="4" applyFont="1" applyFill="1" applyBorder="1" applyAlignment="1">
      <alignment horizontal="center" vertical="center" wrapText="1"/>
    </xf>
    <xf numFmtId="0" fontId="60" fillId="0" borderId="111" xfId="0" applyFont="1" applyFill="1" applyBorder="1" applyAlignment="1">
      <alignment horizontal="center" vertical="center" wrapText="1"/>
    </xf>
    <xf numFmtId="0" fontId="60" fillId="0" borderId="37" xfId="0" applyFont="1" applyFill="1" applyBorder="1" applyAlignment="1">
      <alignment horizontal="center" vertical="center" wrapText="1"/>
    </xf>
    <xf numFmtId="3" fontId="52" fillId="35" borderId="109" xfId="4" applyNumberFormat="1" applyFont="1" applyFill="1" applyBorder="1" applyAlignment="1">
      <alignment horizontal="center" vertical="center"/>
    </xf>
    <xf numFmtId="3" fontId="52" fillId="35" borderId="47" xfId="4" applyNumberFormat="1" applyFont="1" applyFill="1" applyBorder="1" applyAlignment="1">
      <alignment horizontal="center" vertical="center"/>
    </xf>
    <xf numFmtId="0" fontId="46" fillId="0" borderId="126" xfId="4" applyFont="1" applyFill="1" applyBorder="1" applyAlignment="1">
      <alignment horizontal="center" vertical="center" wrapText="1"/>
    </xf>
    <xf numFmtId="0" fontId="53" fillId="0" borderId="28" xfId="4" applyFont="1" applyFill="1" applyBorder="1" applyAlignment="1">
      <alignment horizontal="center" vertical="center" wrapText="1"/>
    </xf>
    <xf numFmtId="0" fontId="60" fillId="0" borderId="28" xfId="0" applyFont="1" applyFill="1" applyBorder="1" applyAlignment="1">
      <alignment horizontal="center" vertical="center" wrapText="1"/>
    </xf>
    <xf numFmtId="3" fontId="52" fillId="35" borderId="124" xfId="4" applyNumberFormat="1" applyFont="1" applyFill="1" applyBorder="1" applyAlignment="1">
      <alignment horizontal="center" vertical="center"/>
    </xf>
    <xf numFmtId="0" fontId="49" fillId="0" borderId="0" xfId="0" applyFont="1" applyBorder="1" applyAlignment="1">
      <alignment horizontal="center" vertical="top"/>
    </xf>
    <xf numFmtId="0" fontId="72" fillId="2" borderId="0" xfId="0" applyFont="1" applyFill="1" applyBorder="1" applyAlignment="1">
      <alignment horizontal="left" wrapText="1"/>
    </xf>
    <xf numFmtId="0" fontId="48" fillId="0" borderId="113" xfId="0" applyFont="1" applyBorder="1" applyAlignment="1">
      <alignment horizontal="center" vertical="center" wrapText="1"/>
    </xf>
    <xf numFmtId="0" fontId="48" fillId="0" borderId="21" xfId="0" applyFont="1" applyBorder="1" applyAlignment="1">
      <alignment horizontal="center" vertical="center" wrapText="1"/>
    </xf>
    <xf numFmtId="0" fontId="49" fillId="0" borderId="112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49" fillId="0" borderId="20" xfId="0" applyFont="1" applyBorder="1" applyAlignment="1">
      <alignment horizontal="center" vertical="center" wrapText="1"/>
    </xf>
    <xf numFmtId="0" fontId="49" fillId="0" borderId="117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5" fillId="0" borderId="114" xfId="4" applyFont="1" applyBorder="1" applyAlignment="1">
      <alignment horizontal="center" vertical="center" wrapText="1"/>
    </xf>
    <xf numFmtId="0" fontId="45" fillId="0" borderId="27" xfId="4" applyFont="1" applyBorder="1" applyAlignment="1">
      <alignment horizontal="center" vertical="center" wrapText="1"/>
    </xf>
    <xf numFmtId="0" fontId="45" fillId="0" borderId="9" xfId="4" applyFont="1" applyBorder="1" applyAlignment="1">
      <alignment horizontal="center" vertical="center" wrapText="1"/>
    </xf>
    <xf numFmtId="0" fontId="47" fillId="2" borderId="118" xfId="0" applyFont="1" applyFill="1" applyBorder="1" applyAlignment="1">
      <alignment horizontal="center" vertical="center" wrapText="1"/>
    </xf>
    <xf numFmtId="0" fontId="47" fillId="2" borderId="117" xfId="0" applyFont="1" applyFill="1" applyBorder="1" applyAlignment="1">
      <alignment horizontal="center" vertical="center" wrapText="1"/>
    </xf>
    <xf numFmtId="0" fontId="48" fillId="19" borderId="114" xfId="4" applyFont="1" applyFill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52" fillId="2" borderId="118" xfId="0" applyFont="1" applyFill="1" applyBorder="1" applyAlignment="1">
      <alignment horizontal="center" vertical="center" wrapText="1"/>
    </xf>
    <xf numFmtId="0" fontId="52" fillId="2" borderId="10" xfId="0" applyFont="1" applyFill="1" applyBorder="1" applyAlignment="1">
      <alignment horizontal="center" vertical="center" wrapText="1"/>
    </xf>
    <xf numFmtId="0" fontId="53" fillId="2" borderId="108" xfId="0" applyFont="1" applyFill="1" applyBorder="1" applyAlignment="1">
      <alignment horizontal="center" vertical="center" wrapText="1"/>
    </xf>
    <xf numFmtId="0" fontId="53" fillId="2" borderId="13" xfId="0" applyFont="1" applyFill="1" applyBorder="1" applyAlignment="1">
      <alignment horizontal="center" vertical="center" wrapText="1"/>
    </xf>
    <xf numFmtId="0" fontId="53" fillId="0" borderId="118" xfId="4" applyFont="1" applyBorder="1" applyAlignment="1">
      <alignment horizontal="center" vertical="center" wrapText="1"/>
    </xf>
    <xf numFmtId="0" fontId="53" fillId="0" borderId="117" xfId="4" applyFont="1" applyBorder="1" applyAlignment="1">
      <alignment horizontal="center" vertical="center" wrapText="1"/>
    </xf>
    <xf numFmtId="0" fontId="53" fillId="0" borderId="114" xfId="4" applyFont="1" applyBorder="1" applyAlignment="1">
      <alignment horizontal="center" vertical="center" wrapText="1"/>
    </xf>
    <xf numFmtId="0" fontId="52" fillId="0" borderId="41" xfId="4" quotePrefix="1" applyFont="1" applyFill="1" applyBorder="1" applyAlignment="1">
      <alignment horizontal="center" vertical="center"/>
    </xf>
    <xf numFmtId="0" fontId="52" fillId="2" borderId="111" xfId="4" applyFont="1" applyFill="1" applyBorder="1" applyAlignment="1">
      <alignment horizontal="center" vertical="center" wrapText="1"/>
    </xf>
    <xf numFmtId="0" fontId="52" fillId="2" borderId="37" xfId="4" applyFont="1" applyFill="1" applyBorder="1" applyAlignment="1">
      <alignment horizontal="center" vertical="center" wrapText="1"/>
    </xf>
    <xf numFmtId="3" fontId="53" fillId="23" borderId="126" xfId="4" applyNumberFormat="1" applyFont="1" applyFill="1" applyBorder="1" applyAlignment="1">
      <alignment horizontal="center" vertical="center"/>
    </xf>
    <xf numFmtId="3" fontId="53" fillId="23" borderId="12" xfId="4" applyNumberFormat="1" applyFont="1" applyFill="1" applyBorder="1" applyAlignment="1">
      <alignment horizontal="center" vertical="center"/>
    </xf>
    <xf numFmtId="0" fontId="53" fillId="2" borderId="97" xfId="4" applyFont="1" applyFill="1" applyBorder="1" applyAlignment="1">
      <alignment horizontal="center" vertical="center" wrapText="1"/>
    </xf>
    <xf numFmtId="3" fontId="52" fillId="27" borderId="101" xfId="4" applyNumberFormat="1" applyFont="1" applyFill="1" applyBorder="1" applyAlignment="1">
      <alignment horizontal="center" vertical="center"/>
    </xf>
    <xf numFmtId="0" fontId="46" fillId="0" borderId="46" xfId="0" applyFont="1" applyFill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/>
    </xf>
    <xf numFmtId="0" fontId="45" fillId="0" borderId="11" xfId="0" applyFont="1" applyBorder="1" applyAlignment="1">
      <alignment horizontal="center" vertical="center"/>
    </xf>
    <xf numFmtId="0" fontId="45" fillId="0" borderId="25" xfId="0" applyFont="1" applyBorder="1" applyAlignment="1">
      <alignment horizontal="center" vertical="center"/>
    </xf>
    <xf numFmtId="0" fontId="53" fillId="8" borderId="73" xfId="0" applyFont="1" applyFill="1" applyBorder="1" applyAlignment="1">
      <alignment horizontal="center" vertical="center" wrapText="1"/>
    </xf>
    <xf numFmtId="0" fontId="0" fillId="0" borderId="41" xfId="0" applyFont="1" applyBorder="1"/>
    <xf numFmtId="0" fontId="0" fillId="0" borderId="67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 wrapText="1"/>
    </xf>
    <xf numFmtId="3" fontId="53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/>
    <xf numFmtId="0" fontId="53" fillId="2" borderId="86" xfId="4" applyFont="1" applyFill="1" applyBorder="1" applyAlignment="1">
      <alignment horizontal="center" vertical="center" wrapText="1"/>
    </xf>
    <xf numFmtId="0" fontId="60" fillId="0" borderId="68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0" fontId="54" fillId="0" borderId="11" xfId="0" applyFont="1" applyBorder="1" applyAlignment="1">
      <alignment horizontal="center" vertical="center" wrapText="1"/>
    </xf>
    <xf numFmtId="0" fontId="54" fillId="0" borderId="25" xfId="0" applyFont="1" applyBorder="1" applyAlignment="1">
      <alignment horizontal="center" vertical="center" wrapText="1"/>
    </xf>
    <xf numFmtId="0" fontId="60" fillId="0" borderId="27" xfId="0" applyFont="1" applyBorder="1" applyAlignment="1">
      <alignment horizontal="center" vertical="center" wrapText="1"/>
    </xf>
    <xf numFmtId="0" fontId="51" fillId="0" borderId="65" xfId="0" applyFont="1" applyBorder="1" applyAlignment="1">
      <alignment horizontal="center" vertical="center" wrapText="1"/>
    </xf>
    <xf numFmtId="0" fontId="51" fillId="0" borderId="23" xfId="0" applyFont="1" applyBorder="1" applyAlignment="1">
      <alignment horizontal="center" vertical="center" wrapText="1"/>
    </xf>
    <xf numFmtId="0" fontId="44" fillId="2" borderId="24" xfId="0" applyFont="1" applyFill="1" applyBorder="1" applyAlignment="1">
      <alignment horizontal="left" vertical="top" wrapText="1"/>
    </xf>
    <xf numFmtId="0" fontId="48" fillId="0" borderId="1" xfId="0" applyFont="1" applyBorder="1" applyAlignment="1">
      <alignment horizontal="center" vertical="center" wrapText="1"/>
    </xf>
    <xf numFmtId="0" fontId="48" fillId="0" borderId="26" xfId="0" applyFont="1" applyBorder="1" applyAlignment="1">
      <alignment horizontal="center" vertical="center" wrapText="1"/>
    </xf>
    <xf numFmtId="0" fontId="48" fillId="0" borderId="68" xfId="0" applyFont="1" applyBorder="1" applyAlignment="1">
      <alignment horizontal="center" vertical="center" wrapText="1"/>
    </xf>
    <xf numFmtId="0" fontId="46" fillId="0" borderId="0" xfId="0" applyFont="1" applyAlignment="1">
      <alignment horizontal="left" vertical="top" wrapText="1"/>
    </xf>
    <xf numFmtId="0" fontId="45" fillId="33" borderId="11" xfId="0" applyFont="1" applyFill="1" applyBorder="1" applyAlignment="1">
      <alignment horizontal="center" vertical="center" wrapText="1"/>
    </xf>
    <xf numFmtId="0" fontId="46" fillId="33" borderId="10" xfId="0" applyFont="1" applyFill="1" applyBorder="1" applyAlignment="1">
      <alignment horizontal="center" vertical="center" wrapText="1"/>
    </xf>
    <xf numFmtId="3" fontId="53" fillId="33" borderId="28" xfId="4" applyNumberFormat="1" applyFont="1" applyFill="1" applyBorder="1" applyAlignment="1">
      <alignment horizontal="center" vertical="center" wrapText="1"/>
    </xf>
    <xf numFmtId="0" fontId="60" fillId="33" borderId="28" xfId="0" applyFont="1" applyFill="1" applyBorder="1" applyAlignment="1">
      <alignment horizontal="center" vertical="center" wrapText="1"/>
    </xf>
    <xf numFmtId="0" fontId="53" fillId="2" borderId="132" xfId="4" applyFont="1" applyFill="1" applyBorder="1" applyAlignment="1">
      <alignment horizontal="center" vertical="center" wrapText="1"/>
    </xf>
    <xf numFmtId="3" fontId="52" fillId="27" borderId="143" xfId="4" applyNumberFormat="1" applyFont="1" applyFill="1" applyBorder="1" applyAlignment="1">
      <alignment horizontal="center" vertical="center"/>
    </xf>
    <xf numFmtId="3" fontId="45" fillId="27" borderId="101" xfId="4" applyNumberFormat="1" applyFont="1" applyFill="1" applyBorder="1" applyAlignment="1">
      <alignment horizontal="center" vertical="center"/>
    </xf>
    <xf numFmtId="3" fontId="45" fillId="27" borderId="13" xfId="4" applyNumberFormat="1" applyFont="1" applyFill="1" applyBorder="1" applyAlignment="1">
      <alignment horizontal="center" vertical="center"/>
    </xf>
    <xf numFmtId="3" fontId="45" fillId="27" borderId="12" xfId="4" applyNumberFormat="1" applyFont="1" applyFill="1" applyBorder="1" applyAlignment="1">
      <alignment horizontal="center" vertical="center"/>
    </xf>
    <xf numFmtId="0" fontId="44" fillId="2" borderId="24" xfId="112" applyFont="1" applyFill="1" applyBorder="1" applyAlignment="1">
      <alignment horizontal="left" vertical="top" wrapText="1"/>
    </xf>
    <xf numFmtId="0" fontId="48" fillId="0" borderId="5" xfId="112" applyFont="1" applyBorder="1" applyAlignment="1">
      <alignment horizontal="center" vertical="center" wrapText="1"/>
    </xf>
    <xf numFmtId="0" fontId="48" fillId="0" borderId="11" xfId="112" applyFont="1" applyBorder="1" applyAlignment="1">
      <alignment horizontal="center" vertical="center" wrapText="1"/>
    </xf>
    <xf numFmtId="0" fontId="48" fillId="0" borderId="25" xfId="112" applyFont="1" applyBorder="1" applyAlignment="1">
      <alignment horizontal="center" vertical="center" wrapText="1"/>
    </xf>
    <xf numFmtId="0" fontId="47" fillId="2" borderId="2" xfId="112" applyFont="1" applyFill="1" applyBorder="1" applyAlignment="1">
      <alignment horizontal="center" vertical="center" wrapText="1"/>
    </xf>
    <xf numFmtId="0" fontId="47" fillId="2" borderId="3" xfId="112" applyFont="1" applyFill="1" applyBorder="1" applyAlignment="1">
      <alignment horizontal="center" vertical="center" wrapText="1"/>
    </xf>
    <xf numFmtId="0" fontId="47" fillId="2" borderId="4" xfId="112" applyFont="1" applyFill="1" applyBorder="1" applyAlignment="1">
      <alignment horizontal="center" vertical="center" wrapText="1"/>
    </xf>
    <xf numFmtId="0" fontId="47" fillId="2" borderId="7" xfId="112" applyFont="1" applyFill="1" applyBorder="1" applyAlignment="1">
      <alignment horizontal="center" vertical="center" wrapText="1"/>
    </xf>
    <xf numFmtId="0" fontId="47" fillId="2" borderId="8" xfId="112" applyFont="1" applyFill="1" applyBorder="1" applyAlignment="1">
      <alignment horizontal="center" vertical="center" wrapText="1"/>
    </xf>
    <xf numFmtId="0" fontId="47" fillId="2" borderId="9" xfId="112" applyFont="1" applyFill="1" applyBorder="1" applyAlignment="1">
      <alignment horizontal="center" vertical="center" wrapText="1"/>
    </xf>
    <xf numFmtId="0" fontId="2" fillId="19" borderId="27" xfId="112" applyFont="1" applyFill="1" applyBorder="1" applyAlignment="1">
      <alignment horizontal="center" vertical="center" wrapText="1"/>
    </xf>
    <xf numFmtId="0" fontId="2" fillId="19" borderId="23" xfId="112" applyFont="1" applyFill="1" applyBorder="1" applyAlignment="1">
      <alignment horizontal="center" vertical="center" wrapText="1"/>
    </xf>
    <xf numFmtId="0" fontId="52" fillId="2" borderId="2" xfId="112" applyFont="1" applyFill="1" applyBorder="1" applyAlignment="1">
      <alignment horizontal="center" vertical="center" wrapText="1"/>
    </xf>
    <xf numFmtId="0" fontId="52" fillId="2" borderId="7" xfId="112" applyFont="1" applyFill="1" applyBorder="1" applyAlignment="1">
      <alignment horizontal="center" vertical="center" wrapText="1"/>
    </xf>
    <xf numFmtId="0" fontId="45" fillId="0" borderId="5" xfId="112" applyFont="1" applyFill="1" applyBorder="1" applyAlignment="1">
      <alignment horizontal="center" vertical="center" wrapText="1"/>
    </xf>
    <xf numFmtId="0" fontId="2" fillId="0" borderId="11" xfId="112" applyFont="1" applyBorder="1" applyAlignment="1">
      <alignment vertical="center" wrapText="1"/>
    </xf>
    <xf numFmtId="0" fontId="2" fillId="0" borderId="25" xfId="112" applyFont="1" applyBorder="1" applyAlignment="1">
      <alignment vertical="center" wrapText="1"/>
    </xf>
    <xf numFmtId="0" fontId="46" fillId="0" borderId="66" xfId="112" applyFont="1" applyFill="1" applyBorder="1" applyAlignment="1">
      <alignment horizontal="center" vertical="center" wrapText="1"/>
    </xf>
    <xf numFmtId="0" fontId="46" fillId="0" borderId="67" xfId="112" applyFont="1" applyFill="1" applyBorder="1" applyAlignment="1">
      <alignment horizontal="center" vertical="center" wrapText="1"/>
    </xf>
    <xf numFmtId="0" fontId="2" fillId="0" borderId="67" xfId="112" applyFont="1" applyBorder="1" applyAlignment="1">
      <alignment horizontal="center" vertical="center" wrapText="1"/>
    </xf>
    <xf numFmtId="0" fontId="2" fillId="0" borderId="69" xfId="112" applyFont="1" applyBorder="1" applyAlignment="1">
      <alignment horizontal="center" vertical="center" wrapText="1"/>
    </xf>
    <xf numFmtId="0" fontId="60" fillId="0" borderId="6" xfId="112" applyFont="1" applyBorder="1" applyAlignment="1">
      <alignment horizontal="center" vertical="center" wrapText="1"/>
    </xf>
    <xf numFmtId="0" fontId="60" fillId="0" borderId="22" xfId="112" applyFont="1" applyBorder="1" applyAlignment="1">
      <alignment horizontal="center" vertical="center" wrapText="1"/>
    </xf>
    <xf numFmtId="0" fontId="120" fillId="0" borderId="42" xfId="0" applyFont="1" applyFill="1" applyBorder="1" applyAlignment="1">
      <alignment horizontal="center" vertical="center" wrapText="1"/>
    </xf>
    <xf numFmtId="0" fontId="120" fillId="0" borderId="43" xfId="0" applyFont="1" applyFill="1" applyBorder="1" applyAlignment="1">
      <alignment horizontal="center" vertical="center" wrapText="1"/>
    </xf>
    <xf numFmtId="0" fontId="121" fillId="0" borderId="41" xfId="0" applyFont="1" applyBorder="1"/>
    <xf numFmtId="0" fontId="53" fillId="0" borderId="73" xfId="0" applyFont="1" applyFill="1" applyBorder="1" applyAlignment="1">
      <alignment horizontal="center" vertical="center" wrapText="1"/>
    </xf>
    <xf numFmtId="0" fontId="2" fillId="0" borderId="0" xfId="0" applyFont="1"/>
    <xf numFmtId="2" fontId="45" fillId="0" borderId="5" xfId="4" applyNumberFormat="1" applyFont="1" applyFill="1" applyBorder="1" applyAlignment="1">
      <alignment horizontal="center" vertical="center"/>
    </xf>
    <xf numFmtId="2" fontId="2" fillId="0" borderId="11" xfId="112" applyNumberFormat="1" applyFont="1" applyBorder="1" applyAlignment="1">
      <alignment horizontal="center" vertical="center" wrapText="1"/>
    </xf>
    <xf numFmtId="2" fontId="2" fillId="0" borderId="25" xfId="112" applyNumberFormat="1" applyFont="1" applyBorder="1" applyAlignment="1">
      <alignment horizontal="center" vertical="center" wrapText="1"/>
    </xf>
    <xf numFmtId="0" fontId="45" fillId="0" borderId="11" xfId="112" applyFont="1" applyFill="1" applyBorder="1" applyAlignment="1">
      <alignment horizontal="center" vertical="center" wrapText="1"/>
    </xf>
    <xf numFmtId="0" fontId="45" fillId="0" borderId="25" xfId="112" applyFont="1" applyFill="1" applyBorder="1" applyAlignment="1">
      <alignment horizontal="center" vertical="center" wrapText="1"/>
    </xf>
    <xf numFmtId="3" fontId="52" fillId="27" borderId="129" xfId="4" applyNumberFormat="1" applyFont="1" applyFill="1" applyBorder="1" applyAlignment="1">
      <alignment horizontal="center" vertical="center"/>
    </xf>
    <xf numFmtId="0" fontId="53" fillId="2" borderId="22" xfId="4" applyFont="1" applyFill="1" applyBorder="1" applyAlignment="1">
      <alignment horizontal="center" vertical="center" wrapText="1"/>
    </xf>
    <xf numFmtId="0" fontId="47" fillId="0" borderId="150" xfId="0" applyFont="1" applyBorder="1" applyAlignment="1">
      <alignment vertical="top"/>
    </xf>
    <xf numFmtId="0" fontId="0" fillId="0" borderId="150" xfId="0" applyFont="1" applyBorder="1" applyAlignment="1">
      <alignment vertical="top"/>
    </xf>
    <xf numFmtId="3" fontId="0" fillId="0" borderId="150" xfId="0" applyNumberFormat="1" applyFont="1" applyBorder="1" applyAlignment="1">
      <alignment vertical="top"/>
    </xf>
    <xf numFmtId="0" fontId="56" fillId="0" borderId="150" xfId="0" applyFont="1" applyFill="1" applyBorder="1" applyAlignment="1"/>
    <xf numFmtId="0" fontId="39" fillId="0" borderId="150" xfId="0" applyFont="1" applyFill="1" applyBorder="1" applyAlignment="1"/>
    <xf numFmtId="0" fontId="42" fillId="2" borderId="150" xfId="3" applyFont="1" applyFill="1" applyBorder="1" applyAlignment="1">
      <alignment horizontal="right" vertical="center"/>
    </xf>
    <xf numFmtId="0" fontId="43" fillId="2" borderId="150" xfId="0" applyFont="1" applyFill="1" applyBorder="1" applyAlignment="1">
      <alignment horizontal="right" vertical="center"/>
    </xf>
    <xf numFmtId="0" fontId="0" fillId="0" borderId="150" xfId="0" applyFont="1" applyFill="1" applyBorder="1" applyAlignment="1">
      <alignment vertical="top"/>
    </xf>
    <xf numFmtId="4" fontId="0" fillId="0" borderId="150" xfId="0" applyNumberFormat="1" applyFont="1" applyBorder="1" applyAlignment="1">
      <alignment vertical="top"/>
    </xf>
    <xf numFmtId="0" fontId="41" fillId="0" borderId="150" xfId="0" applyFont="1" applyFill="1" applyBorder="1" applyAlignment="1">
      <alignment horizontal="left"/>
    </xf>
    <xf numFmtId="0" fontId="56" fillId="0" borderId="150" xfId="0" applyFont="1" applyFill="1" applyBorder="1" applyAlignment="1">
      <alignment horizontal="left"/>
    </xf>
    <xf numFmtId="3" fontId="41" fillId="0" borderId="150" xfId="0" applyNumberFormat="1" applyFont="1" applyFill="1" applyBorder="1" applyAlignment="1">
      <alignment horizontal="left"/>
    </xf>
    <xf numFmtId="0" fontId="44" fillId="2" borderId="151" xfId="0" applyFont="1" applyFill="1" applyBorder="1" applyAlignment="1">
      <alignment vertical="top"/>
    </xf>
    <xf numFmtId="0" fontId="62" fillId="2" borderId="151" xfId="0" applyFont="1" applyFill="1" applyBorder="1" applyAlignment="1">
      <alignment vertical="top"/>
    </xf>
    <xf numFmtId="0" fontId="62" fillId="0" borderId="151" xfId="0" applyFont="1" applyFill="1" applyBorder="1" applyAlignment="1">
      <alignment vertical="top"/>
    </xf>
    <xf numFmtId="0" fontId="62" fillId="0" borderId="150" xfId="0" applyFont="1" applyFill="1" applyBorder="1" applyAlignment="1">
      <alignment vertical="top"/>
    </xf>
    <xf numFmtId="0" fontId="45" fillId="2" borderId="152" xfId="0" applyFont="1" applyFill="1" applyBorder="1" applyAlignment="1">
      <alignment horizontal="center" vertical="top"/>
    </xf>
    <xf numFmtId="0" fontId="46" fillId="0" borderId="153" xfId="4" applyFont="1" applyBorder="1" applyAlignment="1">
      <alignment horizontal="center" vertical="center" wrapText="1"/>
    </xf>
    <xf numFmtId="0" fontId="46" fillId="0" borderId="154" xfId="4" applyFont="1" applyBorder="1" applyAlignment="1">
      <alignment horizontal="center" vertical="center" wrapText="1"/>
    </xf>
    <xf numFmtId="0" fontId="47" fillId="2" borderId="155" xfId="0" applyFont="1" applyFill="1" applyBorder="1" applyAlignment="1">
      <alignment horizontal="center" vertical="center" wrapText="1"/>
    </xf>
    <xf numFmtId="0" fontId="47" fillId="2" borderId="156" xfId="0" applyFont="1" applyFill="1" applyBorder="1" applyAlignment="1">
      <alignment horizontal="center" vertical="center" wrapText="1"/>
    </xf>
    <xf numFmtId="0" fontId="47" fillId="2" borderId="157" xfId="0" applyFont="1" applyFill="1" applyBorder="1" applyAlignment="1">
      <alignment horizontal="center" vertical="center" wrapText="1"/>
    </xf>
    <xf numFmtId="0" fontId="52" fillId="2" borderId="155" xfId="0" applyFont="1" applyFill="1" applyBorder="1" applyAlignment="1">
      <alignment horizontal="center" vertical="center" wrapText="1"/>
    </xf>
    <xf numFmtId="0" fontId="47" fillId="2" borderId="156" xfId="0" applyFont="1" applyFill="1" applyBorder="1" applyAlignment="1">
      <alignment vertical="center" wrapText="1"/>
    </xf>
    <xf numFmtId="0" fontId="53" fillId="2" borderId="154" xfId="0" applyFont="1" applyFill="1" applyBorder="1" applyAlignment="1">
      <alignment horizontal="center" vertical="center" wrapText="1"/>
    </xf>
    <xf numFmtId="0" fontId="53" fillId="0" borderId="155" xfId="4" applyFont="1" applyBorder="1" applyAlignment="1">
      <alignment horizontal="center" vertical="center" wrapText="1"/>
    </xf>
    <xf numFmtId="0" fontId="53" fillId="0" borderId="156" xfId="4" applyFont="1" applyBorder="1" applyAlignment="1">
      <alignment horizontal="center" vertical="center" wrapText="1"/>
    </xf>
    <xf numFmtId="0" fontId="53" fillId="0" borderId="157" xfId="4" applyFont="1" applyBorder="1" applyAlignment="1">
      <alignment horizontal="center" vertical="center" wrapText="1"/>
    </xf>
    <xf numFmtId="0" fontId="48" fillId="19" borderId="154" xfId="4" applyFont="1" applyFill="1" applyBorder="1" applyAlignment="1">
      <alignment horizontal="center" vertical="center" wrapText="1"/>
    </xf>
    <xf numFmtId="0" fontId="45" fillId="0" borderId="158" xfId="4" applyFont="1" applyBorder="1" applyAlignment="1">
      <alignment horizontal="center" vertical="center" wrapText="1"/>
    </xf>
    <xf numFmtId="0" fontId="45" fillId="2" borderId="159" xfId="0" applyFont="1" applyFill="1" applyBorder="1" applyAlignment="1">
      <alignment horizontal="center" vertical="center"/>
    </xf>
    <xf numFmtId="0" fontId="45" fillId="2" borderId="150" xfId="0" applyFont="1" applyFill="1" applyBorder="1" applyAlignment="1">
      <alignment horizontal="center" vertical="center" wrapText="1"/>
    </xf>
    <xf numFmtId="0" fontId="0" fillId="0" borderId="160" xfId="0" applyFont="1" applyBorder="1" applyAlignment="1">
      <alignment horizontal="center" vertical="center" wrapText="1"/>
    </xf>
    <xf numFmtId="0" fontId="50" fillId="0" borderId="161" xfId="6" applyFont="1" applyBorder="1" applyAlignment="1">
      <alignment horizontal="center" vertical="center" wrapText="1"/>
    </xf>
    <xf numFmtId="0" fontId="47" fillId="2" borderId="162" xfId="0" applyFont="1" applyFill="1" applyBorder="1" applyAlignment="1">
      <alignment horizontal="center" vertical="center" wrapText="1"/>
    </xf>
    <xf numFmtId="0" fontId="47" fillId="2" borderId="163" xfId="0" applyFont="1" applyFill="1" applyBorder="1" applyAlignment="1">
      <alignment horizontal="center" vertical="center" wrapText="1"/>
    </xf>
    <xf numFmtId="0" fontId="47" fillId="2" borderId="164" xfId="0" applyFont="1" applyFill="1" applyBorder="1" applyAlignment="1">
      <alignment horizontal="center" vertical="center" wrapText="1"/>
    </xf>
    <xf numFmtId="0" fontId="52" fillId="2" borderId="162" xfId="0" applyFont="1" applyFill="1" applyBorder="1" applyAlignment="1">
      <alignment horizontal="center" vertical="center" wrapText="1"/>
    </xf>
    <xf numFmtId="0" fontId="47" fillId="2" borderId="163" xfId="0" applyFont="1" applyFill="1" applyBorder="1" applyAlignment="1">
      <alignment vertical="center" wrapText="1"/>
    </xf>
    <xf numFmtId="0" fontId="53" fillId="2" borderId="165" xfId="0" applyFont="1" applyFill="1" applyBorder="1" applyAlignment="1">
      <alignment horizontal="center" vertical="center" wrapText="1"/>
    </xf>
    <xf numFmtId="0" fontId="53" fillId="0" borderId="162" xfId="4" applyFont="1" applyBorder="1" applyAlignment="1">
      <alignment horizontal="center" vertical="center" wrapText="1"/>
    </xf>
    <xf numFmtId="0" fontId="53" fillId="0" borderId="163" xfId="4" applyFont="1" applyBorder="1" applyAlignment="1">
      <alignment horizontal="center" vertical="center" wrapText="1"/>
    </xf>
    <xf numFmtId="0" fontId="53" fillId="0" borderId="164" xfId="4" applyFont="1" applyBorder="1" applyAlignment="1">
      <alignment horizontal="center" vertical="center" wrapText="1"/>
    </xf>
    <xf numFmtId="0" fontId="0" fillId="19" borderId="161" xfId="0" applyFont="1" applyFill="1" applyBorder="1" applyAlignment="1">
      <alignment horizontal="center" vertical="center" wrapText="1"/>
    </xf>
    <xf numFmtId="0" fontId="45" fillId="0" borderId="166" xfId="4" applyFont="1" applyBorder="1" applyAlignment="1">
      <alignment horizontal="center" vertical="center" wrapText="1"/>
    </xf>
    <xf numFmtId="0" fontId="45" fillId="2" borderId="159" xfId="0" applyFont="1" applyFill="1" applyBorder="1" applyAlignment="1">
      <alignment horizontal="center" vertical="top"/>
    </xf>
    <xf numFmtId="0" fontId="45" fillId="2" borderId="150" xfId="0" applyFont="1" applyFill="1" applyBorder="1" applyAlignment="1">
      <alignment horizontal="center" vertical="top"/>
    </xf>
    <xf numFmtId="0" fontId="0" fillId="0" borderId="167" xfId="0" applyFont="1" applyBorder="1" applyAlignment="1">
      <alignment horizontal="center" vertical="center" wrapText="1"/>
    </xf>
    <xf numFmtId="0" fontId="50" fillId="0" borderId="168" xfId="6" applyFont="1" applyBorder="1" applyAlignment="1">
      <alignment horizontal="center" vertical="center" wrapText="1"/>
    </xf>
    <xf numFmtId="0" fontId="51" fillId="0" borderId="168" xfId="0" applyFont="1" applyBorder="1" applyAlignment="1">
      <alignment horizontal="center" vertical="center" wrapText="1"/>
    </xf>
    <xf numFmtId="0" fontId="52" fillId="0" borderId="168" xfId="0" applyFont="1" applyBorder="1" applyAlignment="1">
      <alignment horizontal="center" vertical="center"/>
    </xf>
    <xf numFmtId="0" fontId="53" fillId="0" borderId="168" xfId="4" applyFont="1" applyBorder="1" applyAlignment="1">
      <alignment horizontal="center" vertical="center" wrapText="1"/>
    </xf>
    <xf numFmtId="0" fontId="53" fillId="33" borderId="168" xfId="4" applyFont="1" applyFill="1" applyBorder="1" applyAlignment="1">
      <alignment horizontal="center" vertical="center" wrapText="1"/>
    </xf>
    <xf numFmtId="0" fontId="51" fillId="0" borderId="168" xfId="6" applyFont="1" applyBorder="1" applyAlignment="1">
      <alignment horizontal="center" vertical="center"/>
    </xf>
    <xf numFmtId="0" fontId="51" fillId="0" borderId="169" xfId="6" applyFont="1" applyBorder="1" applyAlignment="1">
      <alignment horizontal="center" vertical="center"/>
    </xf>
    <xf numFmtId="0" fontId="0" fillId="19" borderId="168" xfId="0" applyFont="1" applyFill="1" applyBorder="1" applyAlignment="1">
      <alignment horizontal="center" vertical="center" wrapText="1"/>
    </xf>
    <xf numFmtId="0" fontId="45" fillId="0" borderId="170" xfId="4" applyFont="1" applyBorder="1" applyAlignment="1">
      <alignment horizontal="center" vertical="center" wrapText="1"/>
    </xf>
    <xf numFmtId="0" fontId="49" fillId="2" borderId="153" xfId="0" applyFont="1" applyFill="1" applyBorder="1" applyAlignment="1">
      <alignment horizontal="center" vertical="top"/>
    </xf>
    <xf numFmtId="0" fontId="49" fillId="2" borderId="171" xfId="0" applyFont="1" applyFill="1" applyBorder="1" applyAlignment="1">
      <alignment horizontal="center" vertical="top"/>
    </xf>
    <xf numFmtId="0" fontId="49" fillId="2" borderId="154" xfId="0" quotePrefix="1" applyFont="1" applyFill="1" applyBorder="1" applyAlignment="1">
      <alignment horizontal="center" vertical="top"/>
    </xf>
    <xf numFmtId="0" fontId="49" fillId="2" borderId="157" xfId="0" quotePrefix="1" applyFont="1" applyFill="1" applyBorder="1" applyAlignment="1">
      <alignment horizontal="center" vertical="top"/>
    </xf>
    <xf numFmtId="0" fontId="50" fillId="0" borderId="172" xfId="6" applyFont="1" applyBorder="1" applyAlignment="1">
      <alignment horizontal="center" vertical="center"/>
    </xf>
    <xf numFmtId="0" fontId="50" fillId="0" borderId="173" xfId="6" applyFont="1" applyBorder="1" applyAlignment="1">
      <alignment horizontal="center" vertical="center"/>
    </xf>
    <xf numFmtId="0" fontId="50" fillId="0" borderId="174" xfId="6" applyFont="1" applyBorder="1" applyAlignment="1">
      <alignment horizontal="center" vertical="center"/>
    </xf>
    <xf numFmtId="0" fontId="50" fillId="19" borderId="175" xfId="0" applyFont="1" applyFill="1" applyBorder="1" applyAlignment="1">
      <alignment horizontal="center" vertical="center" wrapText="1"/>
    </xf>
    <xf numFmtId="0" fontId="49" fillId="0" borderId="176" xfId="4" applyFont="1" applyBorder="1" applyAlignment="1">
      <alignment horizontal="center" vertical="center" wrapText="1"/>
    </xf>
    <xf numFmtId="0" fontId="49" fillId="0" borderId="150" xfId="0" applyFont="1" applyFill="1" applyBorder="1" applyAlignment="1">
      <alignment vertical="top"/>
    </xf>
    <xf numFmtId="3" fontId="32" fillId="0" borderId="150" xfId="0" applyNumberFormat="1" applyFont="1" applyFill="1" applyBorder="1" applyAlignment="1">
      <alignment vertical="top"/>
    </xf>
    <xf numFmtId="0" fontId="58" fillId="8" borderId="152" xfId="0" applyFont="1" applyFill="1" applyBorder="1" applyAlignment="1">
      <alignment vertical="top"/>
    </xf>
    <xf numFmtId="0" fontId="55" fillId="57" borderId="177" xfId="4" applyFont="1" applyFill="1" applyBorder="1" applyAlignment="1">
      <alignment horizontal="left" vertical="center"/>
    </xf>
    <xf numFmtId="0" fontId="55" fillId="57" borderId="178" xfId="4" applyFont="1" applyFill="1" applyBorder="1" applyAlignment="1">
      <alignment horizontal="left" vertical="center"/>
    </xf>
    <xf numFmtId="3" fontId="55" fillId="57" borderId="179" xfId="4" applyNumberFormat="1" applyFont="1" applyFill="1" applyBorder="1" applyAlignment="1">
      <alignment horizontal="right" vertical="center"/>
    </xf>
    <xf numFmtId="3" fontId="55" fillId="57" borderId="180" xfId="4" applyNumberFormat="1" applyFont="1" applyFill="1" applyBorder="1" applyAlignment="1">
      <alignment horizontal="right" vertical="center"/>
    </xf>
    <xf numFmtId="3" fontId="55" fillId="22" borderId="181" xfId="4" applyNumberFormat="1" applyFont="1" applyFill="1" applyBorder="1" applyAlignment="1">
      <alignment horizontal="right" vertical="center"/>
    </xf>
    <xf numFmtId="3" fontId="46" fillId="8" borderId="158" xfId="4" applyNumberFormat="1" applyFont="1" applyFill="1" applyBorder="1" applyAlignment="1">
      <alignment vertical="top" wrapText="1"/>
    </xf>
    <xf numFmtId="0" fontId="0" fillId="0" borderId="150" xfId="0" applyFont="1" applyBorder="1"/>
    <xf numFmtId="3" fontId="0" fillId="0" borderId="150" xfId="0" applyNumberFormat="1" applyFont="1" applyBorder="1"/>
    <xf numFmtId="0" fontId="58" fillId="8" borderId="159" xfId="0" applyFont="1" applyFill="1" applyBorder="1" applyAlignment="1">
      <alignment vertical="top"/>
    </xf>
    <xf numFmtId="0" fontId="55" fillId="57" borderId="159" xfId="4" applyFont="1" applyFill="1" applyBorder="1" applyAlignment="1">
      <alignment horizontal="left" vertical="center"/>
    </xf>
    <xf numFmtId="0" fontId="55" fillId="57" borderId="160" xfId="4" applyFont="1" applyFill="1" applyBorder="1" applyAlignment="1">
      <alignment horizontal="left" vertical="center"/>
    </xf>
    <xf numFmtId="3" fontId="55" fillId="57" borderId="182" xfId="4" applyNumberFormat="1" applyFont="1" applyFill="1" applyBorder="1" applyAlignment="1">
      <alignment horizontal="right" vertical="center"/>
    </xf>
    <xf numFmtId="3" fontId="55" fillId="57" borderId="150" xfId="4" applyNumberFormat="1" applyFont="1" applyFill="1" applyBorder="1" applyAlignment="1">
      <alignment horizontal="right" vertical="center"/>
    </xf>
    <xf numFmtId="3" fontId="55" fillId="22" borderId="183" xfId="4" applyNumberFormat="1" applyFont="1" applyFill="1" applyBorder="1" applyAlignment="1">
      <alignment horizontal="right" vertical="center"/>
    </xf>
    <xf numFmtId="3" fontId="46" fillId="8" borderId="166" xfId="4" applyNumberFormat="1" applyFont="1" applyFill="1" applyBorder="1" applyAlignment="1">
      <alignment vertical="top" wrapText="1"/>
    </xf>
    <xf numFmtId="0" fontId="55" fillId="57" borderId="184" xfId="0" applyFont="1" applyFill="1" applyBorder="1" applyAlignment="1">
      <alignment horizontal="left" vertical="top"/>
    </xf>
    <xf numFmtId="0" fontId="56" fillId="57" borderId="167" xfId="0" quotePrefix="1" applyFont="1" applyFill="1" applyBorder="1" applyAlignment="1">
      <alignment horizontal="center" vertical="top"/>
    </xf>
    <xf numFmtId="3" fontId="55" fillId="57" borderId="185" xfId="0" quotePrefix="1" applyNumberFormat="1" applyFont="1" applyFill="1" applyBorder="1" applyAlignment="1">
      <alignment horizontal="right" vertical="top"/>
    </xf>
    <xf numFmtId="3" fontId="55" fillId="57" borderId="151" xfId="0" quotePrefix="1" applyNumberFormat="1" applyFont="1" applyFill="1" applyBorder="1" applyAlignment="1">
      <alignment horizontal="right" vertical="top"/>
    </xf>
    <xf numFmtId="3" fontId="55" fillId="22" borderId="186" xfId="4" applyNumberFormat="1" applyFont="1" applyFill="1" applyBorder="1" applyAlignment="1">
      <alignment horizontal="right" vertical="center"/>
    </xf>
    <xf numFmtId="0" fontId="53" fillId="6" borderId="187" xfId="4" applyFont="1" applyFill="1" applyBorder="1" applyAlignment="1">
      <alignment horizontal="left"/>
    </xf>
    <xf numFmtId="0" fontId="53" fillId="6" borderId="164" xfId="4" applyFont="1" applyFill="1" applyBorder="1" applyAlignment="1">
      <alignment horizontal="left"/>
    </xf>
    <xf numFmtId="3" fontId="53" fillId="6" borderId="163" xfId="0" applyNumberFormat="1" applyFont="1" applyFill="1" applyBorder="1" applyAlignment="1"/>
    <xf numFmtId="3" fontId="53" fillId="6" borderId="165" xfId="0" applyNumberFormat="1" applyFont="1" applyFill="1" applyBorder="1" applyAlignment="1"/>
    <xf numFmtId="3" fontId="53" fillId="6" borderId="162" xfId="0" applyNumberFormat="1" applyFont="1" applyFill="1" applyBorder="1" applyAlignment="1"/>
    <xf numFmtId="3" fontId="53" fillId="23" borderId="188" xfId="0" applyNumberFormat="1" applyFont="1" applyFill="1" applyBorder="1" applyAlignment="1"/>
    <xf numFmtId="3" fontId="46" fillId="8" borderId="166" xfId="0" applyNumberFormat="1" applyFont="1" applyFill="1" applyBorder="1" applyAlignment="1">
      <alignment horizontal="center" vertical="top" wrapText="1"/>
    </xf>
    <xf numFmtId="3" fontId="49" fillId="0" borderId="150" xfId="0" applyNumberFormat="1" applyFont="1" applyFill="1" applyBorder="1" applyAlignment="1">
      <alignment vertical="top"/>
    </xf>
    <xf numFmtId="0" fontId="55" fillId="8" borderId="189" xfId="4" applyFont="1" applyFill="1" applyBorder="1" applyAlignment="1"/>
    <xf numFmtId="0" fontId="53" fillId="8" borderId="164" xfId="0" applyFont="1" applyFill="1" applyBorder="1" applyAlignment="1">
      <alignment wrapText="1"/>
    </xf>
    <xf numFmtId="3" fontId="53" fillId="8" borderId="165" xfId="0" applyNumberFormat="1" applyFont="1" applyFill="1" applyBorder="1" applyAlignment="1"/>
    <xf numFmtId="3" fontId="53" fillId="8" borderId="162" xfId="0" applyNumberFormat="1" applyFont="1" applyFill="1" applyBorder="1" applyAlignment="1"/>
    <xf numFmtId="3" fontId="53" fillId="24" borderId="188" xfId="0" applyNumberFormat="1" applyFont="1" applyFill="1" applyBorder="1" applyAlignment="1"/>
    <xf numFmtId="3" fontId="46" fillId="8" borderId="166" xfId="0" applyNumberFormat="1" applyFont="1" applyFill="1" applyBorder="1" applyAlignment="1">
      <alignment horizontal="center" vertical="center" wrapText="1"/>
    </xf>
    <xf numFmtId="0" fontId="49" fillId="0" borderId="150" xfId="0" applyFont="1" applyFill="1" applyBorder="1" applyAlignment="1">
      <alignment vertical="center"/>
    </xf>
    <xf numFmtId="3" fontId="49" fillId="0" borderId="150" xfId="0" applyNumberFormat="1" applyFont="1" applyFill="1" applyBorder="1" applyAlignment="1">
      <alignment vertical="center"/>
    </xf>
    <xf numFmtId="0" fontId="59" fillId="8" borderId="187" xfId="0" applyFont="1" applyFill="1" applyBorder="1" applyAlignment="1">
      <alignment vertical="center"/>
    </xf>
    <xf numFmtId="3" fontId="59" fillId="8" borderId="165" xfId="0" applyNumberFormat="1" applyFont="1" applyFill="1" applyBorder="1" applyAlignment="1"/>
    <xf numFmtId="3" fontId="59" fillId="8" borderId="162" xfId="0" applyNumberFormat="1" applyFont="1" applyFill="1" applyBorder="1" applyAlignment="1"/>
    <xf numFmtId="3" fontId="59" fillId="24" borderId="190" xfId="0" applyNumberFormat="1" applyFont="1" applyFill="1" applyBorder="1" applyAlignment="1"/>
    <xf numFmtId="0" fontId="59" fillId="8" borderId="164" xfId="0" applyFont="1" applyFill="1" applyBorder="1" applyAlignment="1">
      <alignment vertical="center"/>
    </xf>
    <xf numFmtId="3" fontId="59" fillId="8" borderId="191" xfId="0" applyNumberFormat="1" applyFont="1" applyFill="1" applyBorder="1" applyAlignment="1">
      <alignment vertical="center"/>
    </xf>
    <xf numFmtId="43" fontId="59" fillId="8" borderId="165" xfId="1" applyFont="1" applyFill="1" applyBorder="1" applyAlignment="1"/>
    <xf numFmtId="43" fontId="59" fillId="8" borderId="162" xfId="1" applyFont="1" applyFill="1" applyBorder="1" applyAlignment="1"/>
    <xf numFmtId="3" fontId="59" fillId="26" borderId="190" xfId="0" applyNumberFormat="1" applyFont="1" applyFill="1" applyBorder="1" applyAlignment="1">
      <alignment horizontal="center" vertical="top"/>
    </xf>
    <xf numFmtId="3" fontId="59" fillId="8" borderId="165" xfId="0" applyNumberFormat="1" applyFont="1" applyFill="1" applyBorder="1" applyAlignment="1">
      <alignment vertical="center"/>
    </xf>
    <xf numFmtId="43" fontId="59" fillId="8" borderId="191" xfId="1" applyFont="1" applyFill="1" applyBorder="1" applyAlignment="1">
      <alignment vertical="center"/>
    </xf>
    <xf numFmtId="43" fontId="59" fillId="8" borderId="192" xfId="1" applyFont="1" applyFill="1" applyBorder="1" applyAlignment="1">
      <alignment vertical="center"/>
    </xf>
    <xf numFmtId="3" fontId="59" fillId="24" borderId="190" xfId="0" applyNumberFormat="1" applyFont="1" applyFill="1" applyBorder="1" applyAlignment="1">
      <alignment vertical="top"/>
    </xf>
    <xf numFmtId="0" fontId="89" fillId="8" borderId="166" xfId="0" applyFont="1" applyFill="1" applyBorder="1" applyAlignment="1">
      <alignment horizontal="center" vertical="top" wrapText="1"/>
    </xf>
    <xf numFmtId="0" fontId="58" fillId="8" borderId="159" xfId="0" applyFont="1" applyFill="1" applyBorder="1" applyAlignment="1">
      <alignment vertical="center"/>
    </xf>
    <xf numFmtId="0" fontId="59" fillId="8" borderId="193" xfId="0" applyFont="1" applyFill="1" applyBorder="1" applyAlignment="1">
      <alignment vertical="center" wrapText="1"/>
    </xf>
    <xf numFmtId="43" fontId="59" fillId="8" borderId="165" xfId="1" applyFont="1" applyFill="1" applyBorder="1" applyAlignment="1">
      <alignment vertical="center"/>
    </xf>
    <xf numFmtId="43" fontId="59" fillId="8" borderId="162" xfId="1" applyFont="1" applyFill="1" applyBorder="1" applyAlignment="1">
      <alignment vertical="center"/>
    </xf>
    <xf numFmtId="3" fontId="59" fillId="24" borderId="190" xfId="0" applyNumberFormat="1" applyFont="1" applyFill="1" applyBorder="1" applyAlignment="1">
      <alignment vertical="center"/>
    </xf>
    <xf numFmtId="0" fontId="89" fillId="8" borderId="166" xfId="0" applyFont="1" applyFill="1" applyBorder="1" applyAlignment="1">
      <alignment horizontal="center" vertical="center" wrapText="1"/>
    </xf>
    <xf numFmtId="0" fontId="129" fillId="8" borderId="159" xfId="0" applyFont="1" applyFill="1" applyBorder="1" applyAlignment="1">
      <alignment vertical="center"/>
    </xf>
    <xf numFmtId="0" fontId="101" fillId="8" borderId="193" xfId="0" applyFont="1" applyFill="1" applyBorder="1" applyAlignment="1">
      <alignment vertical="center" wrapText="1"/>
    </xf>
    <xf numFmtId="0" fontId="101" fillId="8" borderId="164" xfId="0" applyFont="1" applyFill="1" applyBorder="1" applyAlignment="1">
      <alignment vertical="center"/>
    </xf>
    <xf numFmtId="3" fontId="101" fillId="8" borderId="165" xfId="0" applyNumberFormat="1" applyFont="1" applyFill="1" applyBorder="1" applyAlignment="1">
      <alignment vertical="center"/>
    </xf>
    <xf numFmtId="43" fontId="101" fillId="8" borderId="165" xfId="1" applyFont="1" applyFill="1" applyBorder="1" applyAlignment="1">
      <alignment vertical="center"/>
    </xf>
    <xf numFmtId="43" fontId="101" fillId="8" borderId="162" xfId="1" applyFont="1" applyFill="1" applyBorder="1" applyAlignment="1">
      <alignment vertical="center"/>
    </xf>
    <xf numFmtId="3" fontId="101" fillId="24" borderId="190" xfId="0" applyNumberFormat="1" applyFont="1" applyFill="1" applyBorder="1" applyAlignment="1">
      <alignment vertical="center"/>
    </xf>
    <xf numFmtId="0" fontId="130" fillId="8" borderId="166" xfId="0" applyFont="1" applyFill="1" applyBorder="1" applyAlignment="1">
      <alignment horizontal="center" vertical="center" wrapText="1"/>
    </xf>
    <xf numFmtId="0" fontId="96" fillId="0" borderId="150" xfId="0" applyFont="1" applyFill="1" applyBorder="1" applyAlignment="1">
      <alignment vertical="center"/>
    </xf>
    <xf numFmtId="3" fontId="96" fillId="0" borderId="150" xfId="0" applyNumberFormat="1" applyFont="1" applyFill="1" applyBorder="1" applyAlignment="1">
      <alignment vertical="center"/>
    </xf>
    <xf numFmtId="0" fontId="45" fillId="8" borderId="159" xfId="0" applyFont="1" applyFill="1" applyBorder="1" applyAlignment="1">
      <alignment vertical="center"/>
    </xf>
    <xf numFmtId="0" fontId="55" fillId="8" borderId="189" xfId="4" applyFont="1" applyFill="1" applyBorder="1" applyAlignment="1">
      <alignment vertical="center"/>
    </xf>
    <xf numFmtId="0" fontId="53" fillId="8" borderId="164" xfId="0" applyFont="1" applyFill="1" applyBorder="1" applyAlignment="1">
      <alignment vertical="center" wrapText="1"/>
    </xf>
    <xf numFmtId="3" fontId="53" fillId="8" borderId="165" xfId="0" applyNumberFormat="1" applyFont="1" applyFill="1" applyBorder="1" applyAlignment="1">
      <alignment vertical="center"/>
    </xf>
    <xf numFmtId="43" fontId="53" fillId="8" borderId="165" xfId="1" applyFont="1" applyFill="1" applyBorder="1" applyAlignment="1">
      <alignment vertical="center"/>
    </xf>
    <xf numFmtId="43" fontId="53" fillId="8" borderId="162" xfId="1" applyFont="1" applyFill="1" applyBorder="1" applyAlignment="1">
      <alignment vertical="center"/>
    </xf>
    <xf numFmtId="0" fontId="45" fillId="8" borderId="159" xfId="0" applyFont="1" applyFill="1" applyBorder="1" applyAlignment="1">
      <alignment vertical="top"/>
    </xf>
    <xf numFmtId="0" fontId="59" fillId="8" borderId="194" xfId="4" applyFont="1" applyFill="1" applyBorder="1" applyAlignment="1">
      <alignment vertical="top" wrapText="1"/>
    </xf>
    <xf numFmtId="0" fontId="59" fillId="8" borderId="195" xfId="0" applyFont="1" applyFill="1" applyBorder="1" applyAlignment="1">
      <alignment vertical="top" wrapText="1"/>
    </xf>
    <xf numFmtId="3" fontId="59" fillId="8" borderId="196" xfId="0" applyNumberFormat="1" applyFont="1" applyFill="1" applyBorder="1" applyAlignment="1">
      <alignment vertical="top"/>
    </xf>
    <xf numFmtId="43" fontId="59" fillId="8" borderId="196" xfId="1" applyFont="1" applyFill="1" applyBorder="1" applyAlignment="1">
      <alignment vertical="top"/>
    </xf>
    <xf numFmtId="43" fontId="59" fillId="8" borderId="197" xfId="1" applyFont="1" applyFill="1" applyBorder="1" applyAlignment="1">
      <alignment vertical="top"/>
    </xf>
    <xf numFmtId="0" fontId="46" fillId="8" borderId="166" xfId="0" applyFont="1" applyFill="1" applyBorder="1" applyAlignment="1">
      <alignment horizontal="center" vertical="top" wrapText="1"/>
    </xf>
    <xf numFmtId="0" fontId="53" fillId="6" borderId="193" xfId="4" applyFont="1" applyFill="1" applyBorder="1" applyAlignment="1">
      <alignment horizontal="left" vertical="center"/>
    </xf>
    <xf numFmtId="0" fontId="53" fillId="6" borderId="164" xfId="4" applyFont="1" applyFill="1" applyBorder="1" applyAlignment="1">
      <alignment horizontal="left" vertical="center"/>
    </xf>
    <xf numFmtId="3" fontId="53" fillId="6" borderId="191" xfId="0" applyNumberFormat="1" applyFont="1" applyFill="1" applyBorder="1" applyAlignment="1">
      <alignment vertical="top"/>
    </xf>
    <xf numFmtId="43" fontId="53" fillId="6" borderId="191" xfId="1" applyFont="1" applyFill="1" applyBorder="1" applyAlignment="1">
      <alignment vertical="top"/>
    </xf>
    <xf numFmtId="43" fontId="53" fillId="6" borderId="192" xfId="1" applyFont="1" applyFill="1" applyBorder="1" applyAlignment="1">
      <alignment vertical="top"/>
    </xf>
    <xf numFmtId="3" fontId="53" fillId="23" borderId="198" xfId="0" applyNumberFormat="1" applyFont="1" applyFill="1" applyBorder="1" applyAlignment="1">
      <alignment horizontal="center" vertical="center"/>
    </xf>
    <xf numFmtId="3" fontId="53" fillId="23" borderId="183" xfId="0" applyNumberFormat="1" applyFont="1" applyFill="1" applyBorder="1" applyAlignment="1">
      <alignment horizontal="center" vertical="center"/>
    </xf>
    <xf numFmtId="43" fontId="59" fillId="8" borderId="163" xfId="1" applyFont="1" applyFill="1" applyBorder="1" applyAlignment="1">
      <alignment vertical="center"/>
    </xf>
    <xf numFmtId="43" fontId="53" fillId="8" borderId="163" xfId="1" applyFont="1" applyFill="1" applyBorder="1" applyAlignment="1">
      <alignment vertical="center"/>
    </xf>
    <xf numFmtId="0" fontId="59" fillId="8" borderId="182" xfId="0" applyFont="1" applyFill="1" applyBorder="1" applyAlignment="1">
      <alignment vertical="top" wrapText="1"/>
    </xf>
    <xf numFmtId="3" fontId="59" fillId="8" borderId="199" xfId="0" applyNumberFormat="1" applyFont="1" applyFill="1" applyBorder="1" applyAlignment="1">
      <alignment vertical="top"/>
    </xf>
    <xf numFmtId="43" fontId="59" fillId="8" borderId="199" xfId="1" applyFont="1" applyFill="1" applyBorder="1" applyAlignment="1">
      <alignment vertical="top"/>
    </xf>
    <xf numFmtId="43" fontId="59" fillId="8" borderId="200" xfId="1" applyFont="1" applyFill="1" applyBorder="1" applyAlignment="1">
      <alignment vertical="top"/>
    </xf>
    <xf numFmtId="3" fontId="53" fillId="23" borderId="186" xfId="0" applyNumberFormat="1" applyFont="1" applyFill="1" applyBorder="1" applyAlignment="1">
      <alignment horizontal="center" vertical="center"/>
    </xf>
    <xf numFmtId="0" fontId="45" fillId="0" borderId="152" xfId="0" quotePrefix="1" applyFont="1" applyFill="1" applyBorder="1" applyAlignment="1">
      <alignment horizontal="center" vertical="center" wrapText="1"/>
    </xf>
    <xf numFmtId="0" fontId="52" fillId="8" borderId="177" xfId="0" applyFont="1" applyFill="1" applyBorder="1" applyAlignment="1">
      <alignment vertical="top" wrapText="1"/>
    </xf>
    <xf numFmtId="0" fontId="52" fillId="8" borderId="179" xfId="0" applyFont="1" applyFill="1" applyBorder="1" applyAlignment="1">
      <alignment horizontal="center" vertical="center" wrapText="1"/>
    </xf>
    <xf numFmtId="3" fontId="59" fillId="8" borderId="156" xfId="0" applyNumberFormat="1" applyFont="1" applyFill="1" applyBorder="1" applyAlignment="1">
      <alignment vertical="top"/>
    </xf>
    <xf numFmtId="3" fontId="59" fillId="8" borderId="154" xfId="0" applyNumberFormat="1" applyFont="1" applyFill="1" applyBorder="1" applyAlignment="1">
      <alignment vertical="top"/>
    </xf>
    <xf numFmtId="3" fontId="59" fillId="8" borderId="157" xfId="0" applyNumberFormat="1" applyFont="1" applyFill="1" applyBorder="1" applyAlignment="1">
      <alignment vertical="top"/>
    </xf>
    <xf numFmtId="3" fontId="59" fillId="24" borderId="171" xfId="0" applyNumberFormat="1" applyFont="1" applyFill="1" applyBorder="1" applyAlignment="1">
      <alignment vertical="top"/>
    </xf>
    <xf numFmtId="0" fontId="46" fillId="0" borderId="158" xfId="0" applyFont="1" applyFill="1" applyBorder="1" applyAlignment="1">
      <alignment horizontal="center" vertical="center" wrapText="1"/>
    </xf>
    <xf numFmtId="0" fontId="32" fillId="0" borderId="150" xfId="0" applyFont="1" applyFill="1" applyBorder="1" applyAlignment="1">
      <alignment vertical="top"/>
    </xf>
    <xf numFmtId="0" fontId="45" fillId="0" borderId="159" xfId="0" quotePrefix="1" applyFont="1" applyFill="1" applyBorder="1" applyAlignment="1">
      <alignment horizontal="center" vertical="center" wrapText="1"/>
    </xf>
    <xf numFmtId="0" fontId="52" fillId="6" borderId="201" xfId="4" applyFont="1" applyFill="1" applyBorder="1" applyAlignment="1">
      <alignment horizontal="left" vertical="center"/>
    </xf>
    <xf numFmtId="0" fontId="32" fillId="6" borderId="195" xfId="0" applyFont="1" applyFill="1" applyBorder="1" applyAlignment="1">
      <alignment vertical="top" wrapText="1"/>
    </xf>
    <xf numFmtId="3" fontId="53" fillId="6" borderId="191" xfId="0" applyNumberFormat="1" applyFont="1" applyFill="1" applyBorder="1" applyAlignment="1"/>
    <xf numFmtId="3" fontId="53" fillId="6" borderId="182" xfId="0" applyNumberFormat="1" applyFont="1" applyFill="1" applyBorder="1" applyAlignment="1"/>
    <xf numFmtId="3" fontId="53" fillId="6" borderId="161" xfId="0" applyNumberFormat="1" applyFont="1" applyFill="1" applyBorder="1" applyAlignment="1"/>
    <xf numFmtId="3" fontId="53" fillId="6" borderId="150" xfId="0" applyNumberFormat="1" applyFont="1" applyFill="1" applyBorder="1" applyAlignment="1"/>
    <xf numFmtId="3" fontId="53" fillId="23" borderId="183" xfId="0" applyNumberFormat="1" applyFont="1" applyFill="1" applyBorder="1" applyAlignment="1"/>
    <xf numFmtId="0" fontId="46" fillId="0" borderId="166" xfId="0" applyFont="1" applyFill="1" applyBorder="1" applyAlignment="1">
      <alignment horizontal="center" vertical="center" wrapText="1"/>
    </xf>
    <xf numFmtId="0" fontId="46" fillId="0" borderId="150" xfId="0" applyFont="1" applyFill="1" applyBorder="1" applyAlignment="1">
      <alignment vertical="top"/>
    </xf>
    <xf numFmtId="3" fontId="57" fillId="2" borderId="193" xfId="4" applyNumberFormat="1" applyFont="1" applyFill="1" applyBorder="1" applyAlignment="1">
      <alignment vertical="center" wrapText="1"/>
    </xf>
    <xf numFmtId="0" fontId="52" fillId="0" borderId="202" xfId="0" applyFont="1" applyFill="1" applyBorder="1" applyAlignment="1">
      <alignment horizontal="center" vertical="center" wrapText="1"/>
    </xf>
    <xf numFmtId="3" fontId="55" fillId="2" borderId="191" xfId="0" applyNumberFormat="1" applyFont="1" applyFill="1" applyBorder="1" applyAlignment="1"/>
    <xf numFmtId="3" fontId="55" fillId="2" borderId="182" xfId="0" applyNumberFormat="1" applyFont="1" applyFill="1" applyBorder="1" applyAlignment="1"/>
    <xf numFmtId="3" fontId="55" fillId="2" borderId="161" xfId="0" applyNumberFormat="1" applyFont="1" applyFill="1" applyBorder="1" applyAlignment="1"/>
    <xf numFmtId="3" fontId="55" fillId="2" borderId="150" xfId="0" applyNumberFormat="1" applyFont="1" applyFill="1" applyBorder="1" applyAlignment="1"/>
    <xf numFmtId="3" fontId="55" fillId="27" borderId="183" xfId="0" applyNumberFormat="1" applyFont="1" applyFill="1" applyBorder="1" applyAlignment="1"/>
    <xf numFmtId="0" fontId="0" fillId="0" borderId="166" xfId="0" applyFont="1" applyBorder="1" applyAlignment="1">
      <alignment horizontal="center" wrapText="1"/>
    </xf>
    <xf numFmtId="0" fontId="32" fillId="0" borderId="187" xfId="0" applyFont="1" applyFill="1" applyBorder="1" applyAlignment="1">
      <alignment vertical="center"/>
    </xf>
    <xf numFmtId="0" fontId="51" fillId="0" borderId="160" xfId="0" applyFont="1" applyBorder="1" applyAlignment="1">
      <alignment horizontal="center" vertical="center" wrapText="1"/>
    </xf>
    <xf numFmtId="3" fontId="59" fillId="0" borderId="191" xfId="0" applyNumberFormat="1" applyFont="1" applyFill="1" applyBorder="1" applyAlignment="1">
      <alignment vertical="top"/>
    </xf>
    <xf numFmtId="3" fontId="59" fillId="0" borderId="182" xfId="0" applyNumberFormat="1" applyFont="1" applyFill="1" applyBorder="1" applyAlignment="1">
      <alignment vertical="top"/>
    </xf>
    <xf numFmtId="3" fontId="59" fillId="0" borderId="161" xfId="0" applyNumberFormat="1" applyFont="1" applyFill="1" applyBorder="1" applyAlignment="1">
      <alignment vertical="top"/>
    </xf>
    <xf numFmtId="3" fontId="59" fillId="0" borderId="150" xfId="0" applyNumberFormat="1" applyFont="1" applyFill="1" applyBorder="1" applyAlignment="1">
      <alignment vertical="top"/>
    </xf>
    <xf numFmtId="3" fontId="59" fillId="26" borderId="183" xfId="0" applyNumberFormat="1" applyFont="1" applyFill="1" applyBorder="1" applyAlignment="1">
      <alignment horizontal="center" vertical="top"/>
    </xf>
    <xf numFmtId="3" fontId="46" fillId="0" borderId="150" xfId="0" applyNumberFormat="1" applyFont="1" applyFill="1" applyBorder="1" applyAlignment="1">
      <alignment vertical="top"/>
    </xf>
    <xf numFmtId="0" fontId="32" fillId="0" borderId="193" xfId="0" applyFont="1" applyFill="1" applyBorder="1" applyAlignment="1">
      <alignment vertical="center" wrapText="1"/>
    </xf>
    <xf numFmtId="3" fontId="59" fillId="26" borderId="183" xfId="0" applyNumberFormat="1" applyFont="1" applyFill="1" applyBorder="1" applyAlignment="1">
      <alignment vertical="top"/>
    </xf>
    <xf numFmtId="0" fontId="57" fillId="2" borderId="193" xfId="4" applyFont="1" applyFill="1" applyBorder="1" applyAlignment="1">
      <alignment vertical="center"/>
    </xf>
    <xf numFmtId="3" fontId="55" fillId="0" borderId="191" xfId="0" applyNumberFormat="1" applyFont="1" applyFill="1" applyBorder="1" applyAlignment="1">
      <alignment vertical="top"/>
    </xf>
    <xf numFmtId="3" fontId="55" fillId="0" borderId="182" xfId="0" applyNumberFormat="1" applyFont="1" applyFill="1" applyBorder="1" applyAlignment="1">
      <alignment vertical="top"/>
    </xf>
    <xf numFmtId="3" fontId="55" fillId="0" borderId="161" xfId="0" applyNumberFormat="1" applyFont="1" applyFill="1" applyBorder="1" applyAlignment="1">
      <alignment vertical="top"/>
    </xf>
    <xf numFmtId="3" fontId="55" fillId="0" borderId="150" xfId="0" applyNumberFormat="1" applyFont="1" applyFill="1" applyBorder="1" applyAlignment="1">
      <alignment vertical="top"/>
    </xf>
    <xf numFmtId="3" fontId="55" fillId="26" borderId="183" xfId="0" applyNumberFormat="1" applyFont="1" applyFill="1" applyBorder="1" applyAlignment="1">
      <alignment horizontal="center" vertical="top"/>
    </xf>
    <xf numFmtId="0" fontId="32" fillId="0" borderId="194" xfId="4" applyFont="1" applyFill="1" applyBorder="1" applyAlignment="1">
      <alignment vertical="center"/>
    </xf>
    <xf numFmtId="3" fontId="59" fillId="0" borderId="196" xfId="0" applyNumberFormat="1" applyFont="1" applyFill="1" applyBorder="1" applyAlignment="1">
      <alignment vertical="top"/>
    </xf>
    <xf numFmtId="0" fontId="52" fillId="6" borderId="193" xfId="4" applyFont="1" applyFill="1" applyBorder="1" applyAlignment="1">
      <alignment horizontal="left" vertical="center"/>
    </xf>
    <xf numFmtId="0" fontId="32" fillId="6" borderId="195" xfId="0" applyFont="1" applyFill="1" applyBorder="1" applyAlignment="1">
      <alignment vertical="top"/>
    </xf>
    <xf numFmtId="3" fontId="53" fillId="23" borderId="183" xfId="0" applyNumberFormat="1" applyFont="1" applyFill="1" applyBorder="1" applyAlignment="1">
      <alignment horizontal="center" vertical="center"/>
    </xf>
    <xf numFmtId="0" fontId="32" fillId="2" borderId="182" xfId="0" applyFont="1" applyFill="1" applyBorder="1" applyAlignment="1">
      <alignment vertical="top"/>
    </xf>
    <xf numFmtId="3" fontId="53" fillId="2" borderId="192" xfId="0" applyNumberFormat="1" applyFont="1" applyFill="1" applyBorder="1" applyAlignment="1"/>
    <xf numFmtId="3" fontId="53" fillId="2" borderId="182" xfId="0" applyNumberFormat="1" applyFont="1" applyFill="1" applyBorder="1" applyAlignment="1"/>
    <xf numFmtId="3" fontId="53" fillId="2" borderId="161" xfId="0" applyNumberFormat="1" applyFont="1" applyFill="1" applyBorder="1" applyAlignment="1"/>
    <xf numFmtId="3" fontId="53" fillId="2" borderId="150" xfId="0" applyNumberFormat="1" applyFont="1" applyFill="1" applyBorder="1" applyAlignment="1"/>
    <xf numFmtId="0" fontId="45" fillId="0" borderId="184" xfId="0" quotePrefix="1" applyFont="1" applyFill="1" applyBorder="1" applyAlignment="1">
      <alignment horizontal="center" vertical="center" wrapText="1"/>
    </xf>
    <xf numFmtId="0" fontId="32" fillId="0" borderId="194" xfId="4" applyFont="1" applyFill="1" applyBorder="1" applyAlignment="1">
      <alignment horizontal="left"/>
    </xf>
    <xf numFmtId="0" fontId="51" fillId="0" borderId="182" xfId="0" applyFont="1" applyBorder="1" applyAlignment="1">
      <alignment horizontal="center" vertical="center" wrapText="1"/>
    </xf>
    <xf numFmtId="3" fontId="59" fillId="0" borderId="163" xfId="0" applyNumberFormat="1" applyFont="1" applyFill="1" applyBorder="1" applyAlignment="1">
      <alignment vertical="top"/>
    </xf>
    <xf numFmtId="3" fontId="53" fillId="23" borderId="186" xfId="0" applyNumberFormat="1" applyFont="1" applyFill="1" applyBorder="1" applyAlignment="1">
      <alignment horizontal="center" vertical="center"/>
    </xf>
    <xf numFmtId="0" fontId="0" fillId="0" borderId="170" xfId="0" applyFont="1" applyBorder="1" applyAlignment="1">
      <alignment horizontal="center" wrapText="1"/>
    </xf>
    <xf numFmtId="0" fontId="52" fillId="8" borderId="152" xfId="0" applyFont="1" applyFill="1" applyBorder="1" applyAlignment="1">
      <alignment horizontal="left" vertical="center" wrapText="1"/>
    </xf>
    <xf numFmtId="0" fontId="52" fillId="8" borderId="153" xfId="0" applyFont="1" applyFill="1" applyBorder="1" applyAlignment="1">
      <alignment horizontal="center" vertical="center" wrapText="1"/>
    </xf>
    <xf numFmtId="3" fontId="53" fillId="8" borderId="156" xfId="0" applyNumberFormat="1" applyFont="1" applyFill="1" applyBorder="1" applyAlignment="1">
      <alignment vertical="top"/>
    </xf>
    <xf numFmtId="3" fontId="53" fillId="8" borderId="154" xfId="0" applyNumberFormat="1" applyFont="1" applyFill="1" applyBorder="1" applyAlignment="1">
      <alignment vertical="top"/>
    </xf>
    <xf numFmtId="3" fontId="53" fillId="8" borderId="154" xfId="0" applyNumberFormat="1" applyFont="1" applyFill="1" applyBorder="1" applyAlignment="1">
      <alignment vertical="top"/>
    </xf>
    <xf numFmtId="3" fontId="53" fillId="8" borderId="157" xfId="0" applyNumberFormat="1" applyFont="1" applyFill="1" applyBorder="1" applyAlignment="1">
      <alignment vertical="top"/>
    </xf>
    <xf numFmtId="3" fontId="53" fillId="24" borderId="171" xfId="0" applyNumberFormat="1" applyFont="1" applyFill="1" applyBorder="1" applyAlignment="1">
      <alignment vertical="top"/>
    </xf>
    <xf numFmtId="0" fontId="52" fillId="8" borderId="187" xfId="0" applyFont="1" applyFill="1" applyBorder="1" applyAlignment="1">
      <alignment horizontal="left" vertical="center" wrapText="1"/>
    </xf>
    <xf numFmtId="0" fontId="52" fillId="8" borderId="203" xfId="0" applyFont="1" applyFill="1" applyBorder="1" applyAlignment="1">
      <alignment horizontal="center" vertical="center" wrapText="1"/>
    </xf>
    <xf numFmtId="3" fontId="59" fillId="8" borderId="150" xfId="0" applyNumberFormat="1" applyFont="1" applyFill="1" applyBorder="1" applyAlignment="1"/>
    <xf numFmtId="3" fontId="59" fillId="8" borderId="161" xfId="0" applyNumberFormat="1" applyFont="1" applyFill="1" applyBorder="1" applyAlignment="1"/>
    <xf numFmtId="3" fontId="59" fillId="8" borderId="161" xfId="0" applyNumberFormat="1" applyFont="1" applyFill="1" applyBorder="1" applyAlignment="1"/>
    <xf numFmtId="3" fontId="59" fillId="8" borderId="182" xfId="0" applyNumberFormat="1" applyFont="1" applyFill="1" applyBorder="1" applyAlignment="1"/>
    <xf numFmtId="3" fontId="59" fillId="24" borderId="183" xfId="0" applyNumberFormat="1" applyFont="1" applyFill="1" applyBorder="1" applyAlignment="1"/>
    <xf numFmtId="0" fontId="32" fillId="6" borderId="204" xfId="0" applyFont="1" applyFill="1" applyBorder="1" applyAlignment="1">
      <alignment vertical="top"/>
    </xf>
    <xf numFmtId="43" fontId="53" fillId="6" borderId="191" xfId="1" applyFont="1" applyFill="1" applyBorder="1" applyAlignment="1"/>
    <xf numFmtId="43" fontId="53" fillId="6" borderId="204" xfId="1" applyFont="1" applyFill="1" applyBorder="1" applyAlignment="1"/>
    <xf numFmtId="3" fontId="53" fillId="23" borderId="190" xfId="0" applyNumberFormat="1" applyFont="1" applyFill="1" applyBorder="1" applyAlignment="1"/>
    <xf numFmtId="3" fontId="57" fillId="2" borderId="193" xfId="4" applyNumberFormat="1" applyFont="1" applyFill="1" applyBorder="1" applyAlignment="1">
      <alignment vertical="top" wrapText="1"/>
    </xf>
    <xf numFmtId="3" fontId="55" fillId="0" borderId="191" xfId="0" applyNumberFormat="1" applyFont="1" applyFill="1" applyBorder="1" applyAlignment="1"/>
    <xf numFmtId="43" fontId="55" fillId="0" borderId="191" xfId="1" applyFont="1" applyFill="1" applyBorder="1" applyAlignment="1"/>
    <xf numFmtId="43" fontId="55" fillId="0" borderId="204" xfId="1" applyFont="1" applyFill="1" applyBorder="1" applyAlignment="1"/>
    <xf numFmtId="3" fontId="55" fillId="26" borderId="190" xfId="0" applyNumberFormat="1" applyFont="1" applyFill="1" applyBorder="1" applyAlignment="1"/>
    <xf numFmtId="0" fontId="32" fillId="0" borderId="187" xfId="0" applyFont="1" applyFill="1" applyBorder="1" applyAlignment="1">
      <alignment vertical="top"/>
    </xf>
    <xf numFmtId="43" fontId="59" fillId="0" borderId="191" xfId="1" applyFont="1" applyFill="1" applyBorder="1" applyAlignment="1">
      <alignment vertical="top"/>
    </xf>
    <xf numFmtId="43" fontId="59" fillId="0" borderId="204" xfId="1" applyFont="1" applyFill="1" applyBorder="1" applyAlignment="1">
      <alignment vertical="top"/>
    </xf>
    <xf numFmtId="0" fontId="32" fillId="0" borderId="193" xfId="0" applyFont="1" applyFill="1" applyBorder="1" applyAlignment="1">
      <alignment vertical="top" wrapText="1"/>
    </xf>
    <xf numFmtId="3" fontId="59" fillId="26" borderId="190" xfId="0" applyNumberFormat="1" applyFont="1" applyFill="1" applyBorder="1" applyAlignment="1">
      <alignment vertical="top"/>
    </xf>
    <xf numFmtId="0" fontId="32" fillId="0" borderId="187" xfId="0" applyFont="1" applyFill="1" applyBorder="1" applyAlignment="1">
      <alignment horizontal="left" vertical="center"/>
    </xf>
    <xf numFmtId="3" fontId="59" fillId="0" borderId="191" xfId="0" applyNumberFormat="1" applyFont="1" applyFill="1" applyBorder="1" applyAlignment="1">
      <alignment vertical="center"/>
    </xf>
    <xf numFmtId="43" fontId="59" fillId="0" borderId="191" xfId="1" applyFont="1" applyFill="1" applyBorder="1" applyAlignment="1">
      <alignment vertical="center"/>
    </xf>
    <xf numFmtId="43" fontId="59" fillId="0" borderId="204" xfId="1" applyFont="1" applyFill="1" applyBorder="1" applyAlignment="1">
      <alignment vertical="center"/>
    </xf>
    <xf numFmtId="3" fontId="59" fillId="26" borderId="190" xfId="0" applyNumberFormat="1" applyFont="1" applyFill="1" applyBorder="1" applyAlignment="1">
      <alignment vertical="center"/>
    </xf>
    <xf numFmtId="0" fontId="46" fillId="0" borderId="150" xfId="0" applyFont="1" applyFill="1" applyBorder="1" applyAlignment="1">
      <alignment vertical="center"/>
    </xf>
    <xf numFmtId="0" fontId="57" fillId="2" borderId="193" xfId="4" applyFont="1" applyFill="1" applyBorder="1" applyAlignment="1">
      <alignment vertical="top"/>
    </xf>
    <xf numFmtId="43" fontId="55" fillId="0" borderId="191" xfId="1" applyFont="1" applyFill="1" applyBorder="1" applyAlignment="1">
      <alignment vertical="top"/>
    </xf>
    <xf numFmtId="43" fontId="55" fillId="0" borderId="204" xfId="1" applyFont="1" applyFill="1" applyBorder="1" applyAlignment="1">
      <alignment vertical="top"/>
    </xf>
    <xf numFmtId="3" fontId="55" fillId="26" borderId="190" xfId="0" applyNumberFormat="1" applyFont="1" applyFill="1" applyBorder="1" applyAlignment="1">
      <alignment horizontal="center" vertical="top"/>
    </xf>
    <xf numFmtId="43" fontId="53" fillId="6" borderId="165" xfId="1" applyFont="1" applyFill="1" applyBorder="1" applyAlignment="1"/>
    <xf numFmtId="3" fontId="55" fillId="2" borderId="193" xfId="4" applyNumberFormat="1" applyFont="1" applyFill="1" applyBorder="1" applyAlignment="1">
      <alignment vertical="top" wrapText="1"/>
    </xf>
    <xf numFmtId="0" fontId="53" fillId="2" borderId="202" xfId="0" applyFont="1" applyFill="1" applyBorder="1" applyAlignment="1">
      <alignment horizontal="center" vertical="top" wrapText="1"/>
    </xf>
    <xf numFmtId="43" fontId="53" fillId="2" borderId="192" xfId="1" applyFont="1" applyFill="1" applyBorder="1" applyAlignment="1"/>
    <xf numFmtId="0" fontId="53" fillId="2" borderId="203" xfId="0" applyFont="1" applyFill="1" applyBorder="1" applyAlignment="1">
      <alignment horizontal="center" vertical="top" wrapText="1"/>
    </xf>
    <xf numFmtId="0" fontId="32" fillId="2" borderId="195" xfId="0" applyFont="1" applyFill="1" applyBorder="1" applyAlignment="1">
      <alignment vertical="top"/>
    </xf>
    <xf numFmtId="0" fontId="32" fillId="0" borderId="205" xfId="4" applyFont="1" applyFill="1" applyBorder="1" applyAlignment="1">
      <alignment vertical="center"/>
    </xf>
    <xf numFmtId="0" fontId="51" fillId="0" borderId="206" xfId="0" applyFont="1" applyBorder="1" applyAlignment="1">
      <alignment horizontal="center" vertical="center" wrapText="1"/>
    </xf>
    <xf numFmtId="3" fontId="59" fillId="0" borderId="199" xfId="0" applyNumberFormat="1" applyFont="1" applyFill="1" applyBorder="1" applyAlignment="1">
      <alignment vertical="top"/>
    </xf>
    <xf numFmtId="3" fontId="59" fillId="0" borderId="168" xfId="0" applyNumberFormat="1" applyFont="1" applyFill="1" applyBorder="1" applyAlignment="1">
      <alignment vertical="top"/>
    </xf>
    <xf numFmtId="43" fontId="59" fillId="0" borderId="168" xfId="1" applyFont="1" applyFill="1" applyBorder="1" applyAlignment="1">
      <alignment vertical="top"/>
    </xf>
    <xf numFmtId="0" fontId="45" fillId="2" borderId="152" xfId="0" quotePrefix="1" applyFont="1" applyFill="1" applyBorder="1" applyAlignment="1">
      <alignment horizontal="center" vertical="center" wrapText="1"/>
    </xf>
    <xf numFmtId="0" fontId="52" fillId="8" borderId="152" xfId="0" applyFont="1" applyFill="1" applyBorder="1" applyAlignment="1">
      <alignment vertical="center" wrapText="1"/>
    </xf>
    <xf numFmtId="3" fontId="53" fillId="8" borderId="207" xfId="0" applyNumberFormat="1" applyFont="1" applyFill="1" applyBorder="1" applyAlignment="1">
      <alignment vertical="top"/>
    </xf>
    <xf numFmtId="0" fontId="46" fillId="0" borderId="150" xfId="0" applyFont="1" applyFill="1" applyBorder="1" applyAlignment="1">
      <alignment horizontal="left" vertical="top" wrapText="1"/>
    </xf>
    <xf numFmtId="0" fontId="0" fillId="0" borderId="208" xfId="0" applyFont="1" applyBorder="1"/>
    <xf numFmtId="43" fontId="55" fillId="2" borderId="191" xfId="1" applyFont="1" applyFill="1" applyBorder="1" applyAlignment="1"/>
    <xf numFmtId="43" fontId="55" fillId="2" borderId="204" xfId="1" applyFont="1" applyFill="1" applyBorder="1" applyAlignment="1"/>
    <xf numFmtId="43" fontId="59" fillId="0" borderId="196" xfId="1" applyFont="1" applyFill="1" applyBorder="1" applyAlignment="1">
      <alignment vertical="top"/>
    </xf>
    <xf numFmtId="43" fontId="59" fillId="0" borderId="209" xfId="1" applyFont="1" applyFill="1" applyBorder="1" applyAlignment="1">
      <alignment vertical="top"/>
    </xf>
    <xf numFmtId="0" fontId="51" fillId="0" borderId="203" xfId="0" applyFont="1" applyBorder="1" applyAlignment="1">
      <alignment horizontal="center" vertical="center" wrapText="1"/>
    </xf>
    <xf numFmtId="0" fontId="0" fillId="0" borderId="163" xfId="0" applyFont="1" applyBorder="1"/>
    <xf numFmtId="43" fontId="0" fillId="0" borderId="163" xfId="1" applyFont="1" applyBorder="1"/>
    <xf numFmtId="43" fontId="0" fillId="0" borderId="164" xfId="1" applyFont="1" applyBorder="1"/>
    <xf numFmtId="43" fontId="0" fillId="0" borderId="165" xfId="1" applyFont="1" applyBorder="1"/>
    <xf numFmtId="0" fontId="32" fillId="6" borderId="203" xfId="0" applyFont="1" applyFill="1" applyBorder="1" applyAlignment="1">
      <alignment vertical="top"/>
    </xf>
    <xf numFmtId="43" fontId="53" fillId="23" borderId="188" xfId="1" applyFont="1" applyFill="1" applyBorder="1" applyAlignment="1">
      <alignment horizontal="center" vertical="center"/>
    </xf>
    <xf numFmtId="43" fontId="53" fillId="23" borderId="198" xfId="1" applyFont="1" applyFill="1" applyBorder="1" applyAlignment="1">
      <alignment horizontal="center" vertical="center"/>
    </xf>
    <xf numFmtId="0" fontId="65" fillId="0" borderId="202" xfId="0" applyFont="1" applyBorder="1" applyAlignment="1">
      <alignment horizontal="center" vertical="center" wrapText="1"/>
    </xf>
    <xf numFmtId="43" fontId="53" fillId="23" borderId="183" xfId="1" applyFont="1" applyFill="1" applyBorder="1" applyAlignment="1">
      <alignment horizontal="center" vertical="center"/>
    </xf>
    <xf numFmtId="0" fontId="65" fillId="0" borderId="160" xfId="0" applyFont="1" applyBorder="1" applyAlignment="1">
      <alignment horizontal="center" vertical="center" wrapText="1"/>
    </xf>
    <xf numFmtId="0" fontId="0" fillId="0" borderId="210" xfId="0" applyFont="1" applyBorder="1"/>
    <xf numFmtId="0" fontId="32" fillId="0" borderId="184" xfId="0" applyFont="1" applyFill="1" applyBorder="1" applyAlignment="1">
      <alignment horizontal="left" vertical="center"/>
    </xf>
    <xf numFmtId="0" fontId="65" fillId="0" borderId="167" xfId="0" applyFont="1" applyBorder="1" applyAlignment="1">
      <alignment horizontal="center" vertical="center" wrapText="1"/>
    </xf>
    <xf numFmtId="43" fontId="59" fillId="0" borderId="199" xfId="1" applyFont="1" applyFill="1" applyBorder="1" applyAlignment="1">
      <alignment vertical="top"/>
    </xf>
    <xf numFmtId="43" fontId="59" fillId="0" borderId="211" xfId="1" applyFont="1" applyFill="1" applyBorder="1" applyAlignment="1">
      <alignment vertical="top"/>
    </xf>
    <xf numFmtId="43" fontId="53" fillId="23" borderId="186" xfId="1" applyFont="1" applyFill="1" applyBorder="1" applyAlignment="1">
      <alignment horizontal="center" vertical="center"/>
    </xf>
    <xf numFmtId="0" fontId="45" fillId="2" borderId="159" xfId="0" quotePrefix="1" applyFont="1" applyFill="1" applyBorder="1" applyAlignment="1">
      <alignment horizontal="center" vertical="center" wrapText="1"/>
    </xf>
    <xf numFmtId="0" fontId="52" fillId="8" borderId="166" xfId="0" applyFont="1" applyFill="1" applyBorder="1" applyAlignment="1">
      <alignment vertical="center" wrapText="1"/>
    </xf>
    <xf numFmtId="0" fontId="52" fillId="8" borderId="164" xfId="0" applyFont="1" applyFill="1" applyBorder="1" applyAlignment="1">
      <alignment horizontal="center" vertical="center" wrapText="1"/>
    </xf>
    <xf numFmtId="3" fontId="53" fillId="8" borderId="150" xfId="0" applyNumberFormat="1" applyFont="1" applyFill="1" applyBorder="1" applyAlignment="1">
      <alignment vertical="top"/>
    </xf>
    <xf numFmtId="3" fontId="53" fillId="8" borderId="165" xfId="0" applyNumberFormat="1" applyFont="1" applyFill="1" applyBorder="1" applyAlignment="1">
      <alignment vertical="top"/>
    </xf>
    <xf numFmtId="3" fontId="53" fillId="8" borderId="161" xfId="0" applyNumberFormat="1" applyFont="1" applyFill="1" applyBorder="1" applyAlignment="1">
      <alignment vertical="top"/>
    </xf>
    <xf numFmtId="3" fontId="53" fillId="8" borderId="182" xfId="0" applyNumberFormat="1" applyFont="1" applyFill="1" applyBorder="1" applyAlignment="1">
      <alignment vertical="top"/>
    </xf>
    <xf numFmtId="0" fontId="50" fillId="0" borderId="166" xfId="0" applyFont="1" applyBorder="1" applyAlignment="1">
      <alignment horizontal="center" vertical="center" wrapText="1"/>
    </xf>
    <xf numFmtId="0" fontId="0" fillId="0" borderId="159" xfId="0" applyFont="1" applyBorder="1"/>
    <xf numFmtId="3" fontId="57" fillId="2" borderId="201" xfId="4" applyNumberFormat="1" applyFont="1" applyFill="1" applyBorder="1" applyAlignment="1">
      <alignment vertical="center" wrapText="1"/>
    </xf>
    <xf numFmtId="0" fontId="32" fillId="0" borderId="189" xfId="0" applyFont="1" applyFill="1" applyBorder="1" applyAlignment="1">
      <alignment vertical="center"/>
    </xf>
    <xf numFmtId="0" fontId="52" fillId="0" borderId="160" xfId="0" applyFont="1" applyFill="1" applyBorder="1" applyAlignment="1">
      <alignment horizontal="center" vertical="center" wrapText="1"/>
    </xf>
    <xf numFmtId="3" fontId="59" fillId="2" borderId="196" xfId="0" applyNumberFormat="1" applyFont="1" applyFill="1" applyBorder="1" applyAlignment="1"/>
    <xf numFmtId="43" fontId="59" fillId="2" borderId="196" xfId="1" applyFont="1" applyFill="1" applyBorder="1" applyAlignment="1"/>
    <xf numFmtId="43" fontId="59" fillId="2" borderId="209" xfId="1" applyFont="1" applyFill="1" applyBorder="1" applyAlignment="1"/>
    <xf numFmtId="0" fontId="32" fillId="0" borderId="201" xfId="0" applyFont="1" applyFill="1" applyBorder="1" applyAlignment="1">
      <alignment vertical="center" wrapText="1"/>
    </xf>
    <xf numFmtId="0" fontId="52" fillId="0" borderId="203" xfId="0" applyFont="1" applyFill="1" applyBorder="1" applyAlignment="1">
      <alignment horizontal="center" vertical="center" wrapText="1"/>
    </xf>
    <xf numFmtId="0" fontId="57" fillId="2" borderId="201" xfId="4" applyFont="1" applyFill="1" applyBorder="1" applyAlignment="1">
      <alignment vertical="center"/>
    </xf>
    <xf numFmtId="0" fontId="51" fillId="0" borderId="202" xfId="0" applyFont="1" applyBorder="1" applyAlignment="1">
      <alignment horizontal="center" vertical="center" wrapText="1"/>
    </xf>
    <xf numFmtId="3" fontId="55" fillId="2" borderId="164" xfId="0" applyNumberFormat="1" applyFont="1" applyFill="1" applyBorder="1" applyAlignment="1"/>
    <xf numFmtId="43" fontId="55" fillId="2" borderId="164" xfId="1" applyFont="1" applyFill="1" applyBorder="1" applyAlignment="1"/>
    <xf numFmtId="43" fontId="55" fillId="2" borderId="165" xfId="1" applyFont="1" applyFill="1" applyBorder="1" applyAlignment="1"/>
    <xf numFmtId="0" fontId="32" fillId="0" borderId="212" xfId="4" applyFont="1" applyFill="1" applyBorder="1" applyAlignment="1">
      <alignment vertical="center"/>
    </xf>
    <xf numFmtId="0" fontId="0" fillId="0" borderId="209" xfId="0" applyFont="1" applyBorder="1"/>
    <xf numFmtId="0" fontId="0" fillId="0" borderId="196" xfId="0" applyFont="1" applyBorder="1"/>
    <xf numFmtId="43" fontId="0" fillId="0" borderId="191" xfId="1" applyFont="1" applyBorder="1"/>
    <xf numFmtId="43" fontId="0" fillId="0" borderId="204" xfId="1" applyFont="1" applyBorder="1"/>
    <xf numFmtId="0" fontId="52" fillId="6" borderId="195" xfId="0" applyFont="1" applyFill="1" applyBorder="1" applyAlignment="1">
      <alignment vertical="top"/>
    </xf>
    <xf numFmtId="0" fontId="65" fillId="0" borderId="203" xfId="0" applyFont="1" applyBorder="1" applyAlignment="1">
      <alignment horizontal="center" vertical="center" wrapText="1"/>
    </xf>
    <xf numFmtId="43" fontId="59" fillId="2" borderId="191" xfId="1" applyFont="1" applyFill="1" applyBorder="1" applyAlignment="1"/>
    <xf numFmtId="0" fontId="0" fillId="0" borderId="159" xfId="0" applyFont="1" applyBorder="1"/>
    <xf numFmtId="0" fontId="65" fillId="0" borderId="160" xfId="0" applyFont="1" applyBorder="1" applyAlignment="1">
      <alignment vertical="center" wrapText="1"/>
    </xf>
    <xf numFmtId="3" fontId="55" fillId="2" borderId="196" xfId="0" applyNumberFormat="1" applyFont="1" applyFill="1" applyBorder="1" applyAlignment="1"/>
    <xf numFmtId="43" fontId="55" fillId="2" borderId="196" xfId="1" applyFont="1" applyFill="1" applyBorder="1" applyAlignment="1"/>
    <xf numFmtId="43" fontId="55" fillId="2" borderId="209" xfId="1" applyFont="1" applyFill="1" applyBorder="1" applyAlignment="1"/>
    <xf numFmtId="0" fontId="0" fillId="0" borderId="184" xfId="0" applyFont="1" applyBorder="1"/>
    <xf numFmtId="0" fontId="65" fillId="0" borderId="167" xfId="0" applyFont="1" applyBorder="1" applyAlignment="1">
      <alignment horizontal="center" vertical="center" wrapText="1"/>
    </xf>
    <xf numFmtId="3" fontId="59" fillId="0" borderId="199" xfId="0" applyNumberFormat="1" applyFont="1" applyFill="1" applyBorder="1" applyAlignment="1">
      <alignment vertical="center"/>
    </xf>
    <xf numFmtId="43" fontId="59" fillId="0" borderId="199" xfId="1" applyFont="1" applyFill="1" applyBorder="1" applyAlignment="1">
      <alignment vertical="center"/>
    </xf>
    <xf numFmtId="43" fontId="59" fillId="0" borderId="211" xfId="1" applyFont="1" applyFill="1" applyBorder="1" applyAlignment="1">
      <alignment vertical="center"/>
    </xf>
    <xf numFmtId="0" fontId="50" fillId="0" borderId="170" xfId="0" applyFont="1" applyBorder="1" applyAlignment="1">
      <alignment horizontal="center" vertical="center" wrapText="1"/>
    </xf>
    <xf numFmtId="49" fontId="50" fillId="0" borderId="158" xfId="3" applyNumberFormat="1" applyFont="1" applyBorder="1" applyAlignment="1">
      <alignment horizontal="center" vertical="center" wrapText="1"/>
    </xf>
    <xf numFmtId="49" fontId="50" fillId="0" borderId="166" xfId="3" applyNumberFormat="1" applyFont="1" applyBorder="1" applyAlignment="1">
      <alignment horizontal="center" vertical="center" wrapText="1"/>
    </xf>
    <xf numFmtId="0" fontId="52" fillId="2" borderId="202" xfId="0" applyFont="1" applyFill="1" applyBorder="1" applyAlignment="1">
      <alignment horizontal="center" vertical="center" wrapText="1"/>
    </xf>
    <xf numFmtId="3" fontId="55" fillId="24" borderId="190" xfId="0" applyNumberFormat="1" applyFont="1" applyFill="1" applyBorder="1" applyAlignment="1"/>
    <xf numFmtId="0" fontId="52" fillId="2" borderId="160" xfId="0" applyFont="1" applyFill="1" applyBorder="1" applyAlignment="1">
      <alignment horizontal="center" vertical="center" wrapText="1"/>
    </xf>
    <xf numFmtId="43" fontId="59" fillId="26" borderId="190" xfId="1" applyFont="1" applyFill="1" applyBorder="1" applyAlignment="1">
      <alignment horizontal="center" vertical="top"/>
    </xf>
    <xf numFmtId="0" fontId="45" fillId="2" borderId="184" xfId="0" quotePrefix="1" applyFont="1" applyFill="1" applyBorder="1" applyAlignment="1">
      <alignment horizontal="center" vertical="center" wrapText="1"/>
    </xf>
    <xf numFmtId="0" fontId="32" fillId="2" borderId="205" xfId="0" applyFont="1" applyFill="1" applyBorder="1" applyAlignment="1">
      <alignment vertical="top" wrapText="1"/>
    </xf>
    <xf numFmtId="0" fontId="0" fillId="0" borderId="166" xfId="0" applyFont="1" applyBorder="1"/>
    <xf numFmtId="0" fontId="52" fillId="8" borderId="152" xfId="0" applyFont="1" applyFill="1" applyBorder="1" applyAlignment="1">
      <alignment vertical="top" wrapText="1"/>
    </xf>
    <xf numFmtId="3" fontId="59" fillId="0" borderId="168" xfId="0" applyNumberFormat="1" applyFont="1" applyFill="1" applyBorder="1" applyAlignment="1">
      <alignment vertical="center"/>
    </xf>
    <xf numFmtId="3" fontId="53" fillId="6" borderId="213" xfId="0" applyNumberFormat="1" applyFont="1" applyFill="1" applyBorder="1" applyAlignment="1"/>
    <xf numFmtId="3" fontId="55" fillId="2" borderId="191" xfId="0" applyNumberFormat="1" applyFont="1" applyFill="1" applyBorder="1" applyAlignment="1">
      <alignment vertical="center"/>
    </xf>
    <xf numFmtId="3" fontId="55" fillId="2" borderId="213" xfId="0" applyNumberFormat="1" applyFont="1" applyFill="1" applyBorder="1" applyAlignment="1">
      <alignment vertical="center"/>
    </xf>
    <xf numFmtId="3" fontId="59" fillId="2" borderId="196" xfId="0" applyNumberFormat="1" applyFont="1" applyFill="1" applyBorder="1" applyAlignment="1">
      <alignment vertical="center"/>
    </xf>
    <xf numFmtId="0" fontId="0" fillId="0" borderId="150" xfId="0" applyFont="1" applyBorder="1" applyAlignment="1">
      <alignment vertical="center"/>
    </xf>
    <xf numFmtId="0" fontId="0" fillId="0" borderId="191" xfId="0" applyFont="1" applyBorder="1" applyAlignment="1">
      <alignment vertical="center"/>
    </xf>
    <xf numFmtId="3" fontId="59" fillId="2" borderId="191" xfId="0" applyNumberFormat="1" applyFont="1" applyFill="1" applyBorder="1" applyAlignment="1">
      <alignment vertical="center"/>
    </xf>
    <xf numFmtId="3" fontId="59" fillId="0" borderId="213" xfId="0" applyNumberFormat="1" applyFont="1" applyFill="1" applyBorder="1" applyAlignment="1">
      <alignment vertical="center"/>
    </xf>
    <xf numFmtId="0" fontId="32" fillId="0" borderId="184" xfId="0" applyFont="1" applyFill="1" applyBorder="1" applyAlignment="1">
      <alignment vertical="center"/>
    </xf>
    <xf numFmtId="0" fontId="52" fillId="2" borderId="167" xfId="0" applyFont="1" applyFill="1" applyBorder="1" applyAlignment="1">
      <alignment horizontal="center" vertical="center" wrapText="1"/>
    </xf>
    <xf numFmtId="3" fontId="59" fillId="2" borderId="199" xfId="0" applyNumberFormat="1" applyFont="1" applyFill="1" applyBorder="1" applyAlignment="1">
      <alignment vertical="center"/>
    </xf>
    <xf numFmtId="0" fontId="0" fillId="0" borderId="151" xfId="0" applyFont="1" applyBorder="1" applyAlignment="1">
      <alignment vertical="center"/>
    </xf>
    <xf numFmtId="0" fontId="0" fillId="0" borderId="168" xfId="0" applyFont="1" applyBorder="1" applyAlignment="1">
      <alignment vertical="center"/>
    </xf>
    <xf numFmtId="3" fontId="59" fillId="0" borderId="200" xfId="0" applyNumberFormat="1" applyFont="1" applyFill="1" applyBorder="1" applyAlignment="1">
      <alignment vertical="center"/>
    </xf>
    <xf numFmtId="3" fontId="59" fillId="24" borderId="214" xfId="0" applyNumberFormat="1" applyFont="1" applyFill="1" applyBorder="1" applyAlignment="1"/>
    <xf numFmtId="49" fontId="50" fillId="0" borderId="170" xfId="3" applyNumberFormat="1" applyFont="1" applyBorder="1" applyAlignment="1">
      <alignment horizontal="center" vertical="center" wrapText="1"/>
    </xf>
    <xf numFmtId="3" fontId="55" fillId="27" borderId="190" xfId="0" applyNumberFormat="1" applyFont="1" applyFill="1" applyBorder="1" applyAlignment="1"/>
    <xf numFmtId="3" fontId="59" fillId="26" borderId="198" xfId="0" applyNumberFormat="1" applyFont="1" applyFill="1" applyBorder="1" applyAlignment="1">
      <alignment horizontal="center" vertical="top"/>
    </xf>
    <xf numFmtId="43" fontId="53" fillId="2" borderId="191" xfId="1" applyFont="1" applyFill="1" applyBorder="1" applyAlignment="1"/>
    <xf numFmtId="43" fontId="53" fillId="2" borderId="213" xfId="1" applyFont="1" applyFill="1" applyBorder="1" applyAlignment="1"/>
    <xf numFmtId="0" fontId="32" fillId="0" borderId="205" xfId="4" applyFont="1" applyFill="1" applyBorder="1" applyAlignment="1">
      <alignment horizontal="left"/>
    </xf>
    <xf numFmtId="0" fontId="51" fillId="0" borderId="167" xfId="0" applyFont="1" applyBorder="1" applyAlignment="1">
      <alignment horizontal="center" vertical="center" wrapText="1"/>
    </xf>
    <xf numFmtId="43" fontId="59" fillId="0" borderId="185" xfId="1" applyFont="1" applyFill="1" applyBorder="1" applyAlignment="1">
      <alignment vertical="top"/>
    </xf>
    <xf numFmtId="0" fontId="46" fillId="0" borderId="152" xfId="0" applyFont="1" applyFill="1" applyBorder="1" applyAlignment="1">
      <alignment horizontal="center" vertical="center" wrapText="1"/>
    </xf>
    <xf numFmtId="0" fontId="0" fillId="0" borderId="150" xfId="0" applyFont="1" applyBorder="1" applyAlignment="1">
      <alignment horizontal="left" wrapText="1"/>
    </xf>
    <xf numFmtId="0" fontId="46" fillId="0" borderId="159" xfId="0" applyFont="1" applyFill="1" applyBorder="1" applyAlignment="1">
      <alignment horizontal="center" vertical="center" wrapText="1"/>
    </xf>
    <xf numFmtId="0" fontId="0" fillId="0" borderId="159" xfId="0" applyFont="1" applyBorder="1" applyAlignment="1">
      <alignment horizontal="center" vertical="center" wrapText="1"/>
    </xf>
    <xf numFmtId="167" fontId="59" fillId="0" borderId="191" xfId="1" applyNumberFormat="1" applyFont="1" applyFill="1" applyBorder="1" applyAlignment="1">
      <alignment vertical="top"/>
    </xf>
    <xf numFmtId="0" fontId="52" fillId="0" borderId="160" xfId="0" applyFont="1" applyFill="1" applyBorder="1" applyAlignment="1">
      <alignment horizontal="center" vertical="center" wrapText="1"/>
    </xf>
    <xf numFmtId="3" fontId="55" fillId="2" borderId="192" xfId="0" applyNumberFormat="1" applyFont="1" applyFill="1" applyBorder="1" applyAlignment="1"/>
    <xf numFmtId="3" fontId="53" fillId="0" borderId="191" xfId="0" applyNumberFormat="1" applyFont="1" applyFill="1" applyBorder="1" applyAlignment="1"/>
    <xf numFmtId="0" fontId="0" fillId="0" borderId="184" xfId="0" applyFont="1" applyBorder="1" applyAlignment="1">
      <alignment horizontal="center" vertical="center" wrapText="1"/>
    </xf>
    <xf numFmtId="49" fontId="50" fillId="0" borderId="152" xfId="3" applyNumberFormat="1" applyFont="1" applyBorder="1" applyAlignment="1">
      <alignment horizontal="center" vertical="center" wrapText="1"/>
    </xf>
    <xf numFmtId="0" fontId="32" fillId="6" borderId="195" xfId="0" applyFont="1" applyFill="1" applyBorder="1" applyAlignment="1">
      <alignment vertical="center"/>
    </xf>
    <xf numFmtId="3" fontId="53" fillId="6" borderId="191" xfId="0" applyNumberFormat="1" applyFont="1" applyFill="1" applyBorder="1" applyAlignment="1">
      <alignment vertical="center"/>
    </xf>
    <xf numFmtId="3" fontId="53" fillId="6" borderId="204" xfId="0" applyNumberFormat="1" applyFont="1" applyFill="1" applyBorder="1" applyAlignment="1">
      <alignment vertical="center"/>
    </xf>
    <xf numFmtId="3" fontId="53" fillId="23" borderId="190" xfId="0" applyNumberFormat="1" applyFont="1" applyFill="1" applyBorder="1" applyAlignment="1">
      <alignment vertical="center"/>
    </xf>
    <xf numFmtId="49" fontId="50" fillId="0" borderId="159" xfId="3" applyNumberFormat="1" applyFont="1" applyBorder="1" applyAlignment="1">
      <alignment horizontal="center" vertical="center" wrapText="1"/>
    </xf>
    <xf numFmtId="3" fontId="55" fillId="2" borderId="204" xfId="0" applyNumberFormat="1" applyFont="1" applyFill="1" applyBorder="1" applyAlignment="1">
      <alignment vertical="center"/>
    </xf>
    <xf numFmtId="0" fontId="32" fillId="0" borderId="193" xfId="0" applyFont="1" applyFill="1" applyBorder="1" applyAlignment="1">
      <alignment vertical="center"/>
    </xf>
    <xf numFmtId="0" fontId="0" fillId="0" borderId="196" xfId="0" applyFont="1" applyBorder="1" applyAlignment="1">
      <alignment vertical="center"/>
    </xf>
    <xf numFmtId="3" fontId="59" fillId="0" borderId="196" xfId="0" applyNumberFormat="1" applyFont="1" applyFill="1" applyBorder="1" applyAlignment="1">
      <alignment vertical="center"/>
    </xf>
    <xf numFmtId="3" fontId="59" fillId="0" borderId="209" xfId="0" applyNumberFormat="1" applyFont="1" applyFill="1" applyBorder="1" applyAlignment="1">
      <alignment vertical="center"/>
    </xf>
    <xf numFmtId="3" fontId="59" fillId="0" borderId="215" xfId="0" applyNumberFormat="1" applyFont="1" applyFill="1" applyBorder="1" applyAlignment="1">
      <alignment vertical="center"/>
    </xf>
    <xf numFmtId="0" fontId="45" fillId="2" borderId="159" xfId="0" quotePrefix="1" applyFont="1" applyFill="1" applyBorder="1" applyAlignment="1">
      <alignment horizontal="center" vertical="center" wrapText="1"/>
    </xf>
    <xf numFmtId="3" fontId="59" fillId="24" borderId="186" xfId="0" applyNumberFormat="1" applyFont="1" applyFill="1" applyBorder="1" applyAlignment="1"/>
    <xf numFmtId="49" fontId="50" fillId="0" borderId="184" xfId="3" applyNumberFormat="1" applyFont="1" applyBorder="1" applyAlignment="1">
      <alignment horizontal="center" vertical="center" wrapText="1"/>
    </xf>
    <xf numFmtId="43" fontId="55" fillId="2" borderId="191" xfId="1" applyFont="1" applyFill="1" applyBorder="1" applyAlignment="1">
      <alignment vertical="center"/>
    </xf>
    <xf numFmtId="43" fontId="55" fillId="2" borderId="204" xfId="1" applyFont="1" applyFill="1" applyBorder="1" applyAlignment="1">
      <alignment vertical="center"/>
    </xf>
    <xf numFmtId="3" fontId="46" fillId="0" borderId="150" xfId="0" applyNumberFormat="1" applyFont="1" applyFill="1" applyBorder="1" applyAlignment="1">
      <alignment vertical="center"/>
    </xf>
    <xf numFmtId="3" fontId="59" fillId="26" borderId="201" xfId="0" applyNumberFormat="1" applyFont="1" applyFill="1" applyBorder="1" applyAlignment="1">
      <alignment horizontal="center" vertical="top"/>
    </xf>
    <xf numFmtId="3" fontId="59" fillId="24" borderId="216" xfId="0" applyNumberFormat="1" applyFont="1" applyFill="1" applyBorder="1" applyAlignment="1"/>
    <xf numFmtId="3" fontId="53" fillId="8" borderId="179" xfId="0" applyNumberFormat="1" applyFont="1" applyFill="1" applyBorder="1" applyAlignment="1">
      <alignment vertical="top"/>
    </xf>
    <xf numFmtId="3" fontId="59" fillId="24" borderId="189" xfId="0" applyNumberFormat="1" applyFont="1" applyFill="1" applyBorder="1" applyAlignment="1"/>
    <xf numFmtId="3" fontId="53" fillId="23" borderId="201" xfId="0" applyNumberFormat="1" applyFont="1" applyFill="1" applyBorder="1" applyAlignment="1"/>
    <xf numFmtId="3" fontId="53" fillId="23" borderId="214" xfId="0" applyNumberFormat="1" applyFont="1" applyFill="1" applyBorder="1" applyAlignment="1"/>
    <xf numFmtId="0" fontId="126" fillId="2" borderId="152" xfId="0" quotePrefix="1" applyFont="1" applyFill="1" applyBorder="1" applyAlignment="1">
      <alignment horizontal="center" vertical="center" wrapText="1"/>
    </xf>
    <xf numFmtId="0" fontId="99" fillId="8" borderId="152" xfId="0" applyFont="1" applyFill="1" applyBorder="1" applyAlignment="1">
      <alignment vertical="top" wrapText="1"/>
    </xf>
    <xf numFmtId="0" fontId="99" fillId="8" borderId="179" xfId="0" applyFont="1" applyFill="1" applyBorder="1" applyAlignment="1">
      <alignment horizontal="center" vertical="center" wrapText="1"/>
    </xf>
    <xf numFmtId="3" fontId="102" fillId="8" borderId="156" xfId="0" applyNumberFormat="1" applyFont="1" applyFill="1" applyBorder="1" applyAlignment="1">
      <alignment vertical="top"/>
    </xf>
    <xf numFmtId="3" fontId="102" fillId="8" borderId="207" xfId="0" applyNumberFormat="1" applyFont="1" applyFill="1" applyBorder="1" applyAlignment="1">
      <alignment vertical="top"/>
    </xf>
    <xf numFmtId="3" fontId="102" fillId="8" borderId="154" xfId="0" applyNumberFormat="1" applyFont="1" applyFill="1" applyBorder="1" applyAlignment="1">
      <alignment vertical="top"/>
    </xf>
    <xf numFmtId="3" fontId="102" fillId="8" borderId="157" xfId="0" applyNumberFormat="1" applyFont="1" applyFill="1" applyBorder="1" applyAlignment="1">
      <alignment vertical="top"/>
    </xf>
    <xf numFmtId="3" fontId="102" fillId="24" borderId="171" xfId="0" applyNumberFormat="1" applyFont="1" applyFill="1" applyBorder="1" applyAlignment="1">
      <alignment vertical="top"/>
    </xf>
    <xf numFmtId="49" fontId="104" fillId="0" borderId="152" xfId="3" applyNumberFormat="1" applyFont="1" applyBorder="1" applyAlignment="1">
      <alignment horizontal="center" vertical="center" wrapText="1"/>
    </xf>
    <xf numFmtId="0" fontId="96" fillId="0" borderId="150" xfId="0" applyFont="1" applyFill="1" applyBorder="1" applyAlignment="1">
      <alignment vertical="top"/>
    </xf>
    <xf numFmtId="0" fontId="126" fillId="2" borderId="159" xfId="0" quotePrefix="1" applyFont="1" applyFill="1" applyBorder="1" applyAlignment="1">
      <alignment horizontal="center" vertical="center" wrapText="1"/>
    </xf>
    <xf numFmtId="0" fontId="99" fillId="6" borderId="193" xfId="4" applyFont="1" applyFill="1" applyBorder="1" applyAlignment="1">
      <alignment horizontal="left" vertical="center"/>
    </xf>
    <xf numFmtId="0" fontId="101" fillId="6" borderId="195" xfId="0" applyFont="1" applyFill="1" applyBorder="1" applyAlignment="1">
      <alignment vertical="top"/>
    </xf>
    <xf numFmtId="3" fontId="102" fillId="6" borderId="191" xfId="0" applyNumberFormat="1" applyFont="1" applyFill="1" applyBorder="1" applyAlignment="1"/>
    <xf numFmtId="43" fontId="102" fillId="6" borderId="191" xfId="1" applyFont="1" applyFill="1" applyBorder="1" applyAlignment="1"/>
    <xf numFmtId="43" fontId="102" fillId="6" borderId="204" xfId="1" applyFont="1" applyFill="1" applyBorder="1" applyAlignment="1"/>
    <xf numFmtId="3" fontId="102" fillId="23" borderId="190" xfId="0" applyNumberFormat="1" applyFont="1" applyFill="1" applyBorder="1" applyAlignment="1"/>
    <xf numFmtId="49" fontId="104" fillId="0" borderId="159" xfId="3" applyNumberFormat="1" applyFont="1" applyBorder="1" applyAlignment="1">
      <alignment horizontal="center" vertical="center" wrapText="1"/>
    </xf>
    <xf numFmtId="3" fontId="127" fillId="2" borderId="193" xfId="4" applyNumberFormat="1" applyFont="1" applyFill="1" applyBorder="1" applyAlignment="1">
      <alignment vertical="center" wrapText="1"/>
    </xf>
    <xf numFmtId="0" fontId="99" fillId="2" borderId="202" xfId="0" applyFont="1" applyFill="1" applyBorder="1" applyAlignment="1">
      <alignment horizontal="center" vertical="center" wrapText="1"/>
    </xf>
    <xf numFmtId="3" fontId="103" fillId="2" borderId="191" xfId="0" applyNumberFormat="1" applyFont="1" applyFill="1" applyBorder="1" applyAlignment="1">
      <alignment vertical="center"/>
    </xf>
    <xf numFmtId="3" fontId="103" fillId="2" borderId="191" xfId="0" applyNumberFormat="1" applyFont="1" applyFill="1" applyBorder="1" applyAlignment="1"/>
    <xf numFmtId="43" fontId="103" fillId="2" borderId="191" xfId="1" applyFont="1" applyFill="1" applyBorder="1" applyAlignment="1">
      <alignment vertical="center"/>
    </xf>
    <xf numFmtId="43" fontId="103" fillId="2" borderId="204" xfId="1" applyFont="1" applyFill="1" applyBorder="1" applyAlignment="1">
      <alignment vertical="center"/>
    </xf>
    <xf numFmtId="3" fontId="103" fillId="24" borderId="190" xfId="0" applyNumberFormat="1" applyFont="1" applyFill="1" applyBorder="1" applyAlignment="1"/>
    <xf numFmtId="0" fontId="101" fillId="0" borderId="193" xfId="0" applyFont="1" applyFill="1" applyBorder="1" applyAlignment="1">
      <alignment vertical="top" wrapText="1"/>
    </xf>
    <xf numFmtId="0" fontId="99" fillId="2" borderId="160" xfId="0" applyFont="1" applyFill="1" applyBorder="1" applyAlignment="1">
      <alignment horizontal="center" vertical="center" wrapText="1"/>
    </xf>
    <xf numFmtId="3" fontId="100" fillId="0" borderId="191" xfId="0" applyNumberFormat="1" applyFont="1" applyFill="1" applyBorder="1" applyAlignment="1">
      <alignment vertical="top"/>
    </xf>
    <xf numFmtId="3" fontId="100" fillId="2" borderId="196" xfId="0" applyNumberFormat="1" applyFont="1" applyFill="1" applyBorder="1" applyAlignment="1">
      <alignment vertical="center"/>
    </xf>
    <xf numFmtId="0" fontId="105" fillId="0" borderId="150" xfId="0" applyFont="1" applyBorder="1" applyAlignment="1">
      <alignment vertical="center"/>
    </xf>
    <xf numFmtId="0" fontId="105" fillId="0" borderId="191" xfId="0" applyFont="1" applyBorder="1" applyAlignment="1">
      <alignment vertical="center"/>
    </xf>
    <xf numFmtId="3" fontId="100" fillId="0" borderId="191" xfId="0" applyNumberFormat="1" applyFont="1" applyFill="1" applyBorder="1" applyAlignment="1">
      <alignment vertical="center"/>
    </xf>
    <xf numFmtId="3" fontId="100" fillId="2" borderId="191" xfId="0" applyNumberFormat="1" applyFont="1" applyFill="1" applyBorder="1" applyAlignment="1">
      <alignment vertical="center"/>
    </xf>
    <xf numFmtId="43" fontId="100" fillId="0" borderId="191" xfId="1" applyFont="1" applyFill="1" applyBorder="1" applyAlignment="1">
      <alignment vertical="center"/>
    </xf>
    <xf numFmtId="43" fontId="100" fillId="0" borderId="204" xfId="1" applyFont="1" applyFill="1" applyBorder="1" applyAlignment="1">
      <alignment vertical="center"/>
    </xf>
    <xf numFmtId="3" fontId="100" fillId="24" borderId="190" xfId="0" applyNumberFormat="1" applyFont="1" applyFill="1" applyBorder="1" applyAlignment="1"/>
    <xf numFmtId="0" fontId="126" fillId="2" borderId="184" xfId="0" quotePrefix="1" applyFont="1" applyFill="1" applyBorder="1" applyAlignment="1">
      <alignment horizontal="center" vertical="center" wrapText="1"/>
    </xf>
    <xf numFmtId="0" fontId="101" fillId="0" borderId="187" xfId="0" applyFont="1" applyFill="1" applyBorder="1" applyAlignment="1">
      <alignment vertical="center"/>
    </xf>
    <xf numFmtId="0" fontId="99" fillId="2" borderId="167" xfId="0" applyFont="1" applyFill="1" applyBorder="1" applyAlignment="1">
      <alignment horizontal="center" vertical="center" wrapText="1"/>
    </xf>
    <xf numFmtId="3" fontId="100" fillId="2" borderId="199" xfId="0" applyNumberFormat="1" applyFont="1" applyFill="1" applyBorder="1" applyAlignment="1">
      <alignment vertical="center"/>
    </xf>
    <xf numFmtId="0" fontId="105" fillId="0" borderId="151" xfId="0" applyFont="1" applyBorder="1" applyAlignment="1">
      <alignment vertical="center"/>
    </xf>
    <xf numFmtId="0" fontId="105" fillId="0" borderId="168" xfId="0" applyFont="1" applyBorder="1" applyAlignment="1">
      <alignment vertical="center"/>
    </xf>
    <xf numFmtId="3" fontId="100" fillId="0" borderId="168" xfId="0" applyNumberFormat="1" applyFont="1" applyFill="1" applyBorder="1" applyAlignment="1">
      <alignment vertical="center"/>
    </xf>
    <xf numFmtId="3" fontId="100" fillId="0" borderId="199" xfId="0" applyNumberFormat="1" applyFont="1" applyFill="1" applyBorder="1" applyAlignment="1">
      <alignment vertical="center"/>
    </xf>
    <xf numFmtId="43" fontId="100" fillId="0" borderId="199" xfId="1" applyFont="1" applyFill="1" applyBorder="1" applyAlignment="1">
      <alignment vertical="center"/>
    </xf>
    <xf numFmtId="43" fontId="100" fillId="0" borderId="211" xfId="1" applyFont="1" applyFill="1" applyBorder="1" applyAlignment="1">
      <alignment vertical="center"/>
    </xf>
    <xf numFmtId="3" fontId="100" fillId="26" borderId="189" xfId="0" applyNumberFormat="1" applyFont="1" applyFill="1" applyBorder="1" applyAlignment="1">
      <alignment horizontal="center" vertical="top"/>
    </xf>
    <xf numFmtId="49" fontId="104" fillId="0" borderId="184" xfId="3" applyNumberFormat="1" applyFont="1" applyBorder="1" applyAlignment="1">
      <alignment horizontal="center" vertical="center" wrapText="1"/>
    </xf>
    <xf numFmtId="0" fontId="41" fillId="2" borderId="156" xfId="0" applyFont="1" applyFill="1" applyBorder="1" applyAlignment="1">
      <alignment horizontal="left" vertical="center" wrapText="1"/>
    </xf>
    <xf numFmtId="0" fontId="41" fillId="2" borderId="156" xfId="0" applyFont="1" applyFill="1" applyBorder="1" applyAlignment="1">
      <alignment horizontal="left" vertical="center" wrapText="1"/>
    </xf>
    <xf numFmtId="0" fontId="0" fillId="0" borderId="156" xfId="0" applyFont="1" applyBorder="1" applyAlignment="1">
      <alignment horizontal="center" wrapText="1"/>
    </xf>
    <xf numFmtId="0" fontId="41" fillId="2" borderId="150" xfId="0" applyFont="1" applyFill="1" applyBorder="1" applyAlignment="1">
      <alignment horizontal="left" vertical="center" wrapText="1"/>
    </xf>
    <xf numFmtId="0" fontId="48" fillId="0" borderId="150" xfId="0" applyFont="1" applyBorder="1" applyAlignment="1">
      <alignment vertical="top"/>
    </xf>
    <xf numFmtId="0" fontId="52" fillId="0" borderId="150" xfId="0" applyFont="1" applyFill="1" applyBorder="1" applyAlignment="1">
      <alignment vertical="top"/>
    </xf>
    <xf numFmtId="0" fontId="0" fillId="0" borderId="150" xfId="0" applyFont="1" applyBorder="1" applyAlignment="1">
      <alignment horizontal="center" vertical="top" wrapText="1"/>
    </xf>
    <xf numFmtId="0" fontId="89" fillId="0" borderId="150" xfId="0" applyFont="1" applyFill="1" applyBorder="1" applyAlignment="1">
      <alignment vertical="top"/>
    </xf>
    <xf numFmtId="3" fontId="89" fillId="0" borderId="150" xfId="0" applyNumberFormat="1" applyFont="1" applyFill="1" applyBorder="1" applyAlignment="1">
      <alignment vertical="top"/>
    </xf>
    <xf numFmtId="0" fontId="68" fillId="0" borderId="150" xfId="0" applyFont="1" applyFill="1" applyBorder="1" applyAlignment="1">
      <alignment vertical="top"/>
    </xf>
    <xf numFmtId="3" fontId="50" fillId="0" borderId="150" xfId="0" applyNumberFormat="1" applyFont="1" applyBorder="1" applyAlignment="1">
      <alignment vertical="top"/>
    </xf>
    <xf numFmtId="0" fontId="0" fillId="0" borderId="191" xfId="0" applyFont="1" applyBorder="1" applyAlignment="1">
      <alignment horizontal="center" vertical="top"/>
    </xf>
    <xf numFmtId="0" fontId="65" fillId="0" borderId="150" xfId="0" applyFont="1" applyBorder="1" applyAlignment="1">
      <alignment horizontal="center" vertical="top"/>
    </xf>
    <xf numFmtId="3" fontId="65" fillId="0" borderId="150" xfId="0" applyNumberFormat="1" applyFont="1" applyBorder="1" applyAlignment="1">
      <alignment horizontal="center" vertical="top"/>
    </xf>
    <xf numFmtId="3" fontId="65" fillId="0" borderId="191" xfId="0" applyNumberFormat="1" applyFont="1" applyBorder="1" applyAlignment="1">
      <alignment vertical="top"/>
    </xf>
    <xf numFmtId="0" fontId="45" fillId="0" borderId="150" xfId="0" applyFont="1" applyFill="1" applyBorder="1" applyAlignment="1">
      <alignment vertical="top"/>
    </xf>
    <xf numFmtId="0" fontId="47" fillId="0" borderId="150" xfId="0" applyFont="1" applyBorder="1" applyAlignment="1">
      <alignment horizontal="center" vertical="top"/>
    </xf>
    <xf numFmtId="0" fontId="0" fillId="0" borderId="150" xfId="0" applyFont="1" applyFill="1" applyBorder="1" applyAlignment="1">
      <alignment horizontal="center" vertical="top" wrapText="1"/>
    </xf>
    <xf numFmtId="0" fontId="47" fillId="0" borderId="217" xfId="0" applyFont="1" applyBorder="1" applyAlignment="1">
      <alignment vertical="top"/>
    </xf>
    <xf numFmtId="0" fontId="48" fillId="0" borderId="156" xfId="0" applyFont="1" applyBorder="1" applyAlignment="1">
      <alignment vertical="top" wrapText="1"/>
    </xf>
    <xf numFmtId="0" fontId="0" fillId="0" borderId="156" xfId="0" applyFont="1" applyBorder="1" applyAlignment="1">
      <alignment vertical="top"/>
    </xf>
    <xf numFmtId="0" fontId="0" fillId="0" borderId="158" xfId="0" applyFont="1" applyBorder="1" applyAlignment="1">
      <alignment horizontal="center" vertical="top" wrapText="1"/>
    </xf>
    <xf numFmtId="0" fontId="47" fillId="0" borderId="208" xfId="0" applyFont="1" applyBorder="1" applyAlignment="1">
      <alignment vertical="top"/>
    </xf>
    <xf numFmtId="0" fontId="0" fillId="0" borderId="166" xfId="0" applyFont="1" applyBorder="1" applyAlignment="1">
      <alignment horizontal="center" vertical="top" wrapText="1"/>
    </xf>
    <xf numFmtId="0" fontId="47" fillId="0" borderId="210" xfId="0" applyFont="1" applyBorder="1" applyAlignment="1">
      <alignment vertical="top"/>
    </xf>
    <xf numFmtId="0" fontId="0" fillId="0" borderId="151" xfId="0" applyFont="1" applyBorder="1" applyAlignment="1">
      <alignment vertical="top"/>
    </xf>
    <xf numFmtId="0" fontId="0" fillId="0" borderId="170" xfId="0" applyFont="1" applyBorder="1" applyAlignment="1">
      <alignment horizontal="center" vertical="top" wrapText="1"/>
    </xf>
    <xf numFmtId="0" fontId="0" fillId="0" borderId="208" xfId="0" applyFont="1" applyBorder="1" applyAlignment="1">
      <alignment vertical="top"/>
    </xf>
    <xf numFmtId="0" fontId="0" fillId="0" borderId="159" xfId="0" applyFont="1" applyBorder="1" applyAlignment="1">
      <alignment vertical="top"/>
    </xf>
    <xf numFmtId="0" fontId="45" fillId="0" borderId="218" xfId="0" applyFont="1" applyBorder="1" applyAlignment="1">
      <alignment vertical="top"/>
    </xf>
    <xf numFmtId="0" fontId="46" fillId="0" borderId="218" xfId="0" applyFont="1" applyBorder="1" applyAlignment="1">
      <alignment vertical="top"/>
    </xf>
    <xf numFmtId="0" fontId="56" fillId="0" borderId="218" xfId="0" applyFont="1" applyFill="1" applyBorder="1" applyAlignment="1"/>
    <xf numFmtId="0" fontId="39" fillId="0" borderId="218" xfId="0" applyFont="1" applyFill="1" applyBorder="1" applyAlignment="1"/>
    <xf numFmtId="0" fontId="42" fillId="2" borderId="218" xfId="3" applyFont="1" applyFill="1" applyBorder="1" applyAlignment="1">
      <alignment horizontal="right" vertical="center"/>
    </xf>
    <xf numFmtId="0" fontId="43" fillId="2" borderId="218" xfId="0" applyFont="1" applyFill="1" applyBorder="1" applyAlignment="1">
      <alignment horizontal="right" vertical="center"/>
    </xf>
    <xf numFmtId="0" fontId="41" fillId="0" borderId="218" xfId="0" applyFont="1" applyFill="1" applyBorder="1" applyAlignment="1">
      <alignment horizontal="left"/>
    </xf>
    <xf numFmtId="0" fontId="56" fillId="0" borderId="218" xfId="0" applyFont="1" applyFill="1" applyBorder="1" applyAlignment="1">
      <alignment horizontal="left"/>
    </xf>
    <xf numFmtId="0" fontId="44" fillId="2" borderId="219" xfId="0" applyFont="1" applyFill="1" applyBorder="1" applyAlignment="1">
      <alignment horizontal="left" vertical="center" wrapText="1"/>
    </xf>
    <xf numFmtId="0" fontId="48" fillId="2" borderId="220" xfId="0" applyFont="1" applyFill="1" applyBorder="1" applyAlignment="1">
      <alignment horizontal="center" vertical="top"/>
    </xf>
    <xf numFmtId="0" fontId="48" fillId="0" borderId="220" xfId="0" applyFont="1" applyBorder="1" applyAlignment="1">
      <alignment horizontal="center" vertical="center" wrapText="1"/>
    </xf>
    <xf numFmtId="0" fontId="46" fillId="0" borderId="221" xfId="4" applyFont="1" applyBorder="1" applyAlignment="1">
      <alignment horizontal="center" vertical="center" wrapText="1"/>
    </xf>
    <xf numFmtId="0" fontId="46" fillId="0" borderId="222" xfId="4" applyFont="1" applyBorder="1" applyAlignment="1">
      <alignment horizontal="center" vertical="center" wrapText="1"/>
    </xf>
    <xf numFmtId="0" fontId="47" fillId="2" borderId="223" xfId="0" applyFont="1" applyFill="1" applyBorder="1" applyAlignment="1">
      <alignment horizontal="center" vertical="center" wrapText="1"/>
    </xf>
    <xf numFmtId="0" fontId="47" fillId="2" borderId="224" xfId="0" applyFont="1" applyFill="1" applyBorder="1" applyAlignment="1">
      <alignment horizontal="center" vertical="center" wrapText="1"/>
    </xf>
    <xf numFmtId="0" fontId="47" fillId="2" borderId="225" xfId="0" applyFont="1" applyFill="1" applyBorder="1" applyAlignment="1">
      <alignment horizontal="center" vertical="center" wrapText="1"/>
    </xf>
    <xf numFmtId="0" fontId="52" fillId="2" borderId="223" xfId="0" applyFont="1" applyFill="1" applyBorder="1" applyAlignment="1">
      <alignment horizontal="center" vertical="center" wrapText="1"/>
    </xf>
    <xf numFmtId="0" fontId="47" fillId="2" borderId="224" xfId="0" applyFont="1" applyFill="1" applyBorder="1" applyAlignment="1">
      <alignment vertical="center" wrapText="1"/>
    </xf>
    <xf numFmtId="0" fontId="53" fillId="2" borderId="222" xfId="0" applyFont="1" applyFill="1" applyBorder="1" applyAlignment="1">
      <alignment horizontal="center" vertical="center" wrapText="1"/>
    </xf>
    <xf numFmtId="0" fontId="53" fillId="0" borderId="223" xfId="4" applyFont="1" applyBorder="1" applyAlignment="1">
      <alignment horizontal="center" vertical="center" wrapText="1"/>
    </xf>
    <xf numFmtId="0" fontId="53" fillId="0" borderId="224" xfId="4" applyFont="1" applyBorder="1" applyAlignment="1">
      <alignment horizontal="center" vertical="center" wrapText="1"/>
    </xf>
    <xf numFmtId="0" fontId="53" fillId="0" borderId="225" xfId="4" applyFont="1" applyBorder="1" applyAlignment="1">
      <alignment horizontal="center" vertical="center" wrapText="1"/>
    </xf>
    <xf numFmtId="0" fontId="48" fillId="19" borderId="222" xfId="4" applyFont="1" applyFill="1" applyBorder="1" applyAlignment="1">
      <alignment horizontal="center" vertical="center" wrapText="1"/>
    </xf>
    <xf numFmtId="0" fontId="45" fillId="0" borderId="226" xfId="4" applyFont="1" applyBorder="1" applyAlignment="1">
      <alignment horizontal="center" vertical="center" wrapText="1"/>
    </xf>
    <xf numFmtId="0" fontId="0" fillId="0" borderId="218" xfId="0" applyFont="1" applyBorder="1"/>
    <xf numFmtId="0" fontId="48" fillId="2" borderId="227" xfId="0" applyFont="1" applyFill="1" applyBorder="1" applyAlignment="1">
      <alignment horizontal="center" vertical="top"/>
    </xf>
    <xf numFmtId="0" fontId="48" fillId="0" borderId="227" xfId="0" applyFont="1" applyBorder="1" applyAlignment="1">
      <alignment horizontal="center" vertical="center" wrapText="1"/>
    </xf>
    <xf numFmtId="0" fontId="46" fillId="0" borderId="228" xfId="4" applyFont="1" applyBorder="1" applyAlignment="1">
      <alignment horizontal="center" vertical="center" wrapText="1"/>
    </xf>
    <xf numFmtId="0" fontId="46" fillId="0" borderId="229" xfId="4" applyFont="1" applyBorder="1" applyAlignment="1">
      <alignment horizontal="center" vertical="center" wrapText="1"/>
    </xf>
    <xf numFmtId="0" fontId="47" fillId="2" borderId="230" xfId="0" applyFont="1" applyFill="1" applyBorder="1" applyAlignment="1">
      <alignment horizontal="center" vertical="center" wrapText="1"/>
    </xf>
    <xf numFmtId="0" fontId="47" fillId="2" borderId="231" xfId="0" applyFont="1" applyFill="1" applyBorder="1" applyAlignment="1">
      <alignment horizontal="center" vertical="center" wrapText="1"/>
    </xf>
    <xf numFmtId="0" fontId="47" fillId="2" borderId="232" xfId="0" applyFont="1" applyFill="1" applyBorder="1" applyAlignment="1">
      <alignment horizontal="center" vertical="center" wrapText="1"/>
    </xf>
    <xf numFmtId="0" fontId="52" fillId="2" borderId="230" xfId="0" applyFont="1" applyFill="1" applyBorder="1" applyAlignment="1">
      <alignment horizontal="center" vertical="center" wrapText="1"/>
    </xf>
    <xf numFmtId="0" fontId="47" fillId="2" borderId="231" xfId="0" applyFont="1" applyFill="1" applyBorder="1" applyAlignment="1">
      <alignment vertical="center" wrapText="1"/>
    </xf>
    <xf numFmtId="0" fontId="53" fillId="2" borderId="233" xfId="0" applyFont="1" applyFill="1" applyBorder="1" applyAlignment="1">
      <alignment horizontal="center" vertical="center" wrapText="1"/>
    </xf>
    <xf numFmtId="0" fontId="53" fillId="0" borderId="230" xfId="4" applyFont="1" applyBorder="1" applyAlignment="1">
      <alignment horizontal="center" vertical="center" wrapText="1"/>
    </xf>
    <xf numFmtId="0" fontId="53" fillId="0" borderId="231" xfId="4" applyFont="1" applyBorder="1" applyAlignment="1">
      <alignment horizontal="center" vertical="center" wrapText="1"/>
    </xf>
    <xf numFmtId="0" fontId="53" fillId="0" borderId="232" xfId="4" applyFont="1" applyBorder="1" applyAlignment="1">
      <alignment horizontal="center" vertical="center" wrapText="1"/>
    </xf>
    <xf numFmtId="0" fontId="0" fillId="19" borderId="229" xfId="0" applyFont="1" applyFill="1" applyBorder="1" applyAlignment="1">
      <alignment horizontal="center" vertical="center" wrapText="1"/>
    </xf>
    <xf numFmtId="0" fontId="45" fillId="0" borderId="234" xfId="4" applyFont="1" applyBorder="1" applyAlignment="1">
      <alignment horizontal="center" vertical="center" wrapText="1"/>
    </xf>
    <xf numFmtId="0" fontId="48" fillId="0" borderId="235" xfId="0" applyFont="1" applyBorder="1" applyAlignment="1">
      <alignment horizontal="center" vertical="center" wrapText="1"/>
    </xf>
    <xf numFmtId="0" fontId="46" fillId="0" borderId="236" xfId="4" applyFont="1" applyBorder="1" applyAlignment="1">
      <alignment horizontal="center" vertical="center" wrapText="1"/>
    </xf>
    <xf numFmtId="0" fontId="46" fillId="0" borderId="237" xfId="4" applyFont="1" applyBorder="1" applyAlignment="1">
      <alignment horizontal="center" vertical="center" wrapText="1"/>
    </xf>
    <xf numFmtId="0" fontId="51" fillId="0" borderId="237" xfId="0" applyFont="1" applyBorder="1" applyAlignment="1">
      <alignment horizontal="center" vertical="center" wrapText="1"/>
    </xf>
    <xf numFmtId="0" fontId="52" fillId="0" borderId="237" xfId="0" applyFont="1" applyBorder="1" applyAlignment="1">
      <alignment horizontal="center" vertical="center"/>
    </xf>
    <xf numFmtId="0" fontId="53" fillId="0" borderId="237" xfId="4" applyFont="1" applyBorder="1" applyAlignment="1">
      <alignment horizontal="center" vertical="center" wrapText="1"/>
    </xf>
    <xf numFmtId="0" fontId="53" fillId="33" borderId="237" xfId="4" applyFont="1" applyFill="1" applyBorder="1" applyAlignment="1">
      <alignment horizontal="center" vertical="center" wrapText="1"/>
    </xf>
    <xf numFmtId="0" fontId="51" fillId="0" borderId="237" xfId="6" applyFont="1" applyBorder="1" applyAlignment="1">
      <alignment horizontal="center" vertical="center"/>
    </xf>
    <xf numFmtId="0" fontId="0" fillId="19" borderId="237" xfId="0" applyFont="1" applyFill="1" applyBorder="1" applyAlignment="1">
      <alignment horizontal="center" vertical="center" wrapText="1"/>
    </xf>
    <xf numFmtId="0" fontId="45" fillId="0" borderId="238" xfId="4" applyFont="1" applyBorder="1" applyAlignment="1">
      <alignment horizontal="center" vertical="center" wrapText="1"/>
    </xf>
    <xf numFmtId="0" fontId="49" fillId="0" borderId="239" xfId="0" applyFont="1" applyBorder="1" applyAlignment="1">
      <alignment horizontal="center" vertical="top"/>
    </xf>
    <xf numFmtId="0" fontId="49" fillId="0" borderId="240" xfId="0" applyFont="1" applyBorder="1" applyAlignment="1">
      <alignment horizontal="center" vertical="top"/>
    </xf>
    <xf numFmtId="0" fontId="49" fillId="0" borderId="240" xfId="0" quotePrefix="1" applyFont="1" applyBorder="1" applyAlignment="1">
      <alignment horizontal="center" vertical="top"/>
    </xf>
    <xf numFmtId="0" fontId="49" fillId="2" borderId="240" xfId="0" applyFont="1" applyFill="1" applyBorder="1" applyAlignment="1">
      <alignment horizontal="center" vertical="top"/>
    </xf>
    <xf numFmtId="0" fontId="49" fillId="2" borderId="240" xfId="0" quotePrefix="1" applyFont="1" applyFill="1" applyBorder="1" applyAlignment="1">
      <alignment horizontal="center" vertical="top"/>
    </xf>
    <xf numFmtId="0" fontId="46" fillId="2" borderId="240" xfId="0" quotePrefix="1" applyFont="1" applyFill="1" applyBorder="1" applyAlignment="1">
      <alignment horizontal="center" vertical="top"/>
    </xf>
    <xf numFmtId="0" fontId="50" fillId="0" borderId="241" xfId="6" applyFont="1" applyBorder="1" applyAlignment="1">
      <alignment horizontal="center" vertical="center"/>
    </xf>
    <xf numFmtId="0" fontId="50" fillId="0" borderId="242" xfId="6" applyFont="1" applyBorder="1" applyAlignment="1">
      <alignment horizontal="center" vertical="center"/>
    </xf>
    <xf numFmtId="0" fontId="50" fillId="19" borderId="242" xfId="0" applyFont="1" applyFill="1" applyBorder="1" applyAlignment="1">
      <alignment horizontal="center" vertical="center" wrapText="1"/>
    </xf>
    <xf numFmtId="0" fontId="49" fillId="0" borderId="243" xfId="4" applyFont="1" applyBorder="1" applyAlignment="1">
      <alignment horizontal="center" vertical="center" wrapText="1"/>
    </xf>
    <xf numFmtId="0" fontId="45" fillId="8" borderId="227" xfId="0" applyFont="1" applyFill="1" applyBorder="1" applyAlignment="1">
      <alignment vertical="center"/>
    </xf>
    <xf numFmtId="0" fontId="55" fillId="57" borderId="244" xfId="4" applyFont="1" applyFill="1" applyBorder="1" applyAlignment="1">
      <alignment horizontal="left" vertical="center"/>
    </xf>
    <xf numFmtId="0" fontId="55" fillId="57" borderId="245" xfId="4" applyFont="1" applyFill="1" applyBorder="1" applyAlignment="1">
      <alignment horizontal="left" vertical="center"/>
    </xf>
    <xf numFmtId="3" fontId="55" fillId="57" borderId="232" xfId="4" applyNumberFormat="1" applyFont="1" applyFill="1" applyBorder="1" applyAlignment="1">
      <alignment horizontal="right" vertical="center"/>
    </xf>
    <xf numFmtId="3" fontId="55" fillId="22" borderId="246" xfId="4" applyNumberFormat="1" applyFont="1" applyFill="1" applyBorder="1" applyAlignment="1">
      <alignment horizontal="right" vertical="center"/>
    </xf>
    <xf numFmtId="3" fontId="32" fillId="29" borderId="234" xfId="0" applyNumberFormat="1" applyFont="1" applyFill="1" applyBorder="1" applyAlignment="1">
      <alignment horizontal="center" vertical="top" wrapText="1"/>
    </xf>
    <xf numFmtId="0" fontId="55" fillId="57" borderId="234" xfId="4" applyFont="1" applyFill="1" applyBorder="1" applyAlignment="1">
      <alignment horizontal="left" vertical="center"/>
    </xf>
    <xf numFmtId="0" fontId="55" fillId="57" borderId="228" xfId="4" applyFont="1" applyFill="1" applyBorder="1" applyAlignment="1">
      <alignment horizontal="left" vertical="center"/>
    </xf>
    <xf numFmtId="3" fontId="55" fillId="57" borderId="247" xfId="4" applyNumberFormat="1" applyFont="1" applyFill="1" applyBorder="1" applyAlignment="1">
      <alignment horizontal="right" vertical="center"/>
    </xf>
    <xf numFmtId="3" fontId="55" fillId="22" borderId="229" xfId="4" applyNumberFormat="1" applyFont="1" applyFill="1" applyBorder="1" applyAlignment="1">
      <alignment horizontal="right" vertical="center"/>
    </xf>
    <xf numFmtId="0" fontId="55" fillId="57" borderId="248" xfId="0" applyFont="1" applyFill="1" applyBorder="1" applyAlignment="1">
      <alignment horizontal="left" vertical="top"/>
    </xf>
    <xf numFmtId="0" fontId="52" fillId="29" borderId="227" xfId="0" applyFont="1" applyFill="1" applyBorder="1" applyAlignment="1">
      <alignment vertical="top"/>
    </xf>
    <xf numFmtId="0" fontId="52" fillId="6" borderId="249" xfId="4" applyFont="1" applyFill="1" applyBorder="1" applyAlignment="1">
      <alignment horizontal="left" vertical="center"/>
    </xf>
    <xf numFmtId="0" fontId="52" fillId="6" borderId="250" xfId="4" applyFont="1" applyFill="1" applyBorder="1" applyAlignment="1">
      <alignment horizontal="left" vertical="center"/>
    </xf>
    <xf numFmtId="3" fontId="52" fillId="30" borderId="246" xfId="0" applyNumberFormat="1" applyFont="1" applyFill="1" applyBorder="1" applyAlignment="1">
      <alignment vertical="center"/>
    </xf>
    <xf numFmtId="3" fontId="52" fillId="23" borderId="246" xfId="0" applyNumberFormat="1" applyFont="1" applyFill="1" applyBorder="1" applyAlignment="1">
      <alignment vertical="center"/>
    </xf>
    <xf numFmtId="0" fontId="57" fillId="8" borderId="244" xfId="4" applyFont="1" applyFill="1" applyBorder="1" applyAlignment="1">
      <alignment vertical="center"/>
    </xf>
    <xf numFmtId="0" fontId="32" fillId="8" borderId="251" xfId="0" applyFont="1" applyFill="1" applyBorder="1" applyAlignment="1">
      <alignment vertical="center" wrapText="1"/>
    </xf>
    <xf numFmtId="3" fontId="57" fillId="8" borderId="252" xfId="0" applyNumberFormat="1" applyFont="1" applyFill="1" applyBorder="1" applyAlignment="1">
      <alignment vertical="center"/>
    </xf>
    <xf numFmtId="3" fontId="57" fillId="24" borderId="252" xfId="0" applyNumberFormat="1" applyFont="1" applyFill="1" applyBorder="1" applyAlignment="1">
      <alignment vertical="center"/>
    </xf>
    <xf numFmtId="3" fontId="46" fillId="8" borderId="234" xfId="0" applyNumberFormat="1" applyFont="1" applyFill="1" applyBorder="1" applyAlignment="1">
      <alignment horizontal="center" vertical="center" wrapText="1"/>
    </xf>
    <xf numFmtId="0" fontId="45" fillId="29" borderId="227" xfId="0" applyFont="1" applyFill="1" applyBorder="1" applyAlignment="1">
      <alignment vertical="top"/>
    </xf>
    <xf numFmtId="0" fontId="32" fillId="8" borderId="244" xfId="4" applyFont="1" applyFill="1" applyBorder="1" applyAlignment="1">
      <alignment vertical="center"/>
    </xf>
    <xf numFmtId="3" fontId="32" fillId="29" borderId="231" xfId="0" applyNumberFormat="1" applyFont="1" applyFill="1" applyBorder="1" applyAlignment="1">
      <alignment vertical="center" wrapText="1"/>
    </xf>
    <xf numFmtId="3" fontId="32" fillId="29" borderId="252" xfId="0" applyNumberFormat="1" applyFont="1" applyFill="1" applyBorder="1" applyAlignment="1">
      <alignment vertical="center"/>
    </xf>
    <xf numFmtId="3" fontId="32" fillId="24" borderId="252" xfId="0" applyNumberFormat="1" applyFont="1" applyFill="1" applyBorder="1" applyAlignment="1">
      <alignment vertical="center"/>
    </xf>
    <xf numFmtId="0" fontId="57" fillId="8" borderId="253" xfId="4" applyFont="1" applyFill="1" applyBorder="1" applyAlignment="1">
      <alignment vertical="center"/>
    </xf>
    <xf numFmtId="0" fontId="52" fillId="8" borderId="251" xfId="0" applyFont="1" applyFill="1" applyBorder="1" applyAlignment="1">
      <alignment vertical="center"/>
    </xf>
    <xf numFmtId="3" fontId="57" fillId="8" borderId="232" xfId="0" applyNumberFormat="1" applyFont="1" applyFill="1" applyBorder="1" applyAlignment="1">
      <alignment vertical="center"/>
    </xf>
    <xf numFmtId="0" fontId="45" fillId="8" borderId="227" xfId="0" applyFont="1" applyFill="1" applyBorder="1" applyAlignment="1">
      <alignment vertical="top"/>
    </xf>
    <xf numFmtId="0" fontId="32" fillId="8" borderId="254" xfId="0" applyFont="1" applyFill="1" applyBorder="1" applyAlignment="1">
      <alignment vertical="top" wrapText="1"/>
    </xf>
    <xf numFmtId="3" fontId="32" fillId="8" borderId="255" xfId="0" applyNumberFormat="1" applyFont="1" applyFill="1" applyBorder="1" applyAlignment="1">
      <alignment vertical="top" wrapText="1"/>
    </xf>
    <xf numFmtId="3" fontId="32" fillId="24" borderId="256" xfId="0" applyNumberFormat="1" applyFont="1" applyFill="1" applyBorder="1" applyAlignment="1">
      <alignment vertical="top"/>
    </xf>
    <xf numFmtId="3" fontId="46" fillId="8" borderId="234" xfId="0" applyNumberFormat="1" applyFont="1" applyFill="1" applyBorder="1" applyAlignment="1">
      <alignment horizontal="center" vertical="top" wrapText="1"/>
    </xf>
    <xf numFmtId="0" fontId="52" fillId="6" borderId="253" xfId="4" applyFont="1" applyFill="1" applyBorder="1" applyAlignment="1">
      <alignment horizontal="left" vertical="center"/>
    </xf>
    <xf numFmtId="0" fontId="32" fillId="6" borderId="251" xfId="0" applyFont="1" applyFill="1" applyBorder="1" applyAlignment="1">
      <alignment vertical="center" wrapText="1"/>
    </xf>
    <xf numFmtId="3" fontId="52" fillId="6" borderId="233" xfId="0" applyNumberFormat="1" applyFont="1" applyFill="1" applyBorder="1" applyAlignment="1">
      <alignment vertical="center"/>
    </xf>
    <xf numFmtId="3" fontId="52" fillId="6" borderId="252" xfId="0" applyNumberFormat="1" applyFont="1" applyFill="1" applyBorder="1" applyAlignment="1">
      <alignment vertical="center"/>
    </xf>
    <xf numFmtId="3" fontId="52" fillId="23" borderId="256" xfId="0" applyNumberFormat="1" applyFont="1" applyFill="1" applyBorder="1" applyAlignment="1">
      <alignment horizontal="center" vertical="center"/>
    </xf>
    <xf numFmtId="3" fontId="32" fillId="29" borderId="234" xfId="0" applyNumberFormat="1" applyFont="1" applyFill="1" applyBorder="1" applyAlignment="1">
      <alignment horizontal="center" vertical="center" wrapText="1"/>
    </xf>
    <xf numFmtId="0" fontId="46" fillId="0" borderId="218" xfId="0" applyFont="1" applyBorder="1" applyAlignment="1">
      <alignment vertical="center"/>
    </xf>
    <xf numFmtId="3" fontId="52" fillId="23" borderId="229" xfId="0" applyNumberFormat="1" applyFont="1" applyFill="1" applyBorder="1" applyAlignment="1">
      <alignment horizontal="center" vertical="center"/>
    </xf>
    <xf numFmtId="0" fontId="45" fillId="8" borderId="235" xfId="0" applyFont="1" applyFill="1" applyBorder="1" applyAlignment="1">
      <alignment vertical="center"/>
    </xf>
    <xf numFmtId="0" fontId="32" fillId="8" borderId="254" xfId="0" applyFont="1" applyFill="1" applyBorder="1" applyAlignment="1">
      <alignment vertical="center" wrapText="1"/>
    </xf>
    <xf numFmtId="0" fontId="32" fillId="8" borderId="239" xfId="0" applyFont="1" applyFill="1" applyBorder="1" applyAlignment="1">
      <alignment vertical="center" wrapText="1"/>
    </xf>
    <xf numFmtId="3" fontId="32" fillId="29" borderId="240" xfId="0" applyNumberFormat="1" applyFont="1" applyFill="1" applyBorder="1" applyAlignment="1">
      <alignment vertical="center"/>
    </xf>
    <xf numFmtId="3" fontId="52" fillId="23" borderId="237" xfId="0" applyNumberFormat="1" applyFont="1" applyFill="1" applyBorder="1" applyAlignment="1">
      <alignment horizontal="center" vertical="center"/>
    </xf>
    <xf numFmtId="3" fontId="46" fillId="8" borderId="238" xfId="0" applyNumberFormat="1" applyFont="1" applyFill="1" applyBorder="1" applyAlignment="1">
      <alignment horizontal="center" vertical="center" wrapText="1"/>
    </xf>
    <xf numFmtId="3" fontId="46" fillId="0" borderId="218" xfId="0" applyNumberFormat="1" applyFont="1" applyBorder="1" applyAlignment="1">
      <alignment vertical="center"/>
    </xf>
    <xf numFmtId="0" fontId="45" fillId="0" borderId="220" xfId="0" applyFont="1" applyFill="1" applyBorder="1" applyAlignment="1">
      <alignment horizontal="center" vertical="center"/>
    </xf>
    <xf numFmtId="0" fontId="53" fillId="8" borderId="220" xfId="0" applyFont="1" applyFill="1" applyBorder="1" applyAlignment="1">
      <alignment vertical="center" wrapText="1"/>
    </xf>
    <xf numFmtId="0" fontId="53" fillId="8" borderId="221" xfId="0" applyFont="1" applyFill="1" applyBorder="1" applyAlignment="1">
      <alignment horizontal="center" vertical="center" wrapText="1"/>
    </xf>
    <xf numFmtId="3" fontId="32" fillId="8" borderId="225" xfId="0" applyNumberFormat="1" applyFont="1" applyFill="1" applyBorder="1" applyAlignment="1">
      <alignment vertical="top"/>
    </xf>
    <xf numFmtId="3" fontId="32" fillId="8" borderId="246" xfId="0" applyNumberFormat="1" applyFont="1" applyFill="1" applyBorder="1" applyAlignment="1">
      <alignment vertical="top"/>
    </xf>
    <xf numFmtId="0" fontId="32" fillId="8" borderId="246" xfId="0" applyFont="1" applyFill="1" applyBorder="1" applyAlignment="1">
      <alignment vertical="top"/>
    </xf>
    <xf numFmtId="0" fontId="32" fillId="8" borderId="223" xfId="0" applyFont="1" applyFill="1" applyBorder="1" applyAlignment="1">
      <alignment vertical="top"/>
    </xf>
    <xf numFmtId="0" fontId="32" fillId="24" borderId="222" xfId="0" applyFont="1" applyFill="1" applyBorder="1" applyAlignment="1">
      <alignment vertical="center"/>
    </xf>
    <xf numFmtId="0" fontId="46" fillId="0" borderId="226" xfId="0" applyFont="1" applyFill="1" applyBorder="1" applyAlignment="1">
      <alignment horizontal="center" vertical="center" wrapText="1"/>
    </xf>
    <xf numFmtId="0" fontId="45" fillId="0" borderId="227" xfId="0" applyFont="1" applyFill="1" applyBorder="1" applyAlignment="1">
      <alignment horizontal="center" vertical="center"/>
    </xf>
    <xf numFmtId="0" fontId="53" fillId="6" borderId="253" xfId="4" applyFont="1" applyFill="1" applyBorder="1" applyAlignment="1">
      <alignment horizontal="left" vertical="center"/>
    </xf>
    <xf numFmtId="3" fontId="59" fillId="6" borderId="251" xfId="0" applyNumberFormat="1" applyFont="1" applyFill="1" applyBorder="1" applyAlignment="1">
      <alignment vertical="top"/>
    </xf>
    <xf numFmtId="3" fontId="53" fillId="6" borderId="257" xfId="0" applyNumberFormat="1" applyFont="1" applyFill="1" applyBorder="1" applyAlignment="1">
      <alignment vertical="top"/>
    </xf>
    <xf numFmtId="3" fontId="53" fillId="23" borderId="252" xfId="0" applyNumberFormat="1" applyFont="1" applyFill="1" applyBorder="1" applyAlignment="1">
      <alignment vertical="top"/>
    </xf>
    <xf numFmtId="0" fontId="0" fillId="0" borderId="234" xfId="0" applyFont="1" applyBorder="1" applyAlignment="1">
      <alignment horizontal="center" wrapText="1"/>
    </xf>
    <xf numFmtId="3" fontId="55" fillId="2" borderId="253" xfId="4" applyNumberFormat="1" applyFont="1" applyFill="1" applyBorder="1" applyAlignment="1">
      <alignment vertical="center" wrapText="1"/>
    </xf>
    <xf numFmtId="0" fontId="53" fillId="2" borderId="255" xfId="0" applyFont="1" applyFill="1" applyBorder="1" applyAlignment="1">
      <alignment horizontal="center" vertical="center" wrapText="1"/>
    </xf>
    <xf numFmtId="3" fontId="55" fillId="2" borderId="257" xfId="0" applyNumberFormat="1" applyFont="1" applyFill="1" applyBorder="1" applyAlignment="1">
      <alignment vertical="top"/>
    </xf>
    <xf numFmtId="3" fontId="53" fillId="26" borderId="252" xfId="0" applyNumberFormat="1" applyFont="1" applyFill="1" applyBorder="1" applyAlignment="1">
      <alignment vertical="top"/>
    </xf>
    <xf numFmtId="0" fontId="59" fillId="0" borderId="258" xfId="0" applyFont="1" applyFill="1" applyBorder="1" applyAlignment="1">
      <alignment vertical="top"/>
    </xf>
    <xf numFmtId="0" fontId="51" fillId="0" borderId="228" xfId="0" applyFont="1" applyBorder="1" applyAlignment="1">
      <alignment horizontal="center" vertical="center" wrapText="1"/>
    </xf>
    <xf numFmtId="3" fontId="59" fillId="0" borderId="257" xfId="0" applyNumberFormat="1" applyFont="1" applyFill="1" applyBorder="1" applyAlignment="1">
      <alignment vertical="top"/>
    </xf>
    <xf numFmtId="3" fontId="59" fillId="0" borderId="232" xfId="0" applyNumberFormat="1" applyFont="1" applyFill="1" applyBorder="1" applyAlignment="1">
      <alignment vertical="top"/>
    </xf>
    <xf numFmtId="3" fontId="59" fillId="26" borderId="233" xfId="0" applyNumberFormat="1" applyFont="1" applyFill="1" applyBorder="1" applyAlignment="1">
      <alignment vertical="top"/>
    </xf>
    <xf numFmtId="0" fontId="55" fillId="2" borderId="253" xfId="4" applyFont="1" applyFill="1" applyBorder="1" applyAlignment="1">
      <alignment vertical="top"/>
    </xf>
    <xf numFmtId="3" fontId="55" fillId="0" borderId="257" xfId="0" applyNumberFormat="1" applyFont="1" applyFill="1" applyBorder="1" applyAlignment="1">
      <alignment vertical="top"/>
    </xf>
    <xf numFmtId="0" fontId="59" fillId="0" borderId="254" xfId="0" applyFont="1" applyFill="1" applyBorder="1" applyAlignment="1">
      <alignment horizontal="left" vertical="center" wrapText="1"/>
    </xf>
    <xf numFmtId="0" fontId="51" fillId="0" borderId="245" xfId="0" applyFont="1" applyBorder="1" applyAlignment="1">
      <alignment horizontal="center" vertical="center" wrapText="1"/>
    </xf>
    <xf numFmtId="3" fontId="59" fillId="0" borderId="259" xfId="0" applyNumberFormat="1" applyFont="1" applyFill="1" applyBorder="1" applyAlignment="1">
      <alignment vertical="top"/>
    </xf>
    <xf numFmtId="3" fontId="59" fillId="0" borderId="256" xfId="0" applyNumberFormat="1" applyFont="1" applyFill="1" applyBorder="1" applyAlignment="1">
      <alignment horizontal="right" vertical="center"/>
    </xf>
    <xf numFmtId="3" fontId="59" fillId="0" borderId="229" xfId="0" applyNumberFormat="1" applyFont="1" applyFill="1" applyBorder="1" applyAlignment="1">
      <alignment horizontal="right" vertical="center"/>
    </xf>
    <xf numFmtId="0" fontId="0" fillId="0" borderId="227" xfId="0" applyFont="1" applyBorder="1" applyAlignment="1">
      <alignment horizontal="center" vertical="center"/>
    </xf>
    <xf numFmtId="0" fontId="32" fillId="6" borderId="251" xfId="0" applyFont="1" applyFill="1" applyBorder="1" applyAlignment="1">
      <alignment horizontal="left" vertical="center" wrapText="1"/>
    </xf>
    <xf numFmtId="3" fontId="53" fillId="6" borderId="252" xfId="0" applyNumberFormat="1" applyFont="1" applyFill="1" applyBorder="1" applyAlignment="1">
      <alignment vertical="top"/>
    </xf>
    <xf numFmtId="3" fontId="53" fillId="6" borderId="256" xfId="0" applyNumberFormat="1" applyFont="1" applyFill="1" applyBorder="1" applyAlignment="1">
      <alignment vertical="top"/>
    </xf>
    <xf numFmtId="3" fontId="53" fillId="23" borderId="256" xfId="0" applyNumberFormat="1" applyFont="1" applyFill="1" applyBorder="1" applyAlignment="1">
      <alignment horizontal="center" vertical="center"/>
    </xf>
    <xf numFmtId="3" fontId="55" fillId="2" borderId="260" xfId="4" applyNumberFormat="1" applyFont="1" applyFill="1" applyBorder="1" applyAlignment="1">
      <alignment vertical="center" wrapText="1"/>
    </xf>
    <xf numFmtId="3" fontId="55" fillId="2" borderId="252" xfId="0" applyNumberFormat="1" applyFont="1" applyFill="1" applyBorder="1" applyAlignment="1">
      <alignment vertical="top"/>
    </xf>
    <xf numFmtId="3" fontId="55" fillId="2" borderId="229" xfId="0" applyNumberFormat="1" applyFont="1" applyFill="1" applyBorder="1" applyAlignment="1">
      <alignment vertical="top"/>
    </xf>
    <xf numFmtId="3" fontId="53" fillId="23" borderId="229" xfId="0" applyNumberFormat="1" applyFont="1" applyFill="1" applyBorder="1" applyAlignment="1">
      <alignment horizontal="center" vertical="center"/>
    </xf>
    <xf numFmtId="0" fontId="59" fillId="0" borderId="261" xfId="0" applyFont="1" applyFill="1" applyBorder="1" applyAlignment="1">
      <alignment vertical="top"/>
    </xf>
    <xf numFmtId="3" fontId="59" fillId="0" borderId="252" xfId="0" applyNumberFormat="1" applyFont="1" applyFill="1" applyBorder="1" applyAlignment="1">
      <alignment vertical="top"/>
    </xf>
    <xf numFmtId="3" fontId="59" fillId="0" borderId="229" xfId="0" applyNumberFormat="1" applyFont="1" applyFill="1" applyBorder="1" applyAlignment="1">
      <alignment vertical="top"/>
    </xf>
    <xf numFmtId="0" fontId="55" fillId="2" borderId="262" xfId="4" applyFont="1" applyFill="1" applyBorder="1" applyAlignment="1">
      <alignment vertical="top"/>
    </xf>
    <xf numFmtId="3" fontId="55" fillId="0" borderId="252" xfId="0" applyNumberFormat="1" applyFont="1" applyFill="1" applyBorder="1" applyAlignment="1">
      <alignment vertical="top"/>
    </xf>
    <xf numFmtId="3" fontId="55" fillId="0" borderId="229" xfId="0" applyNumberFormat="1" applyFont="1" applyFill="1" applyBorder="1" applyAlignment="1">
      <alignment vertical="top"/>
    </xf>
    <xf numFmtId="0" fontId="0" fillId="0" borderId="235" xfId="0" applyFont="1" applyBorder="1" applyAlignment="1">
      <alignment horizontal="center" vertical="center"/>
    </xf>
    <xf numFmtId="0" fontId="59" fillId="0" borderId="263" xfId="0" applyFont="1" applyFill="1" applyBorder="1" applyAlignment="1">
      <alignment horizontal="left" vertical="center" wrapText="1"/>
    </xf>
    <xf numFmtId="0" fontId="51" fillId="0" borderId="236" xfId="0" applyFont="1" applyBorder="1" applyAlignment="1">
      <alignment horizontal="center" vertical="center" wrapText="1"/>
    </xf>
    <xf numFmtId="3" fontId="59" fillId="0" borderId="240" xfId="0" applyNumberFormat="1" applyFont="1" applyFill="1" applyBorder="1" applyAlignment="1">
      <alignment vertical="top"/>
    </xf>
    <xf numFmtId="3" fontId="59" fillId="0" borderId="240" xfId="0" applyNumberFormat="1" applyFont="1" applyFill="1" applyBorder="1" applyAlignment="1">
      <alignment horizontal="right" vertical="center"/>
    </xf>
    <xf numFmtId="3" fontId="59" fillId="0" borderId="237" xfId="0" applyNumberFormat="1" applyFont="1" applyFill="1" applyBorder="1" applyAlignment="1">
      <alignment horizontal="right" vertical="center"/>
    </xf>
    <xf numFmtId="3" fontId="53" fillId="23" borderId="237" xfId="0" applyNumberFormat="1" applyFont="1" applyFill="1" applyBorder="1" applyAlignment="1">
      <alignment horizontal="center" vertical="center"/>
    </xf>
    <xf numFmtId="0" fontId="0" fillId="0" borderId="238" xfId="0" applyFont="1" applyBorder="1" applyAlignment="1">
      <alignment horizontal="center" wrapText="1"/>
    </xf>
    <xf numFmtId="0" fontId="59" fillId="6" borderId="251" xfId="0" applyFont="1" applyFill="1" applyBorder="1" applyAlignment="1">
      <alignment vertical="top"/>
    </xf>
    <xf numFmtId="43" fontId="53" fillId="6" borderId="257" xfId="1" applyFont="1" applyFill="1" applyBorder="1" applyAlignment="1">
      <alignment vertical="top"/>
    </xf>
    <xf numFmtId="43" fontId="55" fillId="2" borderId="257" xfId="1" applyFont="1" applyFill="1" applyBorder="1" applyAlignment="1">
      <alignment vertical="top"/>
    </xf>
    <xf numFmtId="43" fontId="59" fillId="0" borderId="232" xfId="1" applyFont="1" applyFill="1" applyBorder="1" applyAlignment="1">
      <alignment vertical="top"/>
    </xf>
    <xf numFmtId="43" fontId="55" fillId="0" borderId="257" xfId="1" applyFont="1" applyFill="1" applyBorder="1" applyAlignment="1">
      <alignment vertical="top"/>
    </xf>
    <xf numFmtId="43" fontId="59" fillId="0" borderId="229" xfId="1" applyFont="1" applyFill="1" applyBorder="1" applyAlignment="1">
      <alignment horizontal="right" vertical="center"/>
    </xf>
    <xf numFmtId="43" fontId="59" fillId="0" borderId="240" xfId="1" applyFont="1" applyFill="1" applyBorder="1" applyAlignment="1">
      <alignment horizontal="right" vertical="center"/>
    </xf>
    <xf numFmtId="0" fontId="50" fillId="0" borderId="264" xfId="0" applyFont="1" applyBorder="1" applyAlignment="1">
      <alignment horizontal="center" vertical="center" wrapText="1"/>
    </xf>
    <xf numFmtId="0" fontId="50" fillId="0" borderId="265" xfId="0" applyFont="1" applyBorder="1" applyAlignment="1">
      <alignment horizontal="center" vertical="center" wrapText="1"/>
    </xf>
    <xf numFmtId="0" fontId="55" fillId="2" borderId="260" xfId="4" applyFont="1" applyFill="1" applyBorder="1" applyAlignment="1">
      <alignment vertical="top"/>
    </xf>
    <xf numFmtId="0" fontId="51" fillId="0" borderId="255" xfId="0" applyFont="1" applyBorder="1" applyAlignment="1">
      <alignment horizontal="center" vertical="center" wrapText="1"/>
    </xf>
    <xf numFmtId="0" fontId="59" fillId="0" borderId="266" xfId="0" applyFont="1" applyFill="1" applyBorder="1" applyAlignment="1">
      <alignment horizontal="left" vertical="center" wrapText="1"/>
    </xf>
    <xf numFmtId="0" fontId="53" fillId="6" borderId="260" xfId="4" applyFont="1" applyFill="1" applyBorder="1" applyAlignment="1">
      <alignment horizontal="left" vertical="center"/>
    </xf>
    <xf numFmtId="0" fontId="32" fillId="6" borderId="245" xfId="0" applyFont="1" applyFill="1" applyBorder="1" applyAlignment="1">
      <alignment horizontal="left" vertical="center" wrapText="1"/>
    </xf>
    <xf numFmtId="0" fontId="59" fillId="0" borderId="267" xfId="0" applyFont="1" applyFill="1" applyBorder="1" applyAlignment="1">
      <alignment horizontal="left" vertical="center" wrapText="1"/>
    </xf>
    <xf numFmtId="0" fontId="50" fillId="0" borderId="268" xfId="0" applyFont="1" applyBorder="1" applyAlignment="1">
      <alignment horizontal="center" vertical="center" wrapText="1"/>
    </xf>
    <xf numFmtId="3" fontId="59" fillId="0" borderId="269" xfId="0" applyNumberFormat="1" applyFont="1" applyFill="1" applyBorder="1" applyAlignment="1">
      <alignment vertical="top"/>
    </xf>
    <xf numFmtId="3" fontId="53" fillId="6" borderId="232" xfId="0" applyNumberFormat="1" applyFont="1" applyFill="1" applyBorder="1" applyAlignment="1">
      <alignment vertical="top"/>
    </xf>
    <xf numFmtId="0" fontId="0" fillId="0" borderId="218" xfId="0" applyFont="1" applyBorder="1" applyAlignment="1">
      <alignment horizontal="center" vertical="center"/>
    </xf>
    <xf numFmtId="0" fontId="49" fillId="0" borderId="218" xfId="0" applyFont="1" applyFill="1" applyBorder="1" applyAlignment="1">
      <alignment horizontal="left" vertical="center" wrapText="1"/>
    </xf>
    <xf numFmtId="0" fontId="54" fillId="0" borderId="218" xfId="0" applyFont="1" applyBorder="1" applyAlignment="1">
      <alignment horizontal="center" vertical="center" wrapText="1"/>
    </xf>
    <xf numFmtId="3" fontId="49" fillId="0" borderId="218" xfId="0" applyNumberFormat="1" applyFont="1" applyFill="1" applyBorder="1" applyAlignment="1">
      <alignment vertical="top"/>
    </xf>
    <xf numFmtId="3" fontId="49" fillId="0" borderId="218" xfId="0" applyNumberFormat="1" applyFont="1" applyFill="1" applyBorder="1" applyAlignment="1">
      <alignment horizontal="right" vertical="center"/>
    </xf>
    <xf numFmtId="3" fontId="48" fillId="0" borderId="218" xfId="0" applyNumberFormat="1" applyFont="1" applyFill="1" applyBorder="1" applyAlignment="1">
      <alignment horizontal="center" vertical="center"/>
    </xf>
    <xf numFmtId="3" fontId="53" fillId="0" borderId="218" xfId="0" applyNumberFormat="1" applyFont="1" applyFill="1" applyBorder="1" applyAlignment="1">
      <alignment horizontal="center" vertical="center"/>
    </xf>
    <xf numFmtId="0" fontId="52" fillId="2" borderId="219" xfId="0" applyFont="1" applyFill="1" applyBorder="1" applyAlignment="1">
      <alignment horizontal="left" vertical="top" wrapText="1"/>
    </xf>
    <xf numFmtId="0" fontId="46" fillId="2" borderId="219" xfId="0" applyFont="1" applyFill="1" applyBorder="1" applyAlignment="1">
      <alignment vertical="top"/>
    </xf>
    <xf numFmtId="0" fontId="46" fillId="0" borderId="218" xfId="0" applyFont="1" applyFill="1" applyBorder="1" applyAlignment="1">
      <alignment vertical="top"/>
    </xf>
    <xf numFmtId="0" fontId="46" fillId="31" borderId="218" xfId="0" applyFont="1" applyFill="1" applyBorder="1" applyAlignment="1">
      <alignment vertical="top"/>
    </xf>
    <xf numFmtId="0" fontId="55" fillId="57" borderId="270" xfId="4" applyFont="1" applyFill="1" applyBorder="1" applyAlignment="1">
      <alignment horizontal="left" vertical="center"/>
    </xf>
    <xf numFmtId="0" fontId="55" fillId="57" borderId="250" xfId="4" applyFont="1" applyFill="1" applyBorder="1" applyAlignment="1">
      <alignment horizontal="left" vertical="center"/>
    </xf>
    <xf numFmtId="3" fontId="55" fillId="57" borderId="257" xfId="4" applyNumberFormat="1" applyFont="1" applyFill="1" applyBorder="1" applyAlignment="1">
      <alignment horizontal="right" vertical="center"/>
    </xf>
    <xf numFmtId="3" fontId="48" fillId="32" borderId="264" xfId="0" applyNumberFormat="1" applyFont="1" applyFill="1" applyBorder="1" applyAlignment="1">
      <alignment horizontal="center" vertical="center" wrapText="1"/>
    </xf>
    <xf numFmtId="3" fontId="48" fillId="32" borderId="265" xfId="0" applyNumberFormat="1" applyFont="1" applyFill="1" applyBorder="1" applyAlignment="1">
      <alignment horizontal="center" vertical="center" wrapText="1"/>
    </xf>
    <xf numFmtId="0" fontId="55" fillId="57" borderId="234" xfId="0" applyFont="1" applyFill="1" applyBorder="1" applyAlignment="1">
      <alignment horizontal="left" vertical="top"/>
    </xf>
    <xf numFmtId="0" fontId="56" fillId="57" borderId="236" xfId="0" quotePrefix="1" applyFont="1" applyFill="1" applyBorder="1" applyAlignment="1">
      <alignment horizontal="center" vertical="top"/>
    </xf>
    <xf numFmtId="3" fontId="55" fillId="57" borderId="247" xfId="0" quotePrefix="1" applyNumberFormat="1" applyFont="1" applyFill="1" applyBorder="1" applyAlignment="1">
      <alignment horizontal="right" vertical="top"/>
    </xf>
    <xf numFmtId="0" fontId="53" fillId="6" borderId="249" xfId="4" applyFont="1" applyFill="1" applyBorder="1" applyAlignment="1">
      <alignment horizontal="left" vertical="center"/>
    </xf>
    <xf numFmtId="0" fontId="53" fillId="6" borderId="250" xfId="4" applyFont="1" applyFill="1" applyBorder="1" applyAlignment="1">
      <alignment horizontal="left" vertical="center"/>
    </xf>
    <xf numFmtId="3" fontId="53" fillId="6" borderId="271" xfId="0" applyNumberFormat="1" applyFont="1" applyFill="1" applyBorder="1" applyAlignment="1">
      <alignment vertical="top"/>
    </xf>
    <xf numFmtId="3" fontId="53" fillId="23" borderId="246" xfId="0" applyNumberFormat="1" applyFont="1" applyFill="1" applyBorder="1" applyAlignment="1">
      <alignment vertical="top"/>
    </xf>
    <xf numFmtId="0" fontId="55" fillId="8" borderId="244" xfId="4" applyFont="1" applyFill="1" applyBorder="1" applyAlignment="1">
      <alignment vertical="top"/>
    </xf>
    <xf numFmtId="3" fontId="55" fillId="8" borderId="257" xfId="0" applyNumberFormat="1" applyFont="1" applyFill="1" applyBorder="1" applyAlignment="1">
      <alignment vertical="top"/>
    </xf>
    <xf numFmtId="3" fontId="55" fillId="24" borderId="252" xfId="0" applyNumberFormat="1" applyFont="1" applyFill="1" applyBorder="1" applyAlignment="1">
      <alignment vertical="top"/>
    </xf>
    <xf numFmtId="3" fontId="46" fillId="0" borderId="218" xfId="0" applyNumberFormat="1" applyFont="1" applyFill="1" applyBorder="1" applyAlignment="1">
      <alignment vertical="top"/>
    </xf>
    <xf numFmtId="0" fontId="59" fillId="8" borderId="253" xfId="0" applyFont="1" applyFill="1" applyBorder="1" applyAlignment="1">
      <alignment vertical="top"/>
    </xf>
    <xf numFmtId="3" fontId="59" fillId="8" borderId="257" xfId="0" applyNumberFormat="1" applyFont="1" applyFill="1" applyBorder="1" applyAlignment="1">
      <alignment vertical="top"/>
    </xf>
    <xf numFmtId="3" fontId="53" fillId="24" borderId="257" xfId="0" applyNumberFormat="1" applyFont="1" applyFill="1" applyBorder="1" applyAlignment="1">
      <alignment horizontal="center" vertical="top"/>
    </xf>
    <xf numFmtId="0" fontId="59" fillId="8" borderId="253" xfId="0" applyFont="1" applyFill="1" applyBorder="1" applyAlignment="1">
      <alignment vertical="center"/>
    </xf>
    <xf numFmtId="3" fontId="59" fillId="8" borderId="257" xfId="0" applyNumberFormat="1" applyFont="1" applyFill="1" applyBorder="1" applyAlignment="1">
      <alignment vertical="center"/>
    </xf>
    <xf numFmtId="3" fontId="53" fillId="24" borderId="257" xfId="0" applyNumberFormat="1" applyFont="1" applyFill="1" applyBorder="1" applyAlignment="1">
      <alignment vertical="center"/>
    </xf>
    <xf numFmtId="0" fontId="46" fillId="0" borderId="218" xfId="0" applyFont="1" applyFill="1" applyBorder="1" applyAlignment="1">
      <alignment vertical="center"/>
    </xf>
    <xf numFmtId="0" fontId="46" fillId="31" borderId="218" xfId="0" applyFont="1" applyFill="1" applyBorder="1" applyAlignment="1">
      <alignment vertical="center"/>
    </xf>
    <xf numFmtId="3" fontId="55" fillId="8" borderId="257" xfId="0" applyNumberFormat="1" applyFont="1" applyFill="1" applyBorder="1" applyAlignment="1">
      <alignment horizontal="right" vertical="center"/>
    </xf>
    <xf numFmtId="3" fontId="55" fillId="8" borderId="252" xfId="0" applyNumberFormat="1" applyFont="1" applyFill="1" applyBorder="1" applyAlignment="1">
      <alignment horizontal="right" vertical="center"/>
    </xf>
    <xf numFmtId="3" fontId="53" fillId="24" borderId="257" xfId="0" applyNumberFormat="1" applyFont="1" applyFill="1" applyBorder="1" applyAlignment="1">
      <alignment horizontal="center" vertical="center"/>
    </xf>
    <xf numFmtId="3" fontId="48" fillId="8" borderId="234" xfId="0" applyNumberFormat="1" applyFont="1" applyFill="1" applyBorder="1" applyAlignment="1">
      <alignment horizontal="center" vertical="center" wrapText="1"/>
    </xf>
    <xf numFmtId="3" fontId="59" fillId="8" borderId="252" xfId="0" applyNumberFormat="1" applyFont="1" applyFill="1" applyBorder="1" applyAlignment="1">
      <alignment vertical="top"/>
    </xf>
    <xf numFmtId="3" fontId="53" fillId="24" borderId="252" xfId="0" applyNumberFormat="1" applyFont="1" applyFill="1" applyBorder="1" applyAlignment="1">
      <alignment horizontal="center" vertical="center"/>
    </xf>
    <xf numFmtId="0" fontId="53" fillId="6" borderId="258" xfId="4" applyFont="1" applyFill="1" applyBorder="1" applyAlignment="1">
      <alignment horizontal="left" vertical="center"/>
    </xf>
    <xf numFmtId="0" fontId="53" fillId="6" borderId="245" xfId="4" applyFont="1" applyFill="1" applyBorder="1" applyAlignment="1">
      <alignment horizontal="left" vertical="center"/>
    </xf>
    <xf numFmtId="3" fontId="53" fillId="6" borderId="252" xfId="4" applyNumberFormat="1" applyFont="1" applyFill="1" applyBorder="1" applyAlignment="1">
      <alignment horizontal="right" vertical="center"/>
    </xf>
    <xf numFmtId="0" fontId="53" fillId="6" borderId="252" xfId="4" applyFont="1" applyFill="1" applyBorder="1" applyAlignment="1">
      <alignment horizontal="right" vertical="center"/>
    </xf>
    <xf numFmtId="3" fontId="53" fillId="23" borderId="233" xfId="0" applyNumberFormat="1" applyFont="1" applyFill="1" applyBorder="1" applyAlignment="1">
      <alignment vertical="top"/>
    </xf>
    <xf numFmtId="0" fontId="55" fillId="8" borderId="244" xfId="4" applyFont="1" applyFill="1" applyBorder="1" applyAlignment="1">
      <alignment vertical="center"/>
    </xf>
    <xf numFmtId="0" fontId="55" fillId="8" borderId="228" xfId="4" applyFont="1" applyFill="1" applyBorder="1" applyAlignment="1">
      <alignment horizontal="center" vertical="center"/>
    </xf>
    <xf numFmtId="3" fontId="53" fillId="8" borderId="257" xfId="0" applyNumberFormat="1" applyFont="1" applyFill="1" applyBorder="1" applyAlignment="1">
      <alignment vertical="center"/>
    </xf>
    <xf numFmtId="0" fontId="63" fillId="8" borderId="227" xfId="0" applyFont="1" applyFill="1" applyBorder="1" applyAlignment="1">
      <alignment vertical="top"/>
    </xf>
    <xf numFmtId="3" fontId="55" fillId="8" borderId="257" xfId="0" applyNumberFormat="1" applyFont="1" applyFill="1" applyBorder="1" applyAlignment="1">
      <alignment vertical="center"/>
    </xf>
    <xf numFmtId="3" fontId="63" fillId="8" borderId="234" xfId="0" applyNumberFormat="1" applyFont="1" applyFill="1" applyBorder="1" applyAlignment="1">
      <alignment horizontal="center" vertical="center" wrapText="1"/>
    </xf>
    <xf numFmtId="0" fontId="63" fillId="0" borderId="218" xfId="0" applyFont="1" applyFill="1" applyBorder="1" applyAlignment="1">
      <alignment vertical="top"/>
    </xf>
    <xf numFmtId="0" fontId="63" fillId="31" borderId="218" xfId="0" applyFont="1" applyFill="1" applyBorder="1" applyAlignment="1">
      <alignment vertical="top"/>
    </xf>
    <xf numFmtId="0" fontId="45" fillId="58" borderId="220" xfId="0" applyFont="1" applyFill="1" applyBorder="1" applyAlignment="1">
      <alignment horizontal="center" vertical="center" wrapText="1"/>
    </xf>
    <xf numFmtId="0" fontId="52" fillId="8" borderId="249" xfId="0" applyFont="1" applyFill="1" applyBorder="1" applyAlignment="1">
      <alignment vertical="center" wrapText="1"/>
    </xf>
    <xf numFmtId="0" fontId="52" fillId="8" borderId="271" xfId="0" applyFont="1" applyFill="1" applyBorder="1" applyAlignment="1">
      <alignment horizontal="center" vertical="center" wrapText="1"/>
    </xf>
    <xf numFmtId="0" fontId="32" fillId="8" borderId="272" xfId="0" applyFont="1" applyFill="1" applyBorder="1" applyAlignment="1">
      <alignment vertical="top"/>
    </xf>
    <xf numFmtId="0" fontId="32" fillId="8" borderId="273" xfId="0" applyFont="1" applyFill="1" applyBorder="1" applyAlignment="1">
      <alignment vertical="top"/>
    </xf>
    <xf numFmtId="3" fontId="32" fillId="8" borderId="273" xfId="0" applyNumberFormat="1" applyFont="1" applyFill="1" applyBorder="1" applyAlignment="1">
      <alignment vertical="top"/>
    </xf>
    <xf numFmtId="3" fontId="32" fillId="24" borderId="246" xfId="0" applyNumberFormat="1" applyFont="1" applyFill="1" applyBorder="1" applyAlignment="1">
      <alignment vertical="top"/>
    </xf>
    <xf numFmtId="3" fontId="48" fillId="0" borderId="264" xfId="0" applyNumberFormat="1" applyFont="1" applyFill="1" applyBorder="1" applyAlignment="1">
      <alignment horizontal="center" vertical="center" wrapText="1"/>
    </xf>
    <xf numFmtId="0" fontId="0" fillId="58" borderId="227" xfId="0" applyFont="1" applyFill="1" applyBorder="1" applyAlignment="1">
      <alignment vertical="center" wrapText="1"/>
    </xf>
    <xf numFmtId="0" fontId="52" fillId="6" borderId="258" xfId="4" applyFont="1" applyFill="1" applyBorder="1" applyAlignment="1">
      <alignment horizontal="left" vertical="center"/>
    </xf>
    <xf numFmtId="0" fontId="53" fillId="6" borderId="232" xfId="4" applyFont="1" applyFill="1" applyBorder="1" applyAlignment="1">
      <alignment horizontal="left" vertical="center"/>
    </xf>
    <xf numFmtId="3" fontId="48" fillId="0" borderId="265" xfId="0" applyNumberFormat="1" applyFont="1" applyFill="1" applyBorder="1" applyAlignment="1">
      <alignment horizontal="center" vertical="center" wrapText="1"/>
    </xf>
    <xf numFmtId="0" fontId="55" fillId="0" borderId="244" xfId="4" applyFont="1" applyFill="1" applyBorder="1" applyAlignment="1">
      <alignment vertical="center"/>
    </xf>
    <xf numFmtId="3" fontId="59" fillId="0" borderId="257" xfId="0" applyNumberFormat="1" applyFont="1" applyFill="1" applyBorder="1" applyAlignment="1">
      <alignment vertical="center"/>
    </xf>
    <xf numFmtId="3" fontId="53" fillId="0" borderId="257" xfId="0" applyNumberFormat="1" applyFont="1" applyFill="1" applyBorder="1" applyAlignment="1">
      <alignment vertical="center"/>
    </xf>
    <xf numFmtId="0" fontId="0" fillId="58" borderId="235" xfId="0" applyFont="1" applyFill="1" applyBorder="1" applyAlignment="1">
      <alignment vertical="center" wrapText="1"/>
    </xf>
    <xf numFmtId="0" fontId="59" fillId="33" borderId="253" xfId="0" applyFont="1" applyFill="1" applyBorder="1" applyAlignment="1">
      <alignment vertical="center"/>
    </xf>
    <xf numFmtId="3" fontId="59" fillId="33" borderId="257" xfId="0" applyNumberFormat="1" applyFont="1" applyFill="1" applyBorder="1" applyAlignment="1">
      <alignment vertical="center"/>
    </xf>
    <xf numFmtId="3" fontId="48" fillId="0" borderId="248" xfId="0" applyNumberFormat="1" applyFont="1" applyFill="1" applyBorder="1" applyAlignment="1">
      <alignment horizontal="center" vertical="center" wrapText="1"/>
    </xf>
    <xf numFmtId="0" fontId="45" fillId="0" borderId="227" xfId="0" applyFont="1" applyFill="1" applyBorder="1" applyAlignment="1">
      <alignment horizontal="center" vertical="center" wrapText="1"/>
    </xf>
    <xf numFmtId="0" fontId="0" fillId="0" borderId="227" xfId="0" applyFont="1" applyBorder="1"/>
    <xf numFmtId="0" fontId="60" fillId="0" borderId="218" xfId="0" applyFont="1" applyBorder="1"/>
    <xf numFmtId="0" fontId="46" fillId="0" borderId="265" xfId="0" applyFont="1" applyFill="1" applyBorder="1" applyAlignment="1">
      <alignment horizontal="center" vertical="center" wrapText="1"/>
    </xf>
    <xf numFmtId="0" fontId="0" fillId="0" borderId="227" xfId="0" applyFont="1" applyBorder="1" applyAlignment="1">
      <alignment vertical="center" wrapText="1"/>
    </xf>
    <xf numFmtId="0" fontId="53" fillId="6" borderId="257" xfId="4" applyFont="1" applyFill="1" applyBorder="1" applyAlignment="1">
      <alignment horizontal="left" vertical="center"/>
    </xf>
    <xf numFmtId="3" fontId="52" fillId="6" borderId="252" xfId="0" applyNumberFormat="1" applyFont="1" applyFill="1" applyBorder="1" applyAlignment="1">
      <alignment vertical="top"/>
    </xf>
    <xf numFmtId="0" fontId="0" fillId="0" borderId="218" xfId="0" applyFont="1" applyBorder="1"/>
    <xf numFmtId="0" fontId="0" fillId="0" borderId="234" xfId="0" applyFont="1" applyBorder="1"/>
    <xf numFmtId="0" fontId="45" fillId="0" borderId="220" xfId="0" applyFont="1" applyFill="1" applyBorder="1" applyAlignment="1">
      <alignment horizontal="center" vertical="center" wrapText="1"/>
    </xf>
    <xf numFmtId="0" fontId="52" fillId="8" borderId="225" xfId="0" applyFont="1" applyFill="1" applyBorder="1" applyAlignment="1">
      <alignment horizontal="center" vertical="center" wrapText="1"/>
    </xf>
    <xf numFmtId="0" fontId="32" fillId="8" borderId="224" xfId="0" applyFont="1" applyFill="1" applyBorder="1" applyAlignment="1">
      <alignment vertical="top"/>
    </xf>
    <xf numFmtId="0" fontId="32" fillId="24" borderId="246" xfId="0" applyFont="1" applyFill="1" applyBorder="1" applyAlignment="1">
      <alignment vertical="center"/>
    </xf>
    <xf numFmtId="0" fontId="49" fillId="0" borderId="265" xfId="0" applyFont="1" applyFill="1" applyBorder="1" applyAlignment="1">
      <alignment horizontal="center" vertical="center" wrapText="1"/>
    </xf>
    <xf numFmtId="3" fontId="53" fillId="6" borderId="252" xfId="0" applyNumberFormat="1" applyFont="1" applyFill="1" applyBorder="1" applyAlignment="1"/>
    <xf numFmtId="3" fontId="57" fillId="2" borderId="253" xfId="4" applyNumberFormat="1" applyFont="1" applyFill="1" applyBorder="1" applyAlignment="1">
      <alignment vertical="center" wrapText="1"/>
    </xf>
    <xf numFmtId="3" fontId="55" fillId="2" borderId="252" xfId="0" applyNumberFormat="1" applyFont="1" applyFill="1" applyBorder="1" applyAlignment="1"/>
    <xf numFmtId="0" fontId="32" fillId="0" borderId="258" xfId="0" applyFont="1" applyFill="1" applyBorder="1" applyAlignment="1">
      <alignment vertical="center"/>
    </xf>
    <xf numFmtId="0" fontId="32" fillId="0" borderId="253" xfId="0" applyFont="1" applyFill="1" applyBorder="1" applyAlignment="1">
      <alignment vertical="center" wrapText="1"/>
    </xf>
    <xf numFmtId="3" fontId="59" fillId="0" borderId="256" xfId="0" applyNumberFormat="1" applyFont="1" applyFill="1" applyBorder="1" applyAlignment="1">
      <alignment vertical="top"/>
    </xf>
    <xf numFmtId="3" fontId="59" fillId="2" borderId="253" xfId="4" applyNumberFormat="1" applyFont="1" applyFill="1" applyBorder="1" applyAlignment="1">
      <alignment vertical="center" wrapText="1"/>
    </xf>
    <xf numFmtId="0" fontId="0" fillId="0" borderId="252" xfId="0" applyFont="1" applyBorder="1"/>
    <xf numFmtId="3" fontId="32" fillId="24" borderId="252" xfId="0" applyNumberFormat="1" applyFont="1" applyFill="1" applyBorder="1" applyAlignment="1">
      <alignment horizontal="center" vertical="top"/>
    </xf>
    <xf numFmtId="0" fontId="0" fillId="0" borderId="255" xfId="0" applyFont="1" applyBorder="1" applyAlignment="1">
      <alignment horizontal="center" vertical="center"/>
    </xf>
    <xf numFmtId="3" fontId="53" fillId="2" borderId="252" xfId="0" applyNumberFormat="1" applyFont="1" applyFill="1" applyBorder="1" applyAlignment="1"/>
    <xf numFmtId="0" fontId="0" fillId="0" borderId="228" xfId="0" applyFont="1" applyBorder="1" applyAlignment="1">
      <alignment horizontal="center" vertical="center"/>
    </xf>
    <xf numFmtId="3" fontId="59" fillId="2" borderId="252" xfId="0" applyNumberFormat="1" applyFont="1" applyFill="1" applyBorder="1" applyAlignment="1"/>
    <xf numFmtId="3" fontId="56" fillId="2" borderId="252" xfId="0" applyNumberFormat="1" applyFont="1" applyFill="1" applyBorder="1" applyAlignment="1"/>
    <xf numFmtId="3" fontId="59" fillId="2" borderId="263" xfId="4" applyNumberFormat="1" applyFont="1" applyFill="1" applyBorder="1" applyAlignment="1">
      <alignment vertical="center" wrapText="1"/>
    </xf>
    <xf numFmtId="0" fontId="0" fillId="0" borderId="236" xfId="0" applyFont="1" applyBorder="1" applyAlignment="1">
      <alignment horizontal="center" vertical="center"/>
    </xf>
    <xf numFmtId="0" fontId="49" fillId="0" borderId="268" xfId="0" applyFont="1" applyFill="1" applyBorder="1" applyAlignment="1">
      <alignment horizontal="center" vertical="center" wrapText="1"/>
    </xf>
    <xf numFmtId="0" fontId="52" fillId="8" borderId="274" xfId="0" applyFont="1" applyFill="1" applyBorder="1" applyAlignment="1">
      <alignment vertical="center" wrapText="1"/>
    </xf>
    <xf numFmtId="0" fontId="52" fillId="8" borderId="246" xfId="0" applyFont="1" applyFill="1" applyBorder="1" applyAlignment="1">
      <alignment horizontal="center" vertical="center" wrapText="1"/>
    </xf>
    <xf numFmtId="0" fontId="32" fillId="8" borderId="271" xfId="0" applyFont="1" applyFill="1" applyBorder="1" applyAlignment="1">
      <alignment vertical="top"/>
    </xf>
    <xf numFmtId="0" fontId="52" fillId="6" borderId="261" xfId="4" applyFont="1" applyFill="1" applyBorder="1" applyAlignment="1">
      <alignment horizontal="left" vertical="center"/>
    </xf>
    <xf numFmtId="3" fontId="53" fillId="6" borderId="252" xfId="0" applyNumberFormat="1" applyFont="1" applyFill="1" applyBorder="1" applyAlignment="1">
      <alignment vertical="center"/>
    </xf>
    <xf numFmtId="3" fontId="53" fillId="23" borderId="252" xfId="0" applyNumberFormat="1" applyFont="1" applyFill="1" applyBorder="1" applyAlignment="1">
      <alignment vertical="center"/>
    </xf>
    <xf numFmtId="0" fontId="57" fillId="0" borderId="261" xfId="0" applyFont="1" applyFill="1" applyBorder="1" applyAlignment="1">
      <alignment vertical="center"/>
    </xf>
    <xf numFmtId="0" fontId="51" fillId="0" borderId="256" xfId="0" applyFont="1" applyBorder="1" applyAlignment="1">
      <alignment horizontal="center" vertical="center" wrapText="1"/>
    </xf>
    <xf numFmtId="3" fontId="53" fillId="26" borderId="252" xfId="0" applyNumberFormat="1" applyFont="1" applyFill="1" applyBorder="1" applyAlignment="1">
      <alignment vertical="center"/>
    </xf>
    <xf numFmtId="0" fontId="58" fillId="0" borderId="218" xfId="0" applyFont="1" applyBorder="1" applyAlignment="1">
      <alignment vertical="top"/>
    </xf>
    <xf numFmtId="0" fontId="0" fillId="0" borderId="235" xfId="0" applyFont="1" applyBorder="1" applyAlignment="1">
      <alignment vertical="center" wrapText="1"/>
    </xf>
    <xf numFmtId="0" fontId="32" fillId="0" borderId="267" xfId="0" applyFont="1" applyFill="1" applyBorder="1" applyAlignment="1">
      <alignment vertical="center" wrapText="1"/>
    </xf>
    <xf numFmtId="0" fontId="51" fillId="0" borderId="237" xfId="0" applyFont="1" applyBorder="1" applyAlignment="1">
      <alignment horizontal="center" vertical="center" wrapText="1"/>
    </xf>
    <xf numFmtId="3" fontId="59" fillId="0" borderId="269" xfId="0" applyNumberFormat="1" applyFont="1" applyFill="1" applyBorder="1" applyAlignment="1">
      <alignment vertical="center"/>
    </xf>
    <xf numFmtId="3" fontId="59" fillId="2" borderId="240" xfId="0" applyNumberFormat="1" applyFont="1" applyFill="1" applyBorder="1" applyAlignment="1">
      <alignment vertical="center"/>
    </xf>
    <xf numFmtId="3" fontId="59" fillId="26" borderId="237" xfId="0" applyNumberFormat="1" applyFont="1" applyFill="1" applyBorder="1" applyAlignment="1">
      <alignment vertical="center"/>
    </xf>
    <xf numFmtId="0" fontId="46" fillId="0" borderId="218" xfId="0" applyFont="1" applyBorder="1" applyAlignment="1">
      <alignment horizontal="center" vertical="top" wrapText="1"/>
    </xf>
    <xf numFmtId="0" fontId="46" fillId="0" borderId="234" xfId="0" applyFont="1" applyBorder="1" applyAlignment="1">
      <alignment vertical="top"/>
    </xf>
    <xf numFmtId="0" fontId="131" fillId="2" borderId="0" xfId="0" applyFont="1" applyFill="1" applyBorder="1" applyAlignment="1">
      <alignment horizontal="center" wrapText="1"/>
    </xf>
    <xf numFmtId="0" fontId="132" fillId="0" borderId="0" xfId="0" applyFont="1" applyAlignment="1">
      <alignment horizontal="center" wrapText="1"/>
    </xf>
    <xf numFmtId="0" fontId="133" fillId="0" borderId="0" xfId="0" applyFont="1" applyFill="1"/>
    <xf numFmtId="0" fontId="132" fillId="0" borderId="0" xfId="0" applyFont="1"/>
    <xf numFmtId="0" fontId="133" fillId="0" borderId="0" xfId="0" applyFont="1"/>
    <xf numFmtId="0" fontId="131" fillId="2" borderId="0" xfId="0" applyFont="1" applyFill="1" applyBorder="1" applyAlignment="1">
      <alignment horizontal="center" wrapText="1"/>
    </xf>
    <xf numFmtId="0" fontId="132" fillId="0" borderId="0" xfId="0" applyFont="1" applyAlignment="1">
      <alignment horizontal="center" wrapText="1"/>
    </xf>
    <xf numFmtId="0" fontId="134" fillId="2" borderId="1" xfId="0" applyFont="1" applyFill="1" applyBorder="1" applyAlignment="1">
      <alignment horizontal="center" vertical="center"/>
    </xf>
    <xf numFmtId="0" fontId="134" fillId="2" borderId="4" xfId="0" applyFont="1" applyFill="1" applyBorder="1" applyAlignment="1">
      <alignment horizontal="center" vertical="center"/>
    </xf>
    <xf numFmtId="0" fontId="134" fillId="2" borderId="3" xfId="0" applyFont="1" applyFill="1" applyBorder="1" applyAlignment="1">
      <alignment horizontal="center" vertical="center" wrapText="1"/>
    </xf>
    <xf numFmtId="0" fontId="134" fillId="2" borderId="4" xfId="0" applyFont="1" applyFill="1" applyBorder="1" applyAlignment="1">
      <alignment horizontal="center" vertical="center" wrapText="1"/>
    </xf>
    <xf numFmtId="0" fontId="135" fillId="0" borderId="2" xfId="0" applyFont="1" applyBorder="1" applyAlignment="1">
      <alignment horizontal="center" vertical="center" wrapText="1"/>
    </xf>
    <xf numFmtId="0" fontId="135" fillId="0" borderId="3" xfId="0" applyFont="1" applyBorder="1" applyAlignment="1">
      <alignment horizontal="center" vertical="center" wrapText="1"/>
    </xf>
    <xf numFmtId="0" fontId="135" fillId="2" borderId="2" xfId="0" applyFont="1" applyFill="1" applyBorder="1" applyAlignment="1">
      <alignment horizontal="center" vertical="center" wrapText="1"/>
    </xf>
    <xf numFmtId="0" fontId="135" fillId="2" borderId="3" xfId="0" applyFont="1" applyFill="1" applyBorder="1" applyAlignment="1">
      <alignment horizontal="center" vertical="center" wrapText="1"/>
    </xf>
    <xf numFmtId="0" fontId="135" fillId="2" borderId="4" xfId="0" applyFont="1" applyFill="1" applyBorder="1" applyAlignment="1">
      <alignment horizontal="center" vertical="center" wrapText="1"/>
    </xf>
    <xf numFmtId="0" fontId="134" fillId="0" borderId="2" xfId="0" applyFont="1" applyBorder="1" applyAlignment="1">
      <alignment horizontal="center" vertical="center" wrapText="1"/>
    </xf>
    <xf numFmtId="0" fontId="134" fillId="0" borderId="42" xfId="0" applyFont="1" applyBorder="1" applyAlignment="1">
      <alignment horizontal="center" vertical="center" wrapText="1"/>
    </xf>
    <xf numFmtId="0" fontId="134" fillId="2" borderId="26" xfId="0" applyFont="1" applyFill="1" applyBorder="1" applyAlignment="1">
      <alignment horizontal="center" vertical="center"/>
    </xf>
    <xf numFmtId="0" fontId="134" fillId="2" borderId="27" xfId="0" applyFont="1" applyFill="1" applyBorder="1" applyAlignment="1">
      <alignment horizontal="center" vertical="center"/>
    </xf>
    <xf numFmtId="0" fontId="134" fillId="2" borderId="8" xfId="0" applyFont="1" applyFill="1" applyBorder="1" applyAlignment="1">
      <alignment horizontal="center" vertical="center" wrapText="1"/>
    </xf>
    <xf numFmtId="0" fontId="134" fillId="2" borderId="9" xfId="0" applyFont="1" applyFill="1" applyBorder="1" applyAlignment="1">
      <alignment horizontal="center" vertical="center" wrapText="1"/>
    </xf>
    <xf numFmtId="0" fontId="135" fillId="0" borderId="7" xfId="0" applyFont="1" applyBorder="1" applyAlignment="1">
      <alignment horizontal="center" vertical="center" wrapText="1"/>
    </xf>
    <xf numFmtId="0" fontId="135" fillId="0" borderId="8" xfId="0" applyFont="1" applyBorder="1" applyAlignment="1">
      <alignment horizontal="center" vertical="center" wrapText="1"/>
    </xf>
    <xf numFmtId="0" fontId="135" fillId="2" borderId="7" xfId="0" applyFont="1" applyFill="1" applyBorder="1" applyAlignment="1">
      <alignment horizontal="center" vertical="center" wrapText="1"/>
    </xf>
    <xf numFmtId="0" fontId="135" fillId="2" borderId="8" xfId="0" applyFont="1" applyFill="1" applyBorder="1" applyAlignment="1">
      <alignment horizontal="center" vertical="center" wrapText="1"/>
    </xf>
    <xf numFmtId="0" fontId="135" fillId="2" borderId="9" xfId="0" applyFont="1" applyFill="1" applyBorder="1" applyAlignment="1">
      <alignment horizontal="center" vertical="center" wrapText="1"/>
    </xf>
    <xf numFmtId="0" fontId="134" fillId="0" borderId="10" xfId="0" applyFont="1" applyBorder="1" applyAlignment="1">
      <alignment horizontal="center" vertical="center" wrapText="1"/>
    </xf>
    <xf numFmtId="0" fontId="134" fillId="0" borderId="43" xfId="0" applyFont="1" applyBorder="1" applyAlignment="1">
      <alignment horizontal="center" vertical="center" wrapText="1"/>
    </xf>
    <xf numFmtId="0" fontId="134" fillId="2" borderId="68" xfId="0" applyFont="1" applyFill="1" applyBorder="1" applyAlignment="1">
      <alignment horizontal="center" vertical="center"/>
    </xf>
    <xf numFmtId="0" fontId="134" fillId="2" borderId="23" xfId="0" applyFont="1" applyFill="1" applyBorder="1" applyAlignment="1">
      <alignment horizontal="center" vertical="center"/>
    </xf>
    <xf numFmtId="0" fontId="136" fillId="0" borderId="23" xfId="0" applyFont="1" applyBorder="1" applyAlignment="1">
      <alignment horizontal="center" vertical="center" wrapText="1"/>
    </xf>
    <xf numFmtId="0" fontId="134" fillId="0" borderId="12" xfId="0" applyFont="1" applyBorder="1" applyAlignment="1">
      <alignment horizontal="center" vertical="center"/>
    </xf>
    <xf numFmtId="0" fontId="135" fillId="0" borderId="12" xfId="4" applyFont="1" applyBorder="1" applyAlignment="1">
      <alignment horizontal="center" vertical="center" wrapText="1"/>
    </xf>
    <xf numFmtId="0" fontId="134" fillId="0" borderId="27" xfId="0" applyFont="1" applyBorder="1" applyAlignment="1">
      <alignment horizontal="center" vertical="center"/>
    </xf>
    <xf numFmtId="0" fontId="134" fillId="0" borderId="13" xfId="0" applyFont="1" applyBorder="1" applyAlignment="1">
      <alignment horizontal="center" vertical="center"/>
    </xf>
    <xf numFmtId="0" fontId="135" fillId="0" borderId="13" xfId="0" applyFont="1" applyBorder="1" applyAlignment="1">
      <alignment horizontal="center" vertical="center"/>
    </xf>
    <xf numFmtId="0" fontId="134" fillId="0" borderId="10" xfId="0" applyFont="1" applyBorder="1" applyAlignment="1">
      <alignment horizontal="center" vertical="center"/>
    </xf>
    <xf numFmtId="0" fontId="137" fillId="0" borderId="68" xfId="0" applyFont="1" applyBorder="1" applyAlignment="1">
      <alignment horizontal="center" vertical="center"/>
    </xf>
    <xf numFmtId="0" fontId="137" fillId="0" borderId="23" xfId="0" applyFont="1" applyBorder="1" applyAlignment="1">
      <alignment horizontal="center" vertical="center"/>
    </xf>
    <xf numFmtId="0" fontId="137" fillId="0" borderId="4" xfId="0" quotePrefix="1" applyFont="1" applyBorder="1" applyAlignment="1">
      <alignment horizontal="center" vertical="center"/>
    </xf>
    <xf numFmtId="3" fontId="137" fillId="0" borderId="4" xfId="0" applyNumberFormat="1" applyFont="1" applyBorder="1" applyAlignment="1">
      <alignment horizontal="center" vertical="center"/>
    </xf>
    <xf numFmtId="3" fontId="137" fillId="0" borderId="15" xfId="0" applyNumberFormat="1" applyFont="1" applyBorder="1" applyAlignment="1">
      <alignment horizontal="center" vertical="center"/>
    </xf>
    <xf numFmtId="3" fontId="137" fillId="0" borderId="15" xfId="0" quotePrefix="1" applyNumberFormat="1" applyFont="1" applyBorder="1" applyAlignment="1">
      <alignment horizontal="center" vertical="center"/>
    </xf>
    <xf numFmtId="3" fontId="137" fillId="0" borderId="39" xfId="0" quotePrefix="1" applyNumberFormat="1" applyFont="1" applyBorder="1" applyAlignment="1">
      <alignment horizontal="center" vertical="center"/>
    </xf>
    <xf numFmtId="3" fontId="138" fillId="0" borderId="39" xfId="0" quotePrefix="1" applyNumberFormat="1" applyFont="1" applyBorder="1" applyAlignment="1">
      <alignment horizontal="center" vertical="center"/>
    </xf>
    <xf numFmtId="3" fontId="137" fillId="0" borderId="2" xfId="0" quotePrefix="1" applyNumberFormat="1" applyFont="1" applyBorder="1" applyAlignment="1">
      <alignment horizontal="center" vertical="center"/>
    </xf>
    <xf numFmtId="0" fontId="133" fillId="0" borderId="0" xfId="0" applyFont="1" applyFill="1" applyAlignment="1">
      <alignment vertical="center"/>
    </xf>
    <xf numFmtId="0" fontId="132" fillId="0" borderId="0" xfId="0" applyFont="1" applyAlignment="1">
      <alignment vertical="center"/>
    </xf>
    <xf numFmtId="0" fontId="133" fillId="0" borderId="0" xfId="0" applyFont="1" applyAlignment="1">
      <alignment vertical="center"/>
    </xf>
    <xf numFmtId="0" fontId="139" fillId="39" borderId="88" xfId="4" applyFont="1" applyFill="1" applyBorder="1" applyAlignment="1">
      <alignment horizontal="left" vertical="center"/>
    </xf>
    <xf numFmtId="0" fontId="132" fillId="39" borderId="50" xfId="0" applyFont="1" applyFill="1" applyBorder="1" applyAlignment="1">
      <alignment vertical="center"/>
    </xf>
    <xf numFmtId="3" fontId="140" fillId="39" borderId="39" xfId="0" applyNumberFormat="1" applyFont="1" applyFill="1" applyBorder="1" applyAlignment="1">
      <alignment vertical="center" wrapText="1"/>
    </xf>
    <xf numFmtId="3" fontId="140" fillId="40" borderId="40" xfId="0" applyNumberFormat="1" applyFont="1" applyFill="1" applyBorder="1" applyAlignment="1">
      <alignment vertical="center" wrapText="1"/>
    </xf>
    <xf numFmtId="165" fontId="141" fillId="0" borderId="0" xfId="0" applyNumberFormat="1" applyFont="1" applyFill="1" applyBorder="1" applyAlignment="1">
      <alignment vertical="center"/>
    </xf>
    <xf numFmtId="3" fontId="141" fillId="0" borderId="0" xfId="0" applyNumberFormat="1" applyFont="1" applyFill="1" applyAlignment="1">
      <alignment vertical="center"/>
    </xf>
    <xf numFmtId="0" fontId="141" fillId="0" borderId="0" xfId="0" applyFont="1" applyFill="1" applyBorder="1" applyAlignment="1">
      <alignment vertical="center"/>
    </xf>
    <xf numFmtId="0" fontId="139" fillId="6" borderId="88" xfId="4" applyFont="1" applyFill="1" applyBorder="1" applyAlignment="1">
      <alignment horizontal="left" vertical="center"/>
    </xf>
    <xf numFmtId="0" fontId="132" fillId="6" borderId="50" xfId="0" applyFont="1" applyFill="1" applyBorder="1" applyAlignment="1">
      <alignment vertical="center"/>
    </xf>
    <xf numFmtId="3" fontId="140" fillId="6" borderId="39" xfId="0" applyNumberFormat="1" applyFont="1" applyFill="1" applyBorder="1" applyAlignment="1">
      <alignment vertical="center" wrapText="1"/>
    </xf>
    <xf numFmtId="3" fontId="140" fillId="41" borderId="40" xfId="0" applyNumberFormat="1" applyFont="1" applyFill="1" applyBorder="1" applyAlignment="1">
      <alignment horizontal="center" vertical="center" wrapText="1"/>
    </xf>
    <xf numFmtId="0" fontId="139" fillId="39" borderId="88" xfId="4" applyFont="1" applyFill="1" applyBorder="1" applyAlignment="1">
      <alignment horizontal="left" vertical="center"/>
    </xf>
    <xf numFmtId="0" fontId="132" fillId="39" borderId="50" xfId="0" applyFont="1" applyFill="1" applyBorder="1" applyAlignment="1">
      <alignment vertical="center"/>
    </xf>
    <xf numFmtId="0" fontId="142" fillId="39" borderId="88" xfId="0" applyFont="1" applyFill="1" applyBorder="1" applyAlignment="1">
      <alignment horizontal="left" vertical="center"/>
    </xf>
    <xf numFmtId="0" fontId="142" fillId="39" borderId="50" xfId="0" applyFont="1" applyFill="1" applyBorder="1" applyAlignment="1">
      <alignment horizontal="left" vertical="center"/>
    </xf>
    <xf numFmtId="0" fontId="139" fillId="39" borderId="88" xfId="4" applyFont="1" applyFill="1" applyBorder="1" applyAlignment="1">
      <alignment horizontal="left" vertical="center" wrapText="1"/>
    </xf>
    <xf numFmtId="0" fontId="132" fillId="39" borderId="50" xfId="0" applyFont="1" applyFill="1" applyBorder="1" applyAlignment="1">
      <alignment vertical="center" wrapText="1"/>
    </xf>
    <xf numFmtId="0" fontId="139" fillId="6" borderId="88" xfId="4" applyFont="1" applyFill="1" applyBorder="1" applyAlignment="1">
      <alignment horizontal="left" vertical="center" wrapText="1"/>
    </xf>
    <xf numFmtId="0" fontId="132" fillId="6" borderId="50" xfId="0" applyFont="1" applyFill="1" applyBorder="1" applyAlignment="1">
      <alignment vertical="center" wrapText="1"/>
    </xf>
    <xf numFmtId="165" fontId="141" fillId="2" borderId="0" xfId="0" applyNumberFormat="1" applyFont="1" applyFill="1" applyBorder="1" applyAlignment="1">
      <alignment vertical="center"/>
    </xf>
    <xf numFmtId="3" fontId="141" fillId="2" borderId="0" xfId="0" applyNumberFormat="1" applyFont="1" applyFill="1" applyAlignment="1">
      <alignment vertical="center"/>
    </xf>
    <xf numFmtId="0" fontId="141" fillId="2" borderId="0" xfId="0" applyFont="1" applyFill="1" applyBorder="1" applyAlignment="1">
      <alignment vertical="center"/>
    </xf>
    <xf numFmtId="0" fontId="143" fillId="0" borderId="1" xfId="4" applyFont="1" applyFill="1" applyBorder="1" applyAlignment="1">
      <alignment horizontal="center" vertical="center" wrapText="1"/>
    </xf>
    <xf numFmtId="0" fontId="143" fillId="0" borderId="4" xfId="4" applyFont="1" applyFill="1" applyBorder="1" applyAlignment="1">
      <alignment horizontal="center" vertical="center" wrapText="1"/>
    </xf>
    <xf numFmtId="3" fontId="140" fillId="2" borderId="15" xfId="0" applyNumberFormat="1" applyFont="1" applyFill="1" applyBorder="1" applyAlignment="1">
      <alignment vertical="center" wrapText="1"/>
    </xf>
    <xf numFmtId="3" fontId="140" fillId="0" borderId="42" xfId="0" applyNumberFormat="1" applyFont="1" applyFill="1" applyBorder="1" applyAlignment="1">
      <alignment horizontal="center" vertical="center" wrapText="1"/>
    </xf>
    <xf numFmtId="0" fontId="144" fillId="4" borderId="85" xfId="4" applyFont="1" applyFill="1" applyBorder="1" applyAlignment="1">
      <alignment horizontal="left" vertical="center"/>
    </xf>
    <xf numFmtId="0" fontId="145" fillId="4" borderId="9" xfId="0" applyFont="1" applyFill="1" applyBorder="1" applyAlignment="1">
      <alignment vertical="center"/>
    </xf>
    <xf numFmtId="3" fontId="143" fillId="4" borderId="35" xfId="0" applyNumberFormat="1" applyFont="1" applyFill="1" applyBorder="1" applyAlignment="1">
      <alignment vertical="center" wrapText="1"/>
    </xf>
    <xf numFmtId="3" fontId="146" fillId="42" borderId="46" xfId="0" applyNumberFormat="1" applyFont="1" applyFill="1" applyBorder="1" applyAlignment="1">
      <alignment vertical="center" wrapText="1"/>
    </xf>
    <xf numFmtId="0" fontId="144" fillId="6" borderId="84" xfId="4" applyFont="1" applyFill="1" applyBorder="1" applyAlignment="1">
      <alignment horizontal="left" vertical="center"/>
    </xf>
    <xf numFmtId="0" fontId="145" fillId="6" borderId="29" xfId="0" applyFont="1" applyFill="1" applyBorder="1" applyAlignment="1">
      <alignment vertical="center"/>
    </xf>
    <xf numFmtId="3" fontId="143" fillId="6" borderId="30" xfId="0" applyNumberFormat="1" applyFont="1" applyFill="1" applyBorder="1" applyAlignment="1">
      <alignment vertical="center" wrapText="1"/>
    </xf>
    <xf numFmtId="3" fontId="140" fillId="43" borderId="49" xfId="0" applyNumberFormat="1" applyFont="1" applyFill="1" applyBorder="1" applyAlignment="1">
      <alignment horizontal="center" vertical="center" wrapText="1"/>
    </xf>
    <xf numFmtId="0" fontId="144" fillId="4" borderId="84" xfId="4" applyFont="1" applyFill="1" applyBorder="1" applyAlignment="1">
      <alignment horizontal="left" vertical="center"/>
    </xf>
    <xf numFmtId="0" fontId="145" fillId="4" borderId="29" xfId="0" applyFont="1" applyFill="1" applyBorder="1" applyAlignment="1">
      <alignment vertical="center"/>
    </xf>
    <xf numFmtId="3" fontId="143" fillId="4" borderId="30" xfId="0" applyNumberFormat="1" applyFont="1" applyFill="1" applyBorder="1" applyAlignment="1">
      <alignment vertical="center" wrapText="1"/>
    </xf>
    <xf numFmtId="0" fontId="139" fillId="39" borderId="68" xfId="4" applyFont="1" applyFill="1" applyBorder="1" applyAlignment="1">
      <alignment horizontal="left" vertical="center" wrapText="1"/>
    </xf>
    <xf numFmtId="0" fontId="132" fillId="39" borderId="23" xfId="0" applyFont="1" applyFill="1" applyBorder="1" applyAlignment="1">
      <alignment vertical="center" wrapText="1"/>
    </xf>
    <xf numFmtId="3" fontId="140" fillId="39" borderId="12" xfId="0" applyNumberFormat="1" applyFont="1" applyFill="1" applyBorder="1" applyAlignment="1">
      <alignment vertical="center" wrapText="1"/>
    </xf>
    <xf numFmtId="0" fontId="133" fillId="0" borderId="0" xfId="0" applyFont="1" applyAlignment="1">
      <alignment horizontal="center" vertical="center"/>
    </xf>
    <xf numFmtId="0" fontId="133" fillId="0" borderId="0" xfId="0" applyFont="1" applyBorder="1"/>
    <xf numFmtId="0" fontId="69" fillId="0" borderId="0" xfId="0" applyFont="1" applyBorder="1"/>
    <xf numFmtId="3" fontId="141" fillId="0" borderId="0" xfId="0" applyNumberFormat="1" applyFont="1" applyFill="1" applyBorder="1" applyAlignment="1">
      <alignment vertical="center"/>
    </xf>
    <xf numFmtId="3" fontId="133" fillId="0" borderId="0" xfId="0" applyNumberFormat="1" applyFont="1" applyBorder="1"/>
    <xf numFmtId="3" fontId="69" fillId="0" borderId="0" xfId="0" applyNumberFormat="1" applyFont="1" applyBorder="1"/>
    <xf numFmtId="0" fontId="135" fillId="0" borderId="0" xfId="0" applyFont="1" applyAlignment="1">
      <alignment horizontal="center" vertical="center"/>
    </xf>
    <xf numFmtId="3" fontId="135" fillId="0" borderId="0" xfId="0" applyNumberFormat="1" applyFont="1" applyBorder="1"/>
    <xf numFmtId="0" fontId="135" fillId="0" borderId="0" xfId="0" applyFont="1" applyBorder="1"/>
    <xf numFmtId="0" fontId="133" fillId="0" borderId="0" xfId="0" applyFont="1" applyBorder="1" applyAlignment="1">
      <alignment wrapText="1"/>
    </xf>
    <xf numFmtId="0" fontId="135" fillId="0" borderId="0" xfId="0" applyFont="1" applyAlignment="1">
      <alignment horizontal="left" vertical="center"/>
    </xf>
    <xf numFmtId="0" fontId="133" fillId="0" borderId="1" xfId="0" applyFont="1" applyBorder="1" applyAlignment="1">
      <alignment horizontal="center" vertical="center"/>
    </xf>
    <xf numFmtId="0" fontId="148" fillId="0" borderId="3" xfId="0" applyFont="1" applyBorder="1" applyAlignment="1">
      <alignment wrapText="1"/>
    </xf>
    <xf numFmtId="0" fontId="133" fillId="0" borderId="3" xfId="0" applyFont="1" applyBorder="1"/>
    <xf numFmtId="0" fontId="69" fillId="0" borderId="3" xfId="0" applyFont="1" applyBorder="1"/>
    <xf numFmtId="0" fontId="133" fillId="0" borderId="3" xfId="0" applyFont="1" applyFill="1" applyBorder="1"/>
    <xf numFmtId="0" fontId="132" fillId="0" borderId="3" xfId="0" applyFont="1" applyBorder="1"/>
    <xf numFmtId="0" fontId="133" fillId="0" borderId="26" xfId="0" applyFont="1" applyBorder="1" applyAlignment="1">
      <alignment horizontal="center" vertical="center"/>
    </xf>
    <xf numFmtId="0" fontId="133" fillId="0" borderId="0" xfId="0" applyFont="1" applyFill="1" applyBorder="1"/>
    <xf numFmtId="0" fontId="132" fillId="0" borderId="0" xfId="0" applyFont="1" applyBorder="1"/>
    <xf numFmtId="0" fontId="133" fillId="0" borderId="68" xfId="0" applyFont="1" applyBorder="1" applyAlignment="1">
      <alignment horizontal="center" vertical="center"/>
    </xf>
    <xf numFmtId="0" fontId="133" fillId="0" borderId="24" xfId="0" applyFont="1" applyBorder="1"/>
    <xf numFmtId="0" fontId="69" fillId="0" borderId="24" xfId="0" applyFont="1" applyBorder="1"/>
    <xf numFmtId="0" fontId="133" fillId="0" borderId="24" xfId="0" applyFont="1" applyFill="1" applyBorder="1"/>
    <xf numFmtId="0" fontId="132" fillId="0" borderId="24" xfId="0" applyFont="1" applyBorder="1"/>
    <xf numFmtId="0" fontId="133" fillId="0" borderId="27" xfId="0" applyFont="1" applyBorder="1"/>
    <xf numFmtId="0" fontId="133" fillId="0" borderId="13" xfId="0" applyFont="1" applyBorder="1"/>
    <xf numFmtId="0" fontId="133" fillId="0" borderId="10" xfId="0" applyFont="1" applyBorder="1"/>
    <xf numFmtId="0" fontId="149" fillId="2" borderId="0" xfId="3" applyFont="1" applyFill="1" applyBorder="1" applyAlignment="1">
      <alignment horizontal="center" wrapText="1"/>
    </xf>
    <xf numFmtId="0" fontId="150" fillId="2" borderId="0" xfId="0" applyFont="1" applyFill="1" applyBorder="1" applyAlignment="1">
      <alignment horizontal="center" wrapText="1"/>
    </xf>
    <xf numFmtId="0" fontId="132" fillId="0" borderId="0" xfId="0" applyFont="1" applyAlignment="1"/>
    <xf numFmtId="0" fontId="132" fillId="0" borderId="0" xfId="0" applyFont="1" applyAlignment="1">
      <alignment horizontal="center" vertical="center"/>
    </xf>
    <xf numFmtId="0" fontId="136" fillId="0" borderId="0" xfId="0" applyFont="1" applyAlignment="1">
      <alignment horizontal="center"/>
    </xf>
    <xf numFmtId="0" fontId="151" fillId="2" borderId="24" xfId="4" applyFont="1" applyFill="1" applyBorder="1" applyAlignment="1">
      <alignment horizontal="center" vertical="center"/>
    </xf>
    <xf numFmtId="0" fontId="152" fillId="2" borderId="24" xfId="4" applyFont="1" applyFill="1" applyBorder="1" applyAlignment="1"/>
    <xf numFmtId="0" fontId="152" fillId="2" borderId="24" xfId="4" applyFont="1" applyFill="1" applyBorder="1" applyAlignment="1">
      <alignment vertical="center"/>
    </xf>
    <xf numFmtId="0" fontId="132" fillId="0" borderId="24" xfId="0" applyFont="1" applyBorder="1" applyAlignment="1"/>
    <xf numFmtId="0" fontId="153" fillId="0" borderId="5" xfId="4" applyFont="1" applyBorder="1" applyAlignment="1">
      <alignment horizontal="center" vertical="center" wrapText="1"/>
    </xf>
    <xf numFmtId="0" fontId="134" fillId="0" borderId="5" xfId="4" applyFont="1" applyBorder="1" applyAlignment="1">
      <alignment horizontal="center" vertical="center" wrapText="1"/>
    </xf>
    <xf numFmtId="0" fontId="134" fillId="0" borderId="14" xfId="4" applyFont="1" applyBorder="1" applyAlignment="1">
      <alignment horizontal="center" vertical="center" wrapText="1"/>
    </xf>
    <xf numFmtId="0" fontId="154" fillId="0" borderId="15" xfId="4" applyFont="1" applyBorder="1" applyAlignment="1">
      <alignment horizontal="center" vertical="center" wrapText="1"/>
    </xf>
    <xf numFmtId="0" fontId="155" fillId="0" borderId="2" xfId="4" applyFont="1" applyBorder="1" applyAlignment="1">
      <alignment horizontal="center" wrapText="1"/>
    </xf>
    <xf numFmtId="0" fontId="148" fillId="0" borderId="15" xfId="4" applyFont="1" applyBorder="1" applyAlignment="1">
      <alignment horizontal="center" wrapText="1"/>
    </xf>
    <xf numFmtId="0" fontId="148" fillId="0" borderId="2" xfId="4" applyFont="1" applyBorder="1" applyAlignment="1">
      <alignment horizontal="center" wrapText="1"/>
    </xf>
    <xf numFmtId="0" fontId="148" fillId="0" borderId="1" xfId="4" applyFont="1" applyBorder="1" applyAlignment="1">
      <alignment horizontal="center" vertical="center" wrapText="1"/>
    </xf>
    <xf numFmtId="0" fontId="148" fillId="0" borderId="3" xfId="4" applyFont="1" applyBorder="1" applyAlignment="1">
      <alignment horizontal="center" vertical="center" wrapText="1"/>
    </xf>
    <xf numFmtId="0" fontId="148" fillId="0" borderId="66" xfId="4" applyFont="1" applyBorder="1" applyAlignment="1">
      <alignment horizontal="center" vertical="center" wrapText="1"/>
    </xf>
    <xf numFmtId="0" fontId="153" fillId="0" borderId="5" xfId="4" applyFont="1" applyBorder="1" applyAlignment="1">
      <alignment horizontal="center" wrapText="1"/>
    </xf>
    <xf numFmtId="0" fontId="153" fillId="0" borderId="11" xfId="4" applyFont="1" applyBorder="1" applyAlignment="1">
      <alignment horizontal="center" vertical="center"/>
    </xf>
    <xf numFmtId="0" fontId="134" fillId="0" borderId="11" xfId="4" applyFont="1" applyBorder="1" applyAlignment="1">
      <alignment horizontal="center" vertical="center" wrapText="1"/>
    </xf>
    <xf numFmtId="0" fontId="134" fillId="0" borderId="6" xfId="4" applyFont="1" applyBorder="1" applyAlignment="1">
      <alignment horizontal="center" vertical="center" wrapText="1"/>
    </xf>
    <xf numFmtId="0" fontId="154" fillId="0" borderId="13" xfId="4" applyFont="1" applyBorder="1" applyAlignment="1">
      <alignment horizontal="center" vertical="center" wrapText="1"/>
    </xf>
    <xf numFmtId="0" fontId="156" fillId="0" borderId="10" xfId="6" applyFont="1" applyBorder="1" applyAlignment="1">
      <alignment horizontal="center" wrapText="1"/>
    </xf>
    <xf numFmtId="0" fontId="148" fillId="0" borderId="13" xfId="4" applyFont="1" applyBorder="1" applyAlignment="1">
      <alignment horizontal="center" wrapText="1"/>
    </xf>
    <xf numFmtId="0" fontId="148" fillId="0" borderId="10" xfId="4" applyFont="1" applyBorder="1" applyAlignment="1">
      <alignment horizontal="center" wrapText="1"/>
    </xf>
    <xf numFmtId="0" fontId="148" fillId="0" borderId="26" xfId="4" applyFont="1" applyBorder="1" applyAlignment="1">
      <alignment horizontal="center" vertical="center" wrapText="1"/>
    </xf>
    <xf numFmtId="0" fontId="148" fillId="0" borderId="0" xfId="4" applyFont="1" applyBorder="1" applyAlignment="1">
      <alignment horizontal="center" vertical="center" wrapText="1"/>
    </xf>
    <xf numFmtId="0" fontId="148" fillId="0" borderId="67" xfId="4" applyFont="1" applyBorder="1" applyAlignment="1">
      <alignment horizontal="center" vertical="center" wrapText="1"/>
    </xf>
    <xf numFmtId="0" fontId="153" fillId="0" borderId="11" xfId="4" applyFont="1" applyBorder="1" applyAlignment="1">
      <alignment horizontal="center" wrapText="1"/>
    </xf>
    <xf numFmtId="0" fontId="148" fillId="0" borderId="7" xfId="4" applyFont="1" applyBorder="1" applyAlignment="1">
      <alignment horizontal="center" wrapText="1"/>
    </xf>
    <xf numFmtId="0" fontId="148" fillId="0" borderId="68" xfId="4" applyFont="1" applyBorder="1" applyAlignment="1">
      <alignment horizontal="center" vertical="center" wrapText="1"/>
    </xf>
    <xf numFmtId="0" fontId="148" fillId="0" borderId="24" xfId="4" applyFont="1" applyBorder="1" applyAlignment="1">
      <alignment horizontal="center" vertical="center" wrapText="1"/>
    </xf>
    <xf numFmtId="0" fontId="148" fillId="0" borderId="69" xfId="4" applyFont="1" applyBorder="1" applyAlignment="1">
      <alignment horizontal="center" vertical="center" wrapText="1"/>
    </xf>
    <xf numFmtId="0" fontId="153" fillId="0" borderId="25" xfId="4" applyFont="1" applyBorder="1" applyAlignment="1">
      <alignment horizontal="center" vertical="center"/>
    </xf>
    <xf numFmtId="0" fontId="134" fillId="0" borderId="25" xfId="4" applyFont="1" applyBorder="1" applyAlignment="1">
      <alignment horizontal="center" vertical="center" wrapText="1"/>
    </xf>
    <xf numFmtId="0" fontId="134" fillId="0" borderId="22" xfId="4" applyFont="1" applyBorder="1" applyAlignment="1">
      <alignment horizontal="center" vertical="center" wrapText="1"/>
    </xf>
    <xf numFmtId="0" fontId="154" fillId="0" borderId="12" xfId="4" applyFont="1" applyBorder="1" applyAlignment="1">
      <alignment horizontal="center" vertical="center" wrapText="1"/>
    </xf>
    <xf numFmtId="0" fontId="156" fillId="0" borderId="74" xfId="6" applyFont="1" applyBorder="1" applyAlignment="1">
      <alignment horizontal="center" wrapText="1"/>
    </xf>
    <xf numFmtId="0" fontId="148" fillId="0" borderId="12" xfId="4" applyFont="1" applyBorder="1" applyAlignment="1">
      <alignment horizontal="center" wrapText="1"/>
    </xf>
    <xf numFmtId="0" fontId="148" fillId="0" borderId="74" xfId="4" applyFont="1" applyBorder="1" applyAlignment="1">
      <alignment horizontal="center" wrapText="1"/>
    </xf>
    <xf numFmtId="0" fontId="157" fillId="0" borderId="74" xfId="6" applyFont="1" applyBorder="1" applyAlignment="1">
      <alignment horizontal="center" vertical="center"/>
    </xf>
    <xf numFmtId="0" fontId="157" fillId="0" borderId="22" xfId="6" applyFont="1" applyBorder="1" applyAlignment="1">
      <alignment horizontal="center" vertical="center"/>
    </xf>
    <xf numFmtId="0" fontId="157" fillId="0" borderId="24" xfId="6" applyFont="1" applyBorder="1" applyAlignment="1">
      <alignment horizontal="center" vertical="center"/>
    </xf>
    <xf numFmtId="0" fontId="157" fillId="0" borderId="78" xfId="6" applyFont="1" applyBorder="1" applyAlignment="1">
      <alignment horizontal="center" vertical="center"/>
    </xf>
    <xf numFmtId="0" fontId="157" fillId="0" borderId="39" xfId="6" applyFont="1" applyBorder="1" applyAlignment="1">
      <alignment horizontal="center" vertical="center"/>
    </xf>
    <xf numFmtId="0" fontId="157" fillId="0" borderId="69" xfId="6" applyFont="1" applyBorder="1" applyAlignment="1">
      <alignment horizontal="center" vertical="center"/>
    </xf>
    <xf numFmtId="0" fontId="153" fillId="0" borderId="25" xfId="4" applyFont="1" applyBorder="1" applyAlignment="1">
      <alignment horizontal="center" wrapText="1"/>
    </xf>
    <xf numFmtId="0" fontId="158" fillId="2" borderId="52" xfId="0" applyFont="1" applyFill="1" applyBorder="1" applyAlignment="1">
      <alignment horizontal="center" vertical="center"/>
    </xf>
    <xf numFmtId="0" fontId="158" fillId="2" borderId="80" xfId="0" applyFont="1" applyFill="1" applyBorder="1" applyAlignment="1">
      <alignment horizontal="center"/>
    </xf>
    <xf numFmtId="0" fontId="158" fillId="2" borderId="51" xfId="0" applyFont="1" applyFill="1" applyBorder="1" applyAlignment="1">
      <alignment horizontal="center"/>
    </xf>
    <xf numFmtId="0" fontId="158" fillId="2" borderId="39" xfId="0" quotePrefix="1" applyFont="1" applyFill="1" applyBorder="1" applyAlignment="1">
      <alignment horizontal="center" vertical="center"/>
    </xf>
    <xf numFmtId="0" fontId="158" fillId="2" borderId="39" xfId="0" quotePrefix="1" applyFont="1" applyFill="1" applyBorder="1" applyAlignment="1">
      <alignment horizontal="center"/>
    </xf>
    <xf numFmtId="0" fontId="158" fillId="2" borderId="78" xfId="0" quotePrefix="1" applyFont="1" applyFill="1" applyBorder="1" applyAlignment="1">
      <alignment horizontal="center"/>
    </xf>
    <xf numFmtId="0" fontId="158" fillId="2" borderId="40" xfId="0" quotePrefix="1" applyFont="1" applyFill="1" applyBorder="1" applyAlignment="1">
      <alignment horizontal="center"/>
    </xf>
    <xf numFmtId="0" fontId="159" fillId="21" borderId="5" xfId="0" applyFont="1" applyFill="1" applyBorder="1" applyAlignment="1">
      <alignment horizontal="center" vertical="center" wrapText="1"/>
    </xf>
    <xf numFmtId="43" fontId="159" fillId="21" borderId="1" xfId="1" applyFont="1" applyFill="1" applyBorder="1" applyAlignment="1">
      <alignment horizontal="center" vertical="center" wrapText="1"/>
    </xf>
    <xf numFmtId="43" fontId="158" fillId="21" borderId="15" xfId="1" quotePrefix="1" applyFont="1" applyFill="1" applyBorder="1" applyAlignment="1">
      <alignment horizontal="center" vertical="center"/>
    </xf>
    <xf numFmtId="3" fontId="140" fillId="21" borderId="4" xfId="0" quotePrefix="1" applyNumberFormat="1" applyFont="1" applyFill="1" applyBorder="1" applyAlignment="1">
      <alignment horizontal="right" vertical="center"/>
    </xf>
    <xf numFmtId="3" fontId="158" fillId="2" borderId="42" xfId="0" quotePrefix="1" applyNumberFormat="1" applyFont="1" applyFill="1" applyBorder="1" applyAlignment="1">
      <alignment horizontal="center"/>
    </xf>
    <xf numFmtId="3" fontId="158" fillId="2" borderId="89" xfId="0" quotePrefix="1" applyNumberFormat="1" applyFont="1" applyFill="1" applyBorder="1" applyAlignment="1">
      <alignment horizontal="center"/>
    </xf>
    <xf numFmtId="0" fontId="160" fillId="68" borderId="52" xfId="4" applyFont="1" applyFill="1" applyBorder="1" applyAlignment="1">
      <alignment horizontal="center" vertical="center" wrapText="1"/>
    </xf>
    <xf numFmtId="0" fontId="160" fillId="68" borderId="52" xfId="4" applyFont="1" applyFill="1" applyBorder="1" applyAlignment="1">
      <alignment horizontal="center" wrapText="1"/>
    </xf>
    <xf numFmtId="0" fontId="137" fillId="68" borderId="51" xfId="4" applyFont="1" applyFill="1" applyBorder="1" applyAlignment="1"/>
    <xf numFmtId="0" fontId="161" fillId="68" borderId="39" xfId="0" applyFont="1" applyFill="1" applyBorder="1" applyAlignment="1">
      <alignment horizontal="center" vertical="center" wrapText="1"/>
    </xf>
    <xf numFmtId="3" fontId="136" fillId="68" borderId="39" xfId="4" applyNumberFormat="1" applyFont="1" applyFill="1" applyBorder="1" applyAlignment="1">
      <alignment horizontal="right"/>
    </xf>
    <xf numFmtId="0" fontId="155" fillId="68" borderId="40" xfId="4" applyFont="1" applyFill="1" applyBorder="1" applyAlignment="1">
      <alignment horizontal="center" wrapText="1"/>
    </xf>
    <xf numFmtId="3" fontId="158" fillId="2" borderId="66" xfId="0" quotePrefix="1" applyNumberFormat="1" applyFont="1" applyFill="1" applyBorder="1" applyAlignment="1">
      <alignment horizontal="center"/>
    </xf>
    <xf numFmtId="0" fontId="162" fillId="0" borderId="148" xfId="4" applyFont="1" applyFill="1" applyBorder="1" applyAlignment="1">
      <alignment horizontal="center" vertical="center"/>
    </xf>
    <xf numFmtId="0" fontId="162" fillId="0" borderId="148" xfId="4" applyFont="1" applyFill="1" applyBorder="1" applyAlignment="1">
      <alignment vertical="center" wrapText="1"/>
    </xf>
    <xf numFmtId="0" fontId="162" fillId="0" borderId="149" xfId="4" applyFont="1" applyFill="1" applyBorder="1" applyAlignment="1">
      <alignment horizontal="center" wrapText="1"/>
    </xf>
    <xf numFmtId="166" fontId="163" fillId="0" borderId="91" xfId="0" applyNumberFormat="1" applyFont="1" applyFill="1" applyBorder="1" applyAlignment="1">
      <alignment horizontal="center" vertical="center" wrapText="1"/>
    </xf>
    <xf numFmtId="3" fontId="137" fillId="0" borderId="91" xfId="4" applyNumberFormat="1" applyFont="1" applyFill="1" applyBorder="1" applyAlignment="1">
      <alignment horizontal="right"/>
    </xf>
    <xf numFmtId="3" fontId="162" fillId="0" borderId="91" xfId="4" applyNumberFormat="1" applyFont="1" applyFill="1" applyBorder="1" applyAlignment="1">
      <alignment horizontal="right"/>
    </xf>
    <xf numFmtId="3" fontId="162" fillId="0" borderId="90" xfId="4" applyNumberFormat="1" applyFont="1" applyFill="1" applyBorder="1" applyAlignment="1">
      <alignment horizontal="right"/>
    </xf>
    <xf numFmtId="3" fontId="162" fillId="0" borderId="54" xfId="4" applyNumberFormat="1" applyFont="1" applyFill="1" applyBorder="1" applyAlignment="1">
      <alignment horizontal="right"/>
    </xf>
    <xf numFmtId="0" fontId="155" fillId="0" borderId="43" xfId="4" applyFont="1" applyFill="1" applyBorder="1" applyAlignment="1">
      <alignment horizontal="center" wrapText="1"/>
    </xf>
    <xf numFmtId="0" fontId="158" fillId="0" borderId="42" xfId="4" applyFont="1" applyFill="1" applyBorder="1" applyAlignment="1">
      <alignment horizontal="center" wrapText="1"/>
    </xf>
    <xf numFmtId="0" fontId="162" fillId="0" borderId="11" xfId="4" applyFont="1" applyFill="1" applyBorder="1" applyAlignment="1">
      <alignment horizontal="center" vertical="center"/>
    </xf>
    <xf numFmtId="0" fontId="154" fillId="58" borderId="36" xfId="4" applyFont="1" applyFill="1" applyBorder="1" applyAlignment="1">
      <alignment horizontal="left" vertical="center"/>
    </xf>
    <xf numFmtId="0" fontId="154" fillId="58" borderId="8" xfId="4" applyFont="1" applyFill="1" applyBorder="1" applyAlignment="1">
      <alignment horizontal="left" vertical="center"/>
    </xf>
    <xf numFmtId="3" fontId="154" fillId="58" borderId="35" xfId="4" applyNumberFormat="1" applyFont="1" applyFill="1" applyBorder="1" applyAlignment="1">
      <alignment horizontal="right" vertical="center"/>
    </xf>
    <xf numFmtId="3" fontId="154" fillId="58" borderId="9" xfId="4" applyNumberFormat="1" applyFont="1" applyFill="1" applyBorder="1" applyAlignment="1">
      <alignment horizontal="right" vertical="center"/>
    </xf>
    <xf numFmtId="0" fontId="158" fillId="0" borderId="43" xfId="4" applyFont="1" applyFill="1" applyBorder="1" applyAlignment="1">
      <alignment horizontal="center" wrapText="1"/>
    </xf>
    <xf numFmtId="3" fontId="164" fillId="2" borderId="34" xfId="4" applyNumberFormat="1" applyFont="1" applyFill="1" applyBorder="1" applyAlignment="1">
      <alignment wrapText="1"/>
    </xf>
    <xf numFmtId="3" fontId="164" fillId="2" borderId="0" xfId="4" applyNumberFormat="1" applyFont="1" applyFill="1" applyBorder="1" applyAlignment="1">
      <alignment wrapText="1"/>
    </xf>
    <xf numFmtId="3" fontId="164" fillId="2" borderId="30" xfId="4" applyNumberFormat="1" applyFont="1" applyFill="1" applyBorder="1" applyAlignment="1">
      <alignment horizontal="right" vertical="center"/>
    </xf>
    <xf numFmtId="3" fontId="164" fillId="2" borderId="30" xfId="4" applyNumberFormat="1" applyFont="1" applyFill="1" applyBorder="1" applyAlignment="1">
      <alignment horizontal="right"/>
    </xf>
    <xf numFmtId="3" fontId="164" fillId="2" borderId="27" xfId="4" applyNumberFormat="1" applyFont="1" applyFill="1" applyBorder="1" applyAlignment="1">
      <alignment horizontal="right"/>
    </xf>
    <xf numFmtId="0" fontId="158" fillId="0" borderId="34" xfId="4" applyFont="1" applyFill="1" applyBorder="1" applyAlignment="1"/>
    <xf numFmtId="0" fontId="158" fillId="0" borderId="31" xfId="4" applyFont="1" applyFill="1" applyBorder="1" applyAlignment="1"/>
    <xf numFmtId="0" fontId="156" fillId="0" borderId="47" xfId="0" applyFont="1" applyBorder="1" applyAlignment="1">
      <alignment vertical="center"/>
    </xf>
    <xf numFmtId="3" fontId="158" fillId="2" borderId="13" xfId="4" applyNumberFormat="1" applyFont="1" applyFill="1" applyBorder="1" applyAlignment="1">
      <alignment horizontal="right"/>
    </xf>
    <xf numFmtId="3" fontId="158" fillId="0" borderId="30" xfId="4" applyNumberFormat="1" applyFont="1" applyFill="1" applyBorder="1" applyAlignment="1">
      <alignment horizontal="right"/>
    </xf>
    <xf numFmtId="0" fontId="155" fillId="0" borderId="41" xfId="4" applyFont="1" applyFill="1" applyBorder="1" applyAlignment="1">
      <alignment horizontal="center" wrapText="1"/>
    </xf>
    <xf numFmtId="0" fontId="158" fillId="0" borderId="41" xfId="4" applyFont="1" applyFill="1" applyBorder="1" applyAlignment="1">
      <alignment horizontal="center" wrapText="1"/>
    </xf>
    <xf numFmtId="0" fontId="162" fillId="0" borderId="56" xfId="4" applyFont="1" applyFill="1" applyBorder="1" applyAlignment="1">
      <alignment horizontal="center" vertical="center"/>
    </xf>
    <xf numFmtId="0" fontId="162" fillId="0" borderId="93" xfId="4" applyFont="1" applyFill="1" applyBorder="1" applyAlignment="1">
      <alignment wrapText="1"/>
    </xf>
    <xf numFmtId="0" fontId="162" fillId="0" borderId="92" xfId="4" applyFont="1" applyFill="1" applyBorder="1" applyAlignment="1">
      <alignment horizontal="center" wrapText="1"/>
    </xf>
    <xf numFmtId="166" fontId="163" fillId="0" borderId="54" xfId="0" applyNumberFormat="1" applyFont="1" applyFill="1" applyBorder="1" applyAlignment="1">
      <alignment horizontal="center" vertical="center" wrapText="1"/>
    </xf>
    <xf numFmtId="3" fontId="137" fillId="0" borderId="54" xfId="4" applyNumberFormat="1" applyFont="1" applyFill="1" applyBorder="1" applyAlignment="1">
      <alignment horizontal="right"/>
    </xf>
    <xf numFmtId="3" fontId="137" fillId="0" borderId="92" xfId="4" applyNumberFormat="1" applyFont="1" applyFill="1" applyBorder="1" applyAlignment="1">
      <alignment horizontal="right"/>
    </xf>
    <xf numFmtId="3" fontId="162" fillId="0" borderId="55" xfId="4" applyNumberFormat="1" applyFont="1" applyFill="1" applyBorder="1" applyAlignment="1">
      <alignment horizontal="right"/>
    </xf>
    <xf numFmtId="0" fontId="155" fillId="0" borderId="42" xfId="4" applyFont="1" applyFill="1" applyBorder="1" applyAlignment="1">
      <alignment horizontal="center" wrapText="1"/>
    </xf>
    <xf numFmtId="0" fontId="154" fillId="58" borderId="31" xfId="4" applyFont="1" applyFill="1" applyBorder="1" applyAlignment="1">
      <alignment horizontal="center" vertical="center"/>
    </xf>
    <xf numFmtId="0" fontId="154" fillId="58" borderId="30" xfId="4" applyFont="1" applyFill="1" applyBorder="1" applyAlignment="1">
      <alignment horizontal="left" vertical="center"/>
    </xf>
    <xf numFmtId="3" fontId="164" fillId="2" borderId="31" xfId="4" applyNumberFormat="1" applyFont="1" applyFill="1" applyBorder="1" applyAlignment="1">
      <alignment horizontal="center" wrapText="1"/>
    </xf>
    <xf numFmtId="3" fontId="154" fillId="2" borderId="30" xfId="4" applyNumberFormat="1" applyFont="1" applyFill="1" applyBorder="1" applyAlignment="1">
      <alignment horizontal="center" vertical="center" wrapText="1"/>
    </xf>
    <xf numFmtId="3" fontId="164" fillId="2" borderId="65" xfId="4" applyNumberFormat="1" applyFont="1" applyFill="1" applyBorder="1" applyAlignment="1">
      <alignment horizontal="right"/>
    </xf>
    <xf numFmtId="0" fontId="162" fillId="0" borderId="25" xfId="4" applyFont="1" applyFill="1" applyBorder="1" applyAlignment="1">
      <alignment horizontal="center" vertical="center"/>
    </xf>
    <xf numFmtId="0" fontId="137" fillId="0" borderId="31" xfId="4" applyFont="1" applyFill="1" applyBorder="1" applyAlignment="1">
      <alignment horizontal="center"/>
    </xf>
    <xf numFmtId="0" fontId="161" fillId="0" borderId="12" xfId="0" applyFont="1" applyBorder="1" applyAlignment="1">
      <alignment horizontal="center" vertical="center" wrapText="1"/>
    </xf>
    <xf numFmtId="3" fontId="158" fillId="2" borderId="12" xfId="4" applyNumberFormat="1" applyFont="1" applyFill="1" applyBorder="1" applyAlignment="1">
      <alignment horizontal="right"/>
    </xf>
    <xf numFmtId="3" fontId="158" fillId="0" borderId="47" xfId="4" applyNumberFormat="1" applyFont="1" applyFill="1" applyBorder="1" applyAlignment="1">
      <alignment horizontal="right"/>
    </xf>
    <xf numFmtId="0" fontId="162" fillId="0" borderId="53" xfId="4" applyFont="1" applyFill="1" applyBorder="1" applyAlignment="1">
      <alignment horizontal="center" wrapText="1"/>
    </xf>
    <xf numFmtId="0" fontId="155" fillId="0" borderId="66" xfId="4" applyFont="1" applyFill="1" applyBorder="1" applyAlignment="1">
      <alignment horizontal="center" wrapText="1"/>
    </xf>
    <xf numFmtId="0" fontId="154" fillId="58" borderId="36" xfId="4" applyFont="1" applyFill="1" applyBorder="1" applyAlignment="1">
      <alignment horizontal="left"/>
    </xf>
    <xf numFmtId="0" fontId="154" fillId="58" borderId="8" xfId="4" applyFont="1" applyFill="1" applyBorder="1" applyAlignment="1">
      <alignment horizontal="left"/>
    </xf>
    <xf numFmtId="0" fontId="154" fillId="58" borderId="35" xfId="4" applyFont="1" applyFill="1" applyBorder="1" applyAlignment="1">
      <alignment horizontal="left" vertical="center"/>
    </xf>
    <xf numFmtId="3" fontId="154" fillId="58" borderId="35" xfId="4" applyNumberFormat="1" applyFont="1" applyFill="1" applyBorder="1" applyAlignment="1">
      <alignment horizontal="right"/>
    </xf>
    <xf numFmtId="3" fontId="154" fillId="58" borderId="9" xfId="4" applyNumberFormat="1" applyFont="1" applyFill="1" applyBorder="1" applyAlignment="1">
      <alignment horizontal="right"/>
    </xf>
    <xf numFmtId="0" fontId="155" fillId="0" borderId="67" xfId="4" applyFont="1" applyFill="1" applyBorder="1" applyAlignment="1">
      <alignment horizontal="center" wrapText="1"/>
    </xf>
    <xf numFmtId="3" fontId="164" fillId="2" borderId="31" xfId="4" applyNumberFormat="1" applyFont="1" applyFill="1" applyBorder="1" applyAlignment="1">
      <alignment wrapText="1"/>
    </xf>
    <xf numFmtId="0" fontId="158" fillId="0" borderId="83" xfId="4" applyFont="1" applyFill="1" applyBorder="1" applyAlignment="1"/>
    <xf numFmtId="0" fontId="137" fillId="0" borderId="76" xfId="4" applyFont="1" applyFill="1" applyBorder="1" applyAlignment="1"/>
    <xf numFmtId="0" fontId="155" fillId="0" borderId="69" xfId="4" applyFont="1" applyFill="1" applyBorder="1" applyAlignment="1">
      <alignment horizontal="center" wrapText="1"/>
    </xf>
    <xf numFmtId="0" fontId="162" fillId="0" borderId="93" xfId="4" applyFont="1" applyFill="1" applyBorder="1" applyAlignment="1">
      <alignment vertical="center" wrapText="1"/>
    </xf>
    <xf numFmtId="0" fontId="162" fillId="0" borderId="53" xfId="4" applyFont="1" applyFill="1" applyBorder="1" applyAlignment="1">
      <alignment horizontal="center" vertical="center" wrapText="1"/>
    </xf>
    <xf numFmtId="0" fontId="162" fillId="0" borderId="14" xfId="4" applyFont="1" applyFill="1" applyBorder="1" applyAlignment="1">
      <alignment horizontal="center" vertical="center"/>
    </xf>
    <xf numFmtId="0" fontId="162" fillId="0" borderId="44" xfId="4" applyFont="1" applyFill="1" applyBorder="1" applyAlignment="1">
      <alignment vertical="center" wrapText="1"/>
    </xf>
    <xf numFmtId="0" fontId="162" fillId="0" borderId="16" xfId="4" applyFont="1" applyFill="1" applyBorder="1" applyAlignment="1">
      <alignment horizontal="center" vertical="center" wrapText="1"/>
    </xf>
    <xf numFmtId="166" fontId="163" fillId="0" borderId="70" xfId="0" applyNumberFormat="1" applyFont="1" applyFill="1" applyBorder="1" applyAlignment="1">
      <alignment horizontal="center" vertical="center" wrapText="1"/>
    </xf>
    <xf numFmtId="3" fontId="137" fillId="0" borderId="70" xfId="4" applyNumberFormat="1" applyFont="1" applyFill="1" applyBorder="1" applyAlignment="1">
      <alignment horizontal="right"/>
    </xf>
    <xf numFmtId="3" fontId="162" fillId="0" borderId="70" xfId="4" applyNumberFormat="1" applyFont="1" applyFill="1" applyBorder="1" applyAlignment="1">
      <alignment horizontal="right"/>
    </xf>
    <xf numFmtId="3" fontId="162" fillId="0" borderId="79" xfId="4" applyNumberFormat="1" applyFont="1" applyFill="1" applyBorder="1" applyAlignment="1">
      <alignment horizontal="right"/>
    </xf>
    <xf numFmtId="0" fontId="155" fillId="0" borderId="0" xfId="4" applyFont="1" applyFill="1" applyBorder="1" applyAlignment="1">
      <alignment horizontal="center" wrapText="1"/>
    </xf>
    <xf numFmtId="0" fontId="162" fillId="0" borderId="6" xfId="4" applyFont="1" applyFill="1" applyBorder="1" applyAlignment="1">
      <alignment horizontal="center" vertical="center"/>
    </xf>
    <xf numFmtId="0" fontId="154" fillId="58" borderId="46" xfId="4" applyFont="1" applyFill="1" applyBorder="1" applyAlignment="1">
      <alignment horizontal="left"/>
    </xf>
    <xf numFmtId="3" fontId="164" fillId="2" borderId="123" xfId="4" applyNumberFormat="1" applyFont="1" applyFill="1" applyBorder="1" applyAlignment="1">
      <alignment wrapText="1"/>
    </xf>
    <xf numFmtId="3" fontId="164" fillId="2" borderId="136" xfId="4" applyNumberFormat="1" applyFont="1" applyFill="1" applyBorder="1" applyAlignment="1">
      <alignment wrapText="1"/>
    </xf>
    <xf numFmtId="3" fontId="154" fillId="2" borderId="142" xfId="4" applyNumberFormat="1" applyFont="1" applyFill="1" applyBorder="1" applyAlignment="1">
      <alignment horizontal="center" vertical="center" wrapText="1"/>
    </xf>
    <xf numFmtId="3" fontId="164" fillId="2" borderId="142" xfId="4" applyNumberFormat="1" applyFont="1" applyFill="1" applyBorder="1" applyAlignment="1">
      <alignment horizontal="right"/>
    </xf>
    <xf numFmtId="0" fontId="158" fillId="0" borderId="146" xfId="4" applyFont="1" applyFill="1" applyBorder="1" applyAlignment="1"/>
    <xf numFmtId="0" fontId="137" fillId="0" borderId="147" xfId="4" applyFont="1" applyFill="1" applyBorder="1" applyAlignment="1"/>
    <xf numFmtId="3" fontId="158" fillId="0" borderId="144" xfId="4" applyNumberFormat="1" applyFont="1" applyFill="1" applyBorder="1" applyAlignment="1">
      <alignment horizontal="right"/>
    </xf>
    <xf numFmtId="0" fontId="162" fillId="0" borderId="22" xfId="4" applyFont="1" applyFill="1" applyBorder="1" applyAlignment="1">
      <alignment horizontal="center" vertical="center"/>
    </xf>
    <xf numFmtId="0" fontId="154" fillId="64" borderId="41" xfId="4" applyFont="1" applyFill="1" applyBorder="1" applyAlignment="1">
      <alignment horizontal="left"/>
    </xf>
    <xf numFmtId="0" fontId="154" fillId="64" borderId="24" xfId="4" applyFont="1" applyFill="1" applyBorder="1" applyAlignment="1">
      <alignment horizontal="left"/>
    </xf>
    <xf numFmtId="0" fontId="154" fillId="64" borderId="12" xfId="4" applyFont="1" applyFill="1" applyBorder="1" applyAlignment="1">
      <alignment horizontal="left" vertical="center"/>
    </xf>
    <xf numFmtId="3" fontId="154" fillId="64" borderId="12" xfId="4" applyNumberFormat="1" applyFont="1" applyFill="1" applyBorder="1" applyAlignment="1">
      <alignment horizontal="right"/>
    </xf>
    <xf numFmtId="3" fontId="154" fillId="64" borderId="23" xfId="4" applyNumberFormat="1" applyFont="1" applyFill="1" applyBorder="1" applyAlignment="1">
      <alignment horizontal="right"/>
    </xf>
    <xf numFmtId="0" fontId="162" fillId="0" borderId="16" xfId="4" applyFont="1" applyFill="1" applyBorder="1" applyAlignment="1">
      <alignment horizontal="center" wrapText="1"/>
    </xf>
    <xf numFmtId="0" fontId="157" fillId="0" borderId="41" xfId="6" applyFont="1" applyBorder="1" applyAlignment="1">
      <alignment horizontal="center"/>
    </xf>
    <xf numFmtId="0" fontId="162" fillId="0" borderId="44" xfId="4" applyFont="1" applyFill="1" applyBorder="1" applyAlignment="1">
      <alignment wrapText="1"/>
    </xf>
    <xf numFmtId="3" fontId="164" fillId="2" borderId="123" xfId="4" applyNumberFormat="1" applyFont="1" applyFill="1" applyBorder="1" applyAlignment="1"/>
    <xf numFmtId="0" fontId="162" fillId="33" borderId="6" xfId="4" applyFont="1" applyFill="1" applyBorder="1" applyAlignment="1">
      <alignment horizontal="center" vertical="center"/>
    </xf>
    <xf numFmtId="0" fontId="154" fillId="33" borderId="43" xfId="4" applyFont="1" applyFill="1" applyBorder="1" applyAlignment="1">
      <alignment horizontal="left"/>
    </xf>
    <xf numFmtId="0" fontId="154" fillId="33" borderId="0" xfId="4" applyFont="1" applyFill="1" applyBorder="1" applyAlignment="1">
      <alignment horizontal="left"/>
    </xf>
    <xf numFmtId="0" fontId="154" fillId="33" borderId="13" xfId="4" applyFont="1" applyFill="1" applyBorder="1" applyAlignment="1">
      <alignment horizontal="left" vertical="center"/>
    </xf>
    <xf numFmtId="3" fontId="154" fillId="33" borderId="13" xfId="4" applyNumberFormat="1" applyFont="1" applyFill="1" applyBorder="1" applyAlignment="1">
      <alignment horizontal="right"/>
    </xf>
    <xf numFmtId="3" fontId="154" fillId="33" borderId="27" xfId="4" applyNumberFormat="1" applyFont="1" applyFill="1" applyBorder="1" applyAlignment="1">
      <alignment horizontal="right"/>
    </xf>
    <xf numFmtId="3" fontId="154" fillId="33" borderId="0" xfId="4" applyNumberFormat="1" applyFont="1" applyFill="1" applyBorder="1" applyAlignment="1">
      <alignment horizontal="right"/>
    </xf>
    <xf numFmtId="0" fontId="155" fillId="33" borderId="43" xfId="4" applyFont="1" applyFill="1" applyBorder="1" applyAlignment="1">
      <alignment horizontal="center" wrapText="1"/>
    </xf>
    <xf numFmtId="0" fontId="155" fillId="33" borderId="0" xfId="4" applyFont="1" applyFill="1" applyBorder="1" applyAlignment="1">
      <alignment horizontal="center" wrapText="1"/>
    </xf>
    <xf numFmtId="0" fontId="132" fillId="33" borderId="0" xfId="0" applyFont="1" applyFill="1" applyAlignment="1"/>
    <xf numFmtId="0" fontId="132" fillId="33" borderId="0" xfId="0" applyFont="1" applyFill="1"/>
    <xf numFmtId="0" fontId="162" fillId="69" borderId="6" xfId="4" applyFont="1" applyFill="1" applyBorder="1" applyAlignment="1">
      <alignment horizontal="center" vertical="center"/>
    </xf>
    <xf numFmtId="0" fontId="160" fillId="69" borderId="43" xfId="4" applyFont="1" applyFill="1" applyBorder="1" applyAlignment="1">
      <alignment horizontal="left" wrapText="1"/>
    </xf>
    <xf numFmtId="0" fontId="154" fillId="69" borderId="0" xfId="4" applyFont="1" applyFill="1" applyBorder="1" applyAlignment="1">
      <alignment horizontal="left"/>
    </xf>
    <xf numFmtId="0" fontId="154" fillId="69" borderId="13" xfId="4" applyFont="1" applyFill="1" applyBorder="1" applyAlignment="1">
      <alignment horizontal="left" vertical="center"/>
    </xf>
    <xf numFmtId="3" fontId="154" fillId="69" borderId="13" xfId="4" applyNumberFormat="1" applyFont="1" applyFill="1" applyBorder="1" applyAlignment="1">
      <alignment horizontal="right"/>
    </xf>
    <xf numFmtId="3" fontId="154" fillId="69" borderId="27" xfId="4" applyNumberFormat="1" applyFont="1" applyFill="1" applyBorder="1" applyAlignment="1">
      <alignment horizontal="right"/>
    </xf>
    <xf numFmtId="3" fontId="154" fillId="69" borderId="0" xfId="4" applyNumberFormat="1" applyFont="1" applyFill="1" applyBorder="1" applyAlignment="1">
      <alignment horizontal="right"/>
    </xf>
    <xf numFmtId="0" fontId="155" fillId="69" borderId="43" xfId="4" applyFont="1" applyFill="1" applyBorder="1" applyAlignment="1">
      <alignment horizontal="center" wrapText="1"/>
    </xf>
    <xf numFmtId="0" fontId="160" fillId="69" borderId="43" xfId="4" applyFont="1" applyFill="1" applyBorder="1" applyAlignment="1">
      <alignment horizontal="left"/>
    </xf>
    <xf numFmtId="0" fontId="154" fillId="0" borderId="44" xfId="4" applyFont="1" applyFill="1" applyBorder="1" applyAlignment="1">
      <alignment vertical="center" wrapText="1"/>
    </xf>
    <xf numFmtId="0" fontId="162" fillId="70" borderId="6" xfId="4" applyFont="1" applyFill="1" applyBorder="1" applyAlignment="1">
      <alignment horizontal="center" vertical="center"/>
    </xf>
    <xf numFmtId="0" fontId="164" fillId="70" borderId="43" xfId="4" applyFont="1" applyFill="1" applyBorder="1" applyAlignment="1">
      <alignment horizontal="center" vertical="center"/>
    </xf>
    <xf numFmtId="0" fontId="154" fillId="70" borderId="0" xfId="4" applyFont="1" applyFill="1" applyBorder="1" applyAlignment="1">
      <alignment horizontal="left"/>
    </xf>
    <xf numFmtId="0" fontId="154" fillId="70" borderId="13" xfId="4" applyFont="1" applyFill="1" applyBorder="1" applyAlignment="1">
      <alignment horizontal="left" vertical="center"/>
    </xf>
    <xf numFmtId="3" fontId="154" fillId="70" borderId="13" xfId="4" applyNumberFormat="1" applyFont="1" applyFill="1" applyBorder="1" applyAlignment="1">
      <alignment horizontal="right"/>
    </xf>
    <xf numFmtId="3" fontId="154" fillId="70" borderId="27" xfId="4" applyNumberFormat="1" applyFont="1" applyFill="1" applyBorder="1" applyAlignment="1">
      <alignment horizontal="right"/>
    </xf>
    <xf numFmtId="3" fontId="154" fillId="70" borderId="0" xfId="4" applyNumberFormat="1" applyFont="1" applyFill="1" applyBorder="1" applyAlignment="1">
      <alignment horizontal="right"/>
    </xf>
    <xf numFmtId="0" fontId="155" fillId="70" borderId="43" xfId="4" applyFont="1" applyFill="1" applyBorder="1" applyAlignment="1">
      <alignment horizontal="center" wrapText="1"/>
    </xf>
    <xf numFmtId="3" fontId="164" fillId="2" borderId="136" xfId="4" applyNumberFormat="1" applyFont="1" applyFill="1" applyBorder="1" applyAlignment="1">
      <alignment vertical="center" wrapText="1"/>
    </xf>
    <xf numFmtId="0" fontId="137" fillId="0" borderId="147" xfId="4" applyFont="1" applyFill="1" applyBorder="1" applyAlignment="1">
      <alignment vertical="center"/>
    </xf>
    <xf numFmtId="0" fontId="154" fillId="64" borderId="24" xfId="4" applyFont="1" applyFill="1" applyBorder="1" applyAlignment="1">
      <alignment horizontal="left" vertical="center"/>
    </xf>
    <xf numFmtId="3" fontId="158" fillId="33" borderId="66" xfId="0" quotePrefix="1" applyNumberFormat="1" applyFont="1" applyFill="1" applyBorder="1" applyAlignment="1">
      <alignment horizontal="center"/>
    </xf>
    <xf numFmtId="0" fontId="162" fillId="0" borderId="0" xfId="4" applyFont="1" applyFill="1" applyBorder="1" applyAlignment="1">
      <alignment horizontal="center" vertical="center"/>
    </xf>
    <xf numFmtId="0" fontId="158" fillId="0" borderId="0" xfId="4" applyFont="1" applyFill="1" applyBorder="1" applyAlignment="1"/>
    <xf numFmtId="0" fontId="137" fillId="0" borderId="0" xfId="4" applyFont="1" applyFill="1" applyBorder="1" applyAlignment="1"/>
    <xf numFmtId="0" fontId="161" fillId="0" borderId="0" xfId="0" applyFont="1" applyBorder="1" applyAlignment="1">
      <alignment horizontal="center" vertical="center" wrapText="1"/>
    </xf>
    <xf numFmtId="3" fontId="158" fillId="2" borderId="0" xfId="4" applyNumberFormat="1" applyFont="1" applyFill="1" applyBorder="1" applyAlignment="1">
      <alignment horizontal="right"/>
    </xf>
    <xf numFmtId="3" fontId="158" fillId="0" borderId="0" xfId="4" applyNumberFormat="1" applyFont="1" applyFill="1" applyBorder="1" applyAlignment="1">
      <alignment horizontal="right"/>
    </xf>
    <xf numFmtId="0" fontId="165" fillId="68" borderId="80" xfId="4" applyFont="1" applyFill="1" applyBorder="1" applyAlignment="1">
      <alignment horizontal="center" vertical="center" wrapText="1"/>
    </xf>
    <xf numFmtId="0" fontId="155" fillId="68" borderId="0" xfId="4" applyFont="1" applyFill="1" applyBorder="1" applyAlignment="1">
      <alignment horizontal="center" wrapText="1"/>
    </xf>
    <xf numFmtId="3" fontId="162" fillId="0" borderId="2" xfId="4" applyNumberFormat="1" applyFont="1" applyFill="1" applyBorder="1" applyAlignment="1">
      <alignment horizontal="right"/>
    </xf>
    <xf numFmtId="3" fontId="164" fillId="2" borderId="123" xfId="4" applyNumberFormat="1" applyFont="1" applyFill="1" applyBorder="1" applyAlignment="1">
      <alignment vertical="center" wrapText="1"/>
    </xf>
    <xf numFmtId="0" fontId="155" fillId="0" borderId="0" xfId="4" applyFont="1" applyFill="1" applyBorder="1" applyAlignment="1">
      <alignment horizontal="center" vertical="center" wrapText="1"/>
    </xf>
    <xf numFmtId="0" fontId="162" fillId="0" borderId="37" xfId="4" applyFont="1" applyFill="1" applyBorder="1" applyAlignment="1">
      <alignment horizontal="center" vertical="center"/>
    </xf>
    <xf numFmtId="0" fontId="138" fillId="0" borderId="47" xfId="4" applyFont="1" applyFill="1" applyBorder="1" applyAlignment="1">
      <alignment wrapText="1"/>
    </xf>
    <xf numFmtId="0" fontId="137" fillId="0" borderId="47" xfId="4" applyFont="1" applyFill="1" applyBorder="1" applyAlignment="1"/>
    <xf numFmtId="0" fontId="161" fillId="0" borderId="47" xfId="0" applyFont="1" applyBorder="1" applyAlignment="1">
      <alignment horizontal="center" vertical="center" wrapText="1"/>
    </xf>
    <xf numFmtId="3" fontId="158" fillId="2" borderId="47" xfId="4" applyNumberFormat="1" applyFont="1" applyFill="1" applyBorder="1" applyAlignment="1">
      <alignment horizontal="right"/>
    </xf>
    <xf numFmtId="3" fontId="158" fillId="0" borderId="48" xfId="4" applyNumberFormat="1" applyFont="1" applyFill="1" applyBorder="1" applyAlignment="1">
      <alignment horizontal="right"/>
    </xf>
    <xf numFmtId="0" fontId="160" fillId="68" borderId="24" xfId="4" applyFont="1" applyFill="1" applyBorder="1" applyAlignment="1">
      <alignment horizontal="center" vertical="center" wrapText="1"/>
    </xf>
    <xf numFmtId="0" fontId="160" fillId="68" borderId="24" xfId="4" applyFont="1" applyFill="1" applyBorder="1" applyAlignment="1">
      <alignment horizontal="center" wrapText="1"/>
    </xf>
    <xf numFmtId="0" fontId="137" fillId="68" borderId="24" xfId="4" applyFont="1" applyFill="1" applyBorder="1" applyAlignment="1"/>
    <xf numFmtId="0" fontId="161" fillId="68" borderId="12" xfId="0" applyFont="1" applyFill="1" applyBorder="1" applyAlignment="1">
      <alignment horizontal="center" vertical="center" wrapText="1"/>
    </xf>
    <xf numFmtId="3" fontId="136" fillId="68" borderId="12" xfId="4" applyNumberFormat="1" applyFont="1" applyFill="1" applyBorder="1" applyAlignment="1">
      <alignment horizontal="right"/>
    </xf>
    <xf numFmtId="0" fontId="160" fillId="68" borderId="38" xfId="4" applyFont="1" applyFill="1" applyBorder="1" applyAlignment="1">
      <alignment horizontal="center" vertical="center" wrapText="1"/>
    </xf>
    <xf numFmtId="0" fontId="160" fillId="68" borderId="39" xfId="4" applyFont="1" applyFill="1" applyBorder="1" applyAlignment="1">
      <alignment horizontal="center" vertical="center" wrapText="1"/>
    </xf>
    <xf numFmtId="0" fontId="137" fillId="68" borderId="39" xfId="4" applyFont="1" applyFill="1" applyBorder="1" applyAlignment="1"/>
    <xf numFmtId="3" fontId="158" fillId="68" borderId="39" xfId="4" applyNumberFormat="1" applyFont="1" applyFill="1" applyBorder="1" applyAlignment="1">
      <alignment horizontal="right"/>
    </xf>
    <xf numFmtId="0" fontId="162" fillId="0" borderId="46" xfId="4" applyFont="1" applyFill="1" applyBorder="1" applyAlignment="1">
      <alignment wrapText="1"/>
    </xf>
    <xf numFmtId="0" fontId="162" fillId="0" borderId="20" xfId="4" applyFont="1" applyFill="1" applyBorder="1" applyAlignment="1">
      <alignment horizontal="center" wrapText="1"/>
    </xf>
    <xf numFmtId="166" fontId="163" fillId="0" borderId="35" xfId="0" applyNumberFormat="1" applyFont="1" applyFill="1" applyBorder="1" applyAlignment="1">
      <alignment horizontal="center" vertical="center" wrapText="1"/>
    </xf>
    <xf numFmtId="3" fontId="137" fillId="0" borderId="35" xfId="4" applyNumberFormat="1" applyFont="1" applyFill="1" applyBorder="1" applyAlignment="1">
      <alignment horizontal="right"/>
    </xf>
    <xf numFmtId="3" fontId="162" fillId="0" borderId="35" xfId="4" applyNumberFormat="1" applyFont="1" applyFill="1" applyBorder="1" applyAlignment="1">
      <alignment horizontal="right"/>
    </xf>
    <xf numFmtId="3" fontId="162" fillId="0" borderId="7" xfId="4" applyNumberFormat="1" applyFont="1" applyFill="1" applyBorder="1" applyAlignment="1">
      <alignment horizontal="right"/>
    </xf>
    <xf numFmtId="0" fontId="166" fillId="69" borderId="142" xfId="4" applyFont="1" applyFill="1" applyBorder="1" applyAlignment="1">
      <alignment horizontal="center" vertical="center"/>
    </xf>
    <xf numFmtId="0" fontId="167" fillId="69" borderId="142" xfId="4" applyFont="1" applyFill="1" applyBorder="1" applyAlignment="1">
      <alignment horizontal="center" vertical="center"/>
    </xf>
    <xf numFmtId="0" fontId="168" fillId="69" borderId="142" xfId="4" applyFont="1" applyFill="1" applyBorder="1" applyAlignment="1"/>
    <xf numFmtId="0" fontId="169" fillId="69" borderId="142" xfId="0" applyFont="1" applyFill="1" applyBorder="1" applyAlignment="1">
      <alignment horizontal="center" vertical="center" wrapText="1"/>
    </xf>
    <xf numFmtId="3" fontId="167" fillId="69" borderId="142" xfId="4" applyNumberFormat="1" applyFont="1" applyFill="1" applyBorder="1" applyAlignment="1">
      <alignment horizontal="right"/>
    </xf>
    <xf numFmtId="0" fontId="170" fillId="69" borderId="142" xfId="4" applyFont="1" applyFill="1" applyBorder="1" applyAlignment="1">
      <alignment horizontal="center" wrapText="1"/>
    </xf>
    <xf numFmtId="0" fontId="145" fillId="69" borderId="142" xfId="0" applyFont="1" applyFill="1" applyBorder="1" applyAlignment="1"/>
    <xf numFmtId="0" fontId="145" fillId="69" borderId="142" xfId="0" applyFont="1" applyFill="1" applyBorder="1"/>
    <xf numFmtId="0" fontId="165" fillId="58" borderId="0" xfId="4" applyFont="1" applyFill="1" applyBorder="1" applyAlignment="1"/>
    <xf numFmtId="0" fontId="137" fillId="58" borderId="0" xfId="4" applyFont="1" applyFill="1" applyBorder="1" applyAlignment="1"/>
    <xf numFmtId="0" fontId="135" fillId="58" borderId="142" xfId="4" applyFont="1" applyFill="1" applyBorder="1" applyAlignment="1">
      <alignment vertical="center" wrapText="1"/>
    </xf>
    <xf numFmtId="0" fontId="137" fillId="58" borderId="142" xfId="4" applyFont="1" applyFill="1" applyBorder="1" applyAlignment="1">
      <alignment vertical="center"/>
    </xf>
    <xf numFmtId="0" fontId="161" fillId="58" borderId="142" xfId="0" applyFont="1" applyFill="1" applyBorder="1" applyAlignment="1">
      <alignment horizontal="center" vertical="center" wrapText="1"/>
    </xf>
    <xf numFmtId="3" fontId="158" fillId="58" borderId="142" xfId="4" applyNumberFormat="1" applyFont="1" applyFill="1" applyBorder="1" applyAlignment="1">
      <alignment horizontal="right" vertical="center"/>
    </xf>
    <xf numFmtId="3" fontId="135" fillId="58" borderId="142" xfId="4" applyNumberFormat="1" applyFont="1" applyFill="1" applyBorder="1" applyAlignment="1">
      <alignment horizontal="right" vertical="center"/>
    </xf>
    <xf numFmtId="3" fontId="158" fillId="58" borderId="142" xfId="4" applyNumberFormat="1" applyFont="1" applyFill="1" applyBorder="1" applyAlignment="1">
      <alignment horizontal="right"/>
    </xf>
    <xf numFmtId="0" fontId="138" fillId="0" borderId="142" xfId="4" applyFont="1" applyFill="1" applyBorder="1" applyAlignment="1">
      <alignment vertical="center" wrapText="1"/>
    </xf>
    <xf numFmtId="0" fontId="137" fillId="0" borderId="142" xfId="4" applyFont="1" applyFill="1" applyBorder="1" applyAlignment="1">
      <alignment vertical="center"/>
    </xf>
    <xf numFmtId="0" fontId="161" fillId="0" borderId="142" xfId="0" applyFont="1" applyBorder="1" applyAlignment="1">
      <alignment horizontal="center" vertical="center" wrapText="1"/>
    </xf>
    <xf numFmtId="3" fontId="158" fillId="2" borderId="142" xfId="4" applyNumberFormat="1" applyFont="1" applyFill="1" applyBorder="1" applyAlignment="1">
      <alignment horizontal="right" vertical="center"/>
    </xf>
    <xf numFmtId="3" fontId="158" fillId="0" borderId="142" xfId="4" applyNumberFormat="1" applyFont="1" applyFill="1" applyBorder="1" applyAlignment="1">
      <alignment horizontal="right" vertical="center"/>
    </xf>
    <xf numFmtId="3" fontId="138" fillId="0" borderId="142" xfId="4" applyNumberFormat="1" applyFont="1" applyFill="1" applyBorder="1" applyAlignment="1">
      <alignment horizontal="right" vertical="center"/>
    </xf>
    <xf numFmtId="3" fontId="158" fillId="0" borderId="142" xfId="4" applyNumberFormat="1" applyFont="1" applyFill="1" applyBorder="1" applyAlignment="1">
      <alignment horizontal="right"/>
    </xf>
    <xf numFmtId="0" fontId="158" fillId="0" borderId="0" xfId="4" applyFont="1" applyFill="1" applyBorder="1" applyAlignment="1">
      <alignment vertical="center"/>
    </xf>
    <xf numFmtId="0" fontId="137" fillId="0" borderId="0" xfId="4" applyFont="1" applyFill="1" applyBorder="1" applyAlignment="1">
      <alignment vertical="center"/>
    </xf>
    <xf numFmtId="3" fontId="158" fillId="2" borderId="0" xfId="4" applyNumberFormat="1" applyFont="1" applyFill="1" applyBorder="1" applyAlignment="1">
      <alignment horizontal="right" vertical="center"/>
    </xf>
    <xf numFmtId="3" fontId="158" fillId="0" borderId="0" xfId="4" applyNumberFormat="1" applyFont="1" applyFill="1" applyBorder="1" applyAlignment="1">
      <alignment horizontal="right" vertical="center"/>
    </xf>
    <xf numFmtId="0" fontId="158" fillId="0" borderId="142" xfId="4" applyFont="1" applyFill="1" applyBorder="1" applyAlignment="1">
      <alignment vertical="center" wrapText="1"/>
    </xf>
    <xf numFmtId="0" fontId="138" fillId="33" borderId="142" xfId="152" applyFont="1" applyFill="1" applyBorder="1" applyAlignment="1">
      <alignment vertical="center" wrapText="1"/>
    </xf>
    <xf numFmtId="0" fontId="137" fillId="0" borderId="142" xfId="4" applyFont="1" applyFill="1" applyBorder="1" applyAlignment="1"/>
    <xf numFmtId="3" fontId="158" fillId="2" borderId="142" xfId="4" applyNumberFormat="1" applyFont="1" applyFill="1" applyBorder="1" applyAlignment="1">
      <alignment horizontal="right"/>
    </xf>
    <xf numFmtId="3" fontId="132" fillId="0" borderId="142" xfId="152" applyNumberFormat="1" applyFont="1" applyBorder="1" applyAlignment="1">
      <alignment vertical="center"/>
    </xf>
    <xf numFmtId="0" fontId="132" fillId="0" borderId="142" xfId="0" applyFont="1" applyBorder="1" applyAlignment="1"/>
    <xf numFmtId="0" fontId="132" fillId="0" borderId="142" xfId="0" applyFont="1" applyBorder="1" applyAlignment="1">
      <alignment vertical="center"/>
    </xf>
    <xf numFmtId="0" fontId="132" fillId="0" borderId="142" xfId="152" applyFont="1" applyBorder="1"/>
  </cellXfs>
  <cellStyles count="153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4" xfId="20"/>
    <cellStyle name="Normalny 5" xfId="21"/>
    <cellStyle name="Normalny 6" xfId="22"/>
    <cellStyle name="Normalny 7" xfId="112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Emph" xfId="74"/>
    <cellStyle name="SAPBEXaggDataEmph 2" xfId="117"/>
    <cellStyle name="SAPBEXaggItem" xfId="75"/>
    <cellStyle name="SAPBEXaggItem 2" xfId="118"/>
    <cellStyle name="SAPBEXaggItemX" xfId="76"/>
    <cellStyle name="SAPBEXaggItemX 2" xfId="119"/>
    <cellStyle name="SAPBEXchaText" xfId="77"/>
    <cellStyle name="SAPBEXchaText 2" xfId="120"/>
    <cellStyle name="SAPBEXexcBad7" xfId="78"/>
    <cellStyle name="SAPBEXexcBad7 2" xfId="121"/>
    <cellStyle name="SAPBEXexcBad8" xfId="79"/>
    <cellStyle name="SAPBEXexcBad8 2" xfId="122"/>
    <cellStyle name="SAPBEXexcBad9" xfId="80"/>
    <cellStyle name="SAPBEXexcBad9 2" xfId="123"/>
    <cellStyle name="SAPBEXexcCritical4" xfId="81"/>
    <cellStyle name="SAPBEXexcCritical4 2" xfId="124"/>
    <cellStyle name="SAPBEXexcCritical5" xfId="82"/>
    <cellStyle name="SAPBEXexcCritical5 2" xfId="125"/>
    <cellStyle name="SAPBEXexcCritical6" xfId="83"/>
    <cellStyle name="SAPBEXexcCritical6 2" xfId="126"/>
    <cellStyle name="SAPBEXexcGood1" xfId="84"/>
    <cellStyle name="SAPBEXexcGood1 2" xfId="127"/>
    <cellStyle name="SAPBEXexcGood2" xfId="85"/>
    <cellStyle name="SAPBEXexcGood2 2" xfId="128"/>
    <cellStyle name="SAPBEXexcGood3" xfId="86"/>
    <cellStyle name="SAPBEXexcGood3 2" xfId="129"/>
    <cellStyle name="SAPBEXfilterDrill" xfId="87"/>
    <cellStyle name="SAPBEXfilterDrill 2" xfId="130"/>
    <cellStyle name="SAPBEXfilterItem" xfId="88"/>
    <cellStyle name="SAPBEXfilterItem 2" xfId="131"/>
    <cellStyle name="SAPBEXfilterText" xfId="89"/>
    <cellStyle name="SAPBEXformats" xfId="90"/>
    <cellStyle name="SAPBEXformats 2" xfId="132"/>
    <cellStyle name="SAPBEXheaderItem" xfId="91"/>
    <cellStyle name="SAPBEXheaderItem 2" xfId="133"/>
    <cellStyle name="SAPBEXheaderText" xfId="92"/>
    <cellStyle name="SAPBEXheaderText 2" xfId="134"/>
    <cellStyle name="SAPBEXHLevel0" xfId="93"/>
    <cellStyle name="SAPBEXHLevel0 2" xfId="135"/>
    <cellStyle name="SAPBEXHLevel0X" xfId="94"/>
    <cellStyle name="SAPBEXHLevel0X 2" xfId="136"/>
    <cellStyle name="SAPBEXHLevel1" xfId="95"/>
    <cellStyle name="SAPBEXHLevel1 2" xfId="137"/>
    <cellStyle name="SAPBEXHLevel1X" xfId="96"/>
    <cellStyle name="SAPBEXHLevel1X 2" xfId="138"/>
    <cellStyle name="SAPBEXHLevel2" xfId="97"/>
    <cellStyle name="SAPBEXHLevel2 2" xfId="139"/>
    <cellStyle name="SAPBEXHLevel2X" xfId="98"/>
    <cellStyle name="SAPBEXHLevel2X 2" xfId="140"/>
    <cellStyle name="SAPBEXHLevel3" xfId="99"/>
    <cellStyle name="SAPBEXHLevel3 2" xfId="141"/>
    <cellStyle name="SAPBEXHLevel3X" xfId="100"/>
    <cellStyle name="SAPBEXHLevel3X 2" xfId="142"/>
    <cellStyle name="SAPBEXresData" xfId="101"/>
    <cellStyle name="SAPBEXresData 2" xfId="143"/>
    <cellStyle name="SAPBEXresDataEmph" xfId="102"/>
    <cellStyle name="SAPBEXresDataEmph 2" xfId="144"/>
    <cellStyle name="SAPBEXresItem" xfId="103"/>
    <cellStyle name="SAPBEXresItem 2" xfId="145"/>
    <cellStyle name="SAPBEXresItemX" xfId="104"/>
    <cellStyle name="SAPBEXresItemX 2" xfId="146"/>
    <cellStyle name="SAPBEXstdData" xfId="105"/>
    <cellStyle name="SAPBEXstdData 2" xfId="147"/>
    <cellStyle name="SAPBEXstdDataEmph" xfId="106"/>
    <cellStyle name="SAPBEXstdDataEmph 2" xfId="148"/>
    <cellStyle name="SAPBEXstdItem" xfId="107"/>
    <cellStyle name="SAPBEXstdItem 2" xfId="149"/>
    <cellStyle name="SAPBEXstdItemX" xfId="108"/>
    <cellStyle name="SAPBEXstdItemX 2" xfId="150"/>
    <cellStyle name="SAPBEXtitle" xfId="109"/>
    <cellStyle name="SAPBEXundefined" xfId="110"/>
    <cellStyle name="SAPBEXundefined 2" xfId="151"/>
    <cellStyle name="Walutowy 2" xfId="111"/>
  </cellStyles>
  <dxfs count="0"/>
  <tableStyles count="0" defaultTableStyle="TableStyleMedium2" defaultPivotStyle="PivotStyleLight16"/>
  <colors>
    <mruColors>
      <color rgb="FF0000FF"/>
      <color rgb="FF00FF00"/>
      <color rgb="FFFF99FF"/>
      <color rgb="FFFF9900"/>
      <color rgb="FF003300"/>
      <color rgb="FF006600"/>
      <color rgb="FFFF6600"/>
      <color rgb="FF66FFFF"/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63</xdr:row>
      <xdr:rowOff>0</xdr:rowOff>
    </xdr:from>
    <xdr:to>
      <xdr:col>28</xdr:col>
      <xdr:colOff>0</xdr:colOff>
      <xdr:row>63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rzesien_20_wydatki%20zadaniow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Bud&#380;et%202013\uchwa&#322;y\sejmik\marzec\marzec_przedsiewziecia_pop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6/uchwa&#322;y/Sejmik%20WZ/kwiecien/kwiecien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6/uchwa&#322;y/Sejmik%20WZ/czerwiec/czerwiec_21_WPF_Tabele%206_przedsi&#281;wzieci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Projekt/Autopoprawka_II%20po%20komisjach%20SWZ/stycze&#324;_Tabele%206_projekt%20zmian%20WP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q5"/>
      <sheetName val="Zal. Nr_3_wydatki"/>
      <sheetName val="q1"/>
      <sheetName val="q2"/>
      <sheetName val="dochq1"/>
      <sheetName val="wzor"/>
      <sheetName val="DANE DO WPF"/>
      <sheetName val="dziedziny"/>
      <sheetName val="zmiany w wydatkach"/>
      <sheetName val="Arkusz1"/>
    </sheetNames>
    <sheetDataSet>
      <sheetData sheetId="0"/>
      <sheetData sheetId="1"/>
      <sheetData sheetId="2"/>
      <sheetData sheetId="3">
        <row r="430">
          <cell r="S430">
            <v>860000</v>
          </cell>
          <cell r="U430">
            <v>17500000</v>
          </cell>
          <cell r="V430">
            <v>21820000</v>
          </cell>
          <cell r="W430">
            <v>21820000</v>
          </cell>
        </row>
        <row r="431">
          <cell r="S431">
            <v>2000000</v>
          </cell>
          <cell r="U431">
            <v>20000000</v>
          </cell>
          <cell r="V431">
            <v>20000000</v>
          </cell>
          <cell r="W431">
            <v>16505000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łączenia WPF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</sheetNames>
    <sheetDataSet>
      <sheetData sheetId="0"/>
      <sheetData sheetId="1"/>
      <sheetData sheetId="2">
        <row r="90">
          <cell r="D90">
            <v>34928177</v>
          </cell>
        </row>
        <row r="105">
          <cell r="D105">
            <v>15615226</v>
          </cell>
        </row>
        <row r="350">
          <cell r="D350">
            <v>7650000</v>
          </cell>
        </row>
        <row r="395">
          <cell r="D395">
            <v>14575000</v>
          </cell>
        </row>
        <row r="441">
          <cell r="D441">
            <v>42093533</v>
          </cell>
        </row>
        <row r="442">
          <cell r="D442">
            <v>8111111</v>
          </cell>
        </row>
        <row r="443">
          <cell r="D443">
            <v>13695285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łączenia WPF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Arkusz1"/>
    </sheetNames>
    <sheetDataSet>
      <sheetData sheetId="0"/>
      <sheetData sheetId="1">
        <row r="88">
          <cell r="N88">
            <v>515915576</v>
          </cell>
        </row>
      </sheetData>
      <sheetData sheetId="2"/>
      <sheetData sheetId="3"/>
      <sheetData sheetId="4"/>
      <sheetData sheetId="5"/>
      <sheetData sheetId="6"/>
      <sheetData sheetId="7">
        <row r="40">
          <cell r="D40">
            <v>4811478</v>
          </cell>
        </row>
        <row r="52">
          <cell r="D52">
            <v>13525758</v>
          </cell>
        </row>
        <row r="76">
          <cell r="D76">
            <v>1488145</v>
          </cell>
        </row>
        <row r="88">
          <cell r="D88">
            <v>4922063</v>
          </cell>
        </row>
      </sheetData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/>
      <sheetData sheetId="2"/>
      <sheetData sheetId="3">
        <row r="10">
          <cell r="D10">
            <v>110219621</v>
          </cell>
        </row>
      </sheetData>
      <sheetData sheetId="4"/>
      <sheetData sheetId="5"/>
      <sheetData sheetId="6"/>
      <sheetData sheetId="7"/>
      <sheetData sheetId="8">
        <row r="102">
          <cell r="D102">
            <v>8776000</v>
          </cell>
        </row>
      </sheetData>
      <sheetData sheetId="9">
        <row r="10">
          <cell r="E10">
            <v>0</v>
          </cell>
        </row>
        <row r="26">
          <cell r="F26">
            <v>0</v>
          </cell>
          <cell r="G26">
            <v>0</v>
          </cell>
          <cell r="H26">
            <v>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126"/>
  <sheetViews>
    <sheetView showGridLines="0" view="pageBreakPreview" topLeftCell="A7" zoomScaleNormal="100" zoomScaleSheetLayoutView="100" workbookViewId="0">
      <pane xSplit="9" ySplit="5" topLeftCell="J73" activePane="bottomRight" state="frozen"/>
      <selection activeCell="A7" sqref="A7"/>
      <selection pane="topRight" activeCell="J7" sqref="J7"/>
      <selection pane="bottomLeft" activeCell="A12" sqref="A12"/>
      <selection pane="bottomRight" activeCell="P17" sqref="P17"/>
    </sheetView>
  </sheetViews>
  <sheetFormatPr defaultColWidth="9.140625" defaultRowHeight="12.75" outlineLevelCol="1"/>
  <cols>
    <col min="1" max="1" width="43" style="1" customWidth="1"/>
    <col min="2" max="2" width="13" style="1" hidden="1" customWidth="1"/>
    <col min="3" max="3" width="11.85546875" style="321" hidden="1" customWidth="1"/>
    <col min="4" max="4" width="12.28515625" style="306" hidden="1" customWidth="1"/>
    <col min="5" max="5" width="11.85546875" style="306" hidden="1" customWidth="1"/>
    <col min="6" max="6" width="12.5703125" style="322" hidden="1" customWidth="1"/>
    <col min="7" max="8" width="12.85546875" style="2" hidden="1" customWidth="1"/>
    <col min="9" max="9" width="13" style="2" hidden="1" customWidth="1"/>
    <col min="10" max="10" width="16" style="2" customWidth="1"/>
    <col min="11" max="11" width="9.140625" style="2" hidden="1" customWidth="1"/>
    <col min="12" max="12" width="14.42578125" style="2" customWidth="1"/>
    <col min="13" max="13" width="13.140625" style="2" customWidth="1"/>
    <col min="14" max="14" width="12.5703125" style="2" customWidth="1"/>
    <col min="15" max="15" width="13.5703125" style="2" customWidth="1"/>
    <col min="16" max="16" width="13.42578125" style="2" customWidth="1"/>
    <col min="17" max="17" width="13.85546875" style="2" customWidth="1"/>
    <col min="18" max="18" width="16.28515625" style="2" customWidth="1"/>
    <col min="19" max="19" width="15.5703125" style="2" customWidth="1"/>
    <col min="20" max="20" width="17.5703125" style="2" customWidth="1"/>
    <col min="21" max="21" width="18.28515625" style="1" customWidth="1"/>
    <col min="22" max="22" width="14.5703125" style="5" customWidth="1" outlineLevel="1"/>
    <col min="23" max="23" width="14.85546875" style="5" customWidth="1" outlineLevel="1"/>
    <col min="24" max="24" width="14.7109375" style="1" customWidth="1"/>
    <col min="25" max="25" width="14.28515625" style="1" customWidth="1"/>
    <col min="26" max="26" width="9.140625" style="1"/>
    <col min="27" max="27" width="9.7109375" style="1" bestFit="1" customWidth="1"/>
    <col min="28" max="16384" width="9.140625" style="1"/>
  </cols>
  <sheetData>
    <row r="1" spans="1:25" ht="23.25" customHeight="1">
      <c r="C1" s="2"/>
      <c r="D1" s="2"/>
      <c r="E1" s="2"/>
      <c r="F1" s="2"/>
      <c r="M1" s="3"/>
      <c r="P1" s="4"/>
      <c r="Q1" s="4" t="s">
        <v>0</v>
      </c>
      <c r="R1" s="4"/>
      <c r="S1" s="4"/>
      <c r="T1" s="4"/>
    </row>
    <row r="2" spans="1:25" ht="3.75" customHeight="1">
      <c r="C2" s="2"/>
      <c r="D2" s="2"/>
      <c r="E2" s="2"/>
      <c r="F2" s="2"/>
      <c r="M2" s="6"/>
      <c r="N2" s="7"/>
      <c r="O2" s="7"/>
      <c r="P2" s="7"/>
      <c r="Q2" s="7"/>
      <c r="R2" s="7"/>
      <c r="S2" s="7"/>
      <c r="T2" s="7"/>
      <c r="U2" s="6"/>
    </row>
    <row r="3" spans="1:25" ht="12.75" customHeight="1">
      <c r="C3" s="2"/>
      <c r="D3" s="2"/>
      <c r="E3" s="2"/>
      <c r="F3" s="2"/>
      <c r="M3" s="6"/>
      <c r="N3" s="7"/>
      <c r="O3" s="7"/>
      <c r="P3" s="7"/>
      <c r="Q3" s="7"/>
      <c r="R3" s="7"/>
      <c r="S3" s="7"/>
      <c r="T3" s="7"/>
      <c r="U3" s="6"/>
    </row>
    <row r="4" spans="1:25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5" ht="72" customHeight="1">
      <c r="A5" s="2933" t="s">
        <v>1</v>
      </c>
      <c r="B5" s="2933"/>
      <c r="C5" s="2933"/>
      <c r="D5" s="2933"/>
      <c r="E5" s="2933"/>
      <c r="F5" s="2933"/>
      <c r="G5" s="2933"/>
      <c r="H5" s="2933"/>
      <c r="I5" s="2933"/>
      <c r="J5" s="2933"/>
      <c r="K5" s="2933"/>
      <c r="L5" s="2933"/>
      <c r="M5" s="2933"/>
      <c r="N5" s="2933"/>
      <c r="O5" s="2933"/>
      <c r="P5" s="2933"/>
      <c r="Q5" s="2933"/>
      <c r="R5" s="2933"/>
      <c r="S5" s="2933"/>
      <c r="T5" s="2933"/>
      <c r="U5" s="2933"/>
      <c r="V5" s="1123"/>
    </row>
    <row r="6" spans="1:25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5" ht="39.75" customHeight="1" thickBot="1">
      <c r="A7" s="2934" t="s">
        <v>2</v>
      </c>
      <c r="B7" s="2934"/>
      <c r="C7" s="2934"/>
      <c r="D7" s="2934"/>
      <c r="E7" s="2934"/>
      <c r="F7" s="2934"/>
      <c r="G7" s="2934"/>
      <c r="H7" s="2934"/>
      <c r="I7" s="2934"/>
      <c r="J7" s="2934"/>
      <c r="K7" s="2934"/>
      <c r="L7" s="2934"/>
      <c r="M7" s="2934"/>
      <c r="N7" s="2934"/>
      <c r="O7" s="2934"/>
      <c r="P7" s="2934"/>
      <c r="Q7" s="2934"/>
      <c r="R7" s="2934"/>
      <c r="S7" s="2934"/>
      <c r="T7" s="2934"/>
      <c r="U7" s="2934"/>
      <c r="V7" s="1124"/>
    </row>
    <row r="8" spans="1:25" s="2" customFormat="1" ht="24.75" customHeight="1">
      <c r="A8" s="948"/>
      <c r="B8" s="1245"/>
      <c r="C8" s="1246"/>
      <c r="D8" s="1246"/>
      <c r="E8" s="1246"/>
      <c r="F8" s="1246"/>
      <c r="G8" s="1246"/>
      <c r="H8" s="1246"/>
      <c r="I8" s="1246"/>
      <c r="J8" s="2931" t="s">
        <v>399</v>
      </c>
      <c r="K8" s="1246"/>
      <c r="L8" s="2914" t="s">
        <v>415</v>
      </c>
      <c r="M8" s="2916" t="s">
        <v>409</v>
      </c>
      <c r="N8" s="2914"/>
      <c r="O8" s="2914"/>
      <c r="P8" s="2914"/>
      <c r="Q8" s="2914"/>
      <c r="R8" s="2914"/>
      <c r="S8" s="2914"/>
      <c r="T8" s="2917"/>
      <c r="U8" s="2928" t="s">
        <v>4</v>
      </c>
      <c r="V8" s="2920" t="s">
        <v>388</v>
      </c>
      <c r="W8" s="312"/>
    </row>
    <row r="9" spans="1:25" ht="27" customHeight="1">
      <c r="A9" s="10" t="s">
        <v>5</v>
      </c>
      <c r="B9" s="1247"/>
      <c r="C9" s="1248"/>
      <c r="D9" s="1248"/>
      <c r="E9" s="1248"/>
      <c r="F9" s="1248"/>
      <c r="G9" s="1248"/>
      <c r="H9" s="1248"/>
      <c r="I9" s="1248"/>
      <c r="J9" s="2932"/>
      <c r="K9" s="1248"/>
      <c r="L9" s="2915"/>
      <c r="M9" s="2918"/>
      <c r="N9" s="2915"/>
      <c r="O9" s="2915"/>
      <c r="P9" s="2915"/>
      <c r="Q9" s="2915"/>
      <c r="R9" s="2915"/>
      <c r="S9" s="2915"/>
      <c r="T9" s="2919"/>
      <c r="U9" s="2929"/>
      <c r="V9" s="2921"/>
      <c r="W9" s="312" t="s">
        <v>3</v>
      </c>
    </row>
    <row r="10" spans="1:25" ht="19.5" customHeight="1" thickBot="1">
      <c r="A10" s="10"/>
      <c r="B10" s="910" t="s">
        <v>6</v>
      </c>
      <c r="C10" s="914" t="s">
        <v>7</v>
      </c>
      <c r="D10" s="914" t="s">
        <v>8</v>
      </c>
      <c r="E10" s="914" t="s">
        <v>9</v>
      </c>
      <c r="F10" s="911" t="s">
        <v>10</v>
      </c>
      <c r="G10" s="911" t="s">
        <v>11</v>
      </c>
      <c r="H10" s="911" t="s">
        <v>12</v>
      </c>
      <c r="I10" s="911" t="s">
        <v>13</v>
      </c>
      <c r="J10" s="908" t="s">
        <v>371</v>
      </c>
      <c r="K10" s="1180" t="s">
        <v>14</v>
      </c>
      <c r="L10" s="11" t="s">
        <v>15</v>
      </c>
      <c r="M10" s="11" t="s">
        <v>16</v>
      </c>
      <c r="N10" s="12" t="s">
        <v>17</v>
      </c>
      <c r="O10" s="12" t="s">
        <v>18</v>
      </c>
      <c r="P10" s="12" t="s">
        <v>290</v>
      </c>
      <c r="Q10" s="12" t="s">
        <v>295</v>
      </c>
      <c r="R10" s="12" t="s">
        <v>373</v>
      </c>
      <c r="S10" s="12" t="s">
        <v>374</v>
      </c>
      <c r="T10" s="1166" t="s">
        <v>372</v>
      </c>
      <c r="U10" s="2930"/>
      <c r="V10" s="2921"/>
      <c r="W10" s="330"/>
      <c r="X10" s="13"/>
    </row>
    <row r="11" spans="1:25" ht="13.5" customHeight="1" thickBot="1">
      <c r="A11" s="14">
        <v>1</v>
      </c>
      <c r="B11" s="15"/>
      <c r="C11" s="16"/>
      <c r="D11" s="17"/>
      <c r="E11" s="17"/>
      <c r="F11" s="18"/>
      <c r="G11" s="18"/>
      <c r="H11" s="18"/>
      <c r="I11" s="18"/>
      <c r="J11" s="18">
        <v>2</v>
      </c>
      <c r="K11" s="1181" t="s">
        <v>375</v>
      </c>
      <c r="L11" s="18">
        <v>3</v>
      </c>
      <c r="M11" s="18">
        <v>4</v>
      </c>
      <c r="N11" s="19">
        <v>5</v>
      </c>
      <c r="O11" s="18">
        <v>6</v>
      </c>
      <c r="P11" s="952">
        <v>7</v>
      </c>
      <c r="Q11" s="944">
        <v>8</v>
      </c>
      <c r="R11" s="1167">
        <v>9</v>
      </c>
      <c r="S11" s="18">
        <v>10</v>
      </c>
      <c r="T11" s="1167">
        <v>11</v>
      </c>
      <c r="U11" s="1148">
        <v>12</v>
      </c>
      <c r="V11" s="20">
        <v>13</v>
      </c>
      <c r="X11" s="2900" t="s">
        <v>56</v>
      </c>
      <c r="Y11" s="2901"/>
    </row>
    <row r="12" spans="1:25" s="25" customFormat="1" ht="18.75" customHeight="1">
      <c r="A12" s="21" t="s">
        <v>19</v>
      </c>
      <c r="B12" s="22">
        <f>+B13+B14</f>
        <v>883781</v>
      </c>
      <c r="C12" s="22">
        <f t="shared" ref="C12:O12" si="0">+C13+C14</f>
        <v>49287</v>
      </c>
      <c r="D12" s="22">
        <f t="shared" si="0"/>
        <v>129117</v>
      </c>
      <c r="E12" s="22">
        <f t="shared" si="0"/>
        <v>8829</v>
      </c>
      <c r="F12" s="22">
        <f t="shared" si="0"/>
        <v>3000612.3</v>
      </c>
      <c r="G12" s="22">
        <f t="shared" si="0"/>
        <v>29859065.300000001</v>
      </c>
      <c r="H12" s="22">
        <f t="shared" si="0"/>
        <v>68438991</v>
      </c>
      <c r="I12" s="22">
        <f t="shared" si="0"/>
        <v>117327797</v>
      </c>
      <c r="J12" s="22">
        <f>+J13+J14</f>
        <v>395208865</v>
      </c>
      <c r="K12" s="1182">
        <f t="shared" si="0"/>
        <v>176028423</v>
      </c>
      <c r="L12" s="22">
        <f t="shared" si="0"/>
        <v>123867045</v>
      </c>
      <c r="M12" s="22">
        <f t="shared" si="0"/>
        <v>160013303</v>
      </c>
      <c r="N12" s="22">
        <f t="shared" si="0"/>
        <v>419573125</v>
      </c>
      <c r="O12" s="22">
        <f t="shared" si="0"/>
        <v>276530751</v>
      </c>
      <c r="P12" s="22">
        <f t="shared" ref="P12:Q12" si="1">+P13+P14</f>
        <v>83806653</v>
      </c>
      <c r="Q12" s="22">
        <f t="shared" si="1"/>
        <v>55615719</v>
      </c>
      <c r="R12" s="22">
        <f t="shared" ref="R12:T12" si="2">+R13+R14</f>
        <v>39376544</v>
      </c>
      <c r="S12" s="22">
        <f t="shared" si="2"/>
        <v>36843748</v>
      </c>
      <c r="T12" s="22">
        <f t="shared" si="2"/>
        <v>35648428</v>
      </c>
      <c r="U12" s="1149">
        <f>+U13+U14</f>
        <v>1626484181</v>
      </c>
      <c r="V12" s="23">
        <f>+V13+V14</f>
        <v>1107408271</v>
      </c>
      <c r="W12" s="1911"/>
      <c r="X12" s="1912">
        <f>T12+S12+R12+Q12+P12+O12+N12+M12+L12+J12</f>
        <v>1626484181</v>
      </c>
      <c r="Y12" s="1913">
        <f>U12-X12</f>
        <v>0</v>
      </c>
    </row>
    <row r="13" spans="1:25" s="25" customFormat="1" ht="17.25" customHeight="1">
      <c r="A13" s="26" t="s">
        <v>20</v>
      </c>
      <c r="B13" s="27">
        <f>+'Tab. 6B Polit społ i rozwój prz'!E9+'Tab. 6D - Oświata'!E11+'Tab. 6A -Drogi'!E10+'Tab. 6E - Administracja'!E11+'Tab. 6G - Roln i ochrona środ.'!E10+'Tab. 6H - Kultura fiz. i turyst'!E9+'Tab.6I - Planow. przestrz.'!E10</f>
        <v>441028</v>
      </c>
      <c r="C13" s="28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28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28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27">
        <f>+'Tab. 6B Polit społ i rozwój prz'!I9+'Tab. 6D - Oświata'!I11+'Tab. 6A -Drogi'!I10+'Tab. 6E - Administracja'!I11+'Tab. 6G - Roln i ochrona środ.'!I10+'Tab. 6H - Kultura fiz. i turyst'!I9+'Tab.6I - Planow. przestrz.'!I10+0.3</f>
        <v>364771.3</v>
      </c>
      <c r="G13" s="27">
        <f>+'Tab. 6B Polit społ i rozwój prz'!J9+'Tab. 6D - Oświata'!J11+'Tab. 6A -Drogi'!J10+'Tab. 6E - Administracja'!J11+'Tab. 6G - Roln i ochrona środ.'!J10+'Tab. 6H - Kultura fiz. i turyst'!J9+'Tab.6I - Planow. przestrz.'!J10+0.3</f>
        <v>375013.3</v>
      </c>
      <c r="H13" s="27">
        <f>+'Tab. 6B Polit społ i rozwój prz'!K9+'Tab. 6D - Oświata'!K11+'Tab. 6A -Drogi'!K10+'Tab. 6E - Administracja'!K11+'Tab. 6G - Roln i ochrona środ.'!K10+'Tab. 6H - Kultura fiz. i turyst'!K9+'Tab.6I - Planow. przestrz.'!K10</f>
        <v>358357</v>
      </c>
      <c r="I13" s="27">
        <f>+'Tab. 6B Polit społ i rozwój prz'!L9+'Tab. 6D - Oświata'!L11+'Tab. 6A -Drogi'!L10+'Tab. 6E - Administracja'!L11+'Tab. 6G - Roln i ochrona środ.'!L10+'Tab. 6H - Kultura fiz. i turyst'!L9+'Tab.6I - Planow. przestrz.'!L10</f>
        <v>561717</v>
      </c>
      <c r="J13" s="27">
        <f>+'Tab. 6B Polit społ i rozwój prz'!M9+'Tab. 6D - Oświata'!M11+'Tab. 6A -Drogi'!M10+'Tab. 6E - Administracja'!M11+'Tab. 6G - Roln i ochrona środ.'!M10+'Tab. 6H - Kultura fiz. i turyst'!M9+'Tab.6I - Planow. przestrz.'!M10</f>
        <v>2553143</v>
      </c>
      <c r="K13" s="1183">
        <f>+'Tab. 6B Polit społ i rozwój prz'!N9+'Tab. 6D - Oświata'!N11+'Tab. 6A -Drogi'!N10+'Tab. 6E - Administracja'!N11+'Tab. 6G - Roln i ochrona środ.'!N10+'Tab. 6H - Kultura fiz. i turyst'!N9+'Tab.6I - Planow. przestrz.'!N10</f>
        <v>782061</v>
      </c>
      <c r="L13" s="27">
        <f>+'Tab. 6B Polit społ i rozwój prz'!O9+'Tab. 6D - Oświata'!O11+'Tab. 6A -Drogi'!O10+'Tab. 6E - Administracja'!O11+'Tab. 6G - Roln i ochrona środ.'!O10+'Tab. 6H - Kultura fiz. i turyst'!O9+'Tab.6I - Planow. przestrz.'!O10</f>
        <v>4880062</v>
      </c>
      <c r="M13" s="27">
        <f>+'Tab. 6B Polit społ i rozwój prz'!P9+'Tab. 6D - Oświata'!P11+'Tab. 6A -Drogi'!P10+'Tab. 6E - Administracja'!P11+'Tab. 6G - Roln i ochrona środ.'!P10+'Tab. 6H - Kultura fiz. i turyst'!P9+'Tab.6I - Planow. przestrz.'!P10</f>
        <v>49399927</v>
      </c>
      <c r="N13" s="27">
        <f>+'Tab. 6B Polit społ i rozwój prz'!Q9+'Tab. 6D - Oświata'!Q11+'Tab. 6A -Drogi'!Q10+'Tab. 6E - Administracja'!Q11+'Tab. 6G - Roln i ochrona środ.'!Q10+'Tab. 6H - Kultura fiz. i turyst'!Q9+'Tab.6I - Planow. przestrz.'!Q10</f>
        <v>48896487</v>
      </c>
      <c r="O13" s="27">
        <f>+'Tab. 6B Polit społ i rozwój prz'!R9+'Tab. 6D - Oświata'!R11+'Tab. 6A -Drogi'!R10+'Tab. 6E - Administracja'!R11+'Tab. 6G - Roln i ochrona środ.'!R10+'Tab. 6H - Kultura fiz. i turyst'!R9+'Tab.6I - Planow. przestrz.'!R10</f>
        <v>45526471</v>
      </c>
      <c r="P13" s="27">
        <f>+'Tab. 6B Polit społ i rozwój prz'!S9+'Tab. 6D - Oświata'!S11+'Tab. 6A -Drogi'!S10+'Tab. 6E - Administracja'!S11+'Tab. 6G - Roln i ochrona środ.'!S10+'Tab. 6H - Kultura fiz. i turyst'!S9+'Tab.6I - Planow. przestrz.'!S10</f>
        <v>40092128</v>
      </c>
      <c r="Q13" s="27">
        <f>+'Tab. 6B Polit społ i rozwój prz'!T9+'Tab. 6D - Oświata'!T11+'Tab. 6A -Drogi'!T10+'Tab. 6E - Administracja'!T11+'Tab. 6G - Roln i ochrona środ.'!T10+'Tab. 6H - Kultura fiz. i turyst'!T9+'Tab.6I - Planow. przestrz.'!T10</f>
        <v>40492994</v>
      </c>
      <c r="R13" s="27">
        <f>+'Tab. 6B Polit społ i rozwój prz'!U9+'Tab. 6D - Oświata'!U11+'Tab. 6A -Drogi'!U10+'Tab. 6E - Administracja'!U11+'Tab. 6G - Roln i ochrona środ.'!U10+'Tab. 6H - Kultura fiz. i turyst'!U9+'Tab.6I - Planow. przestrz.'!U10</f>
        <v>39209519</v>
      </c>
      <c r="S13" s="27">
        <f>+'Tab. 6B Polit społ i rozwój prz'!V9+'Tab. 6D - Oświata'!V11+'Tab. 6A -Drogi'!V10+'Tab. 6E - Administracja'!V11+'Tab. 6G - Roln i ochrona środ.'!V10+'Tab. 6H - Kultura fiz. i turyst'!V9+'Tab.6I - Planow. przestrz.'!V10</f>
        <v>36676723</v>
      </c>
      <c r="T13" s="27">
        <f>+'Tab. 6B Polit społ i rozwój prz'!W9+'Tab. 6D - Oświata'!W11+'Tab. 6A -Drogi'!W10+'Tab. 6E - Administracja'!W11+'Tab. 6G - Roln i ochrona środ.'!W10+'Tab. 6H - Kultura fiz. i turyst'!W9+'Tab.6I - Planow. przestrz.'!W10</f>
        <v>35481403</v>
      </c>
      <c r="U13" s="1150">
        <f>'Tab. 6A -Drogi'!D10+'Tab. 6B Polit społ i rozwój prz'!D9+'Tab. 6D - Oświata'!D11+'Tab. 6E - Administracja'!D11+'Tab. 6G - Roln i ochrona środ.'!D10+'Tab. 6H - Kultura fiz. i turyst'!D9+'Tab.6I - Planow. przestrz.'!D10</f>
        <v>343208857</v>
      </c>
      <c r="V13" s="29">
        <f>SUM(M13:T13)</f>
        <v>335775652</v>
      </c>
      <c r="W13" s="1033">
        <f>V13-M13-N13-O13-P13-Q13-R13-S13-T13</f>
        <v>0</v>
      </c>
      <c r="X13" s="1914">
        <f>T13+S13+R13+Q13+P13+O13+N13+M13+L13+J13</f>
        <v>343208857</v>
      </c>
      <c r="Y13" s="1915">
        <f>U13-X13</f>
        <v>0</v>
      </c>
    </row>
    <row r="14" spans="1:25" s="25" customFormat="1" ht="17.25" customHeight="1" thickBot="1">
      <c r="A14" s="31" t="s">
        <v>21</v>
      </c>
      <c r="B14" s="32">
        <f>+'Tab. 6D - Oświata'!E12+'Tab. 6A -Drogi'!E11+'Tab. 6E - Administracja'!E12+'Tab. 6G - Roln i ochrona środ.'!E11+'Tab. 6H - Kultura fiz. i turyst'!E10+'Tab. 6B Polit społ i rozwój prz'!E10+'Tab.6I - Planow. przestrz.'!E11</f>
        <v>442753</v>
      </c>
      <c r="C14" s="33">
        <f>+'Tab. 6D - Oświata'!F12+'Tab. 6A -Drogi'!F11+'Tab. 6E - Administracja'!F12+'Tab. 6G - Roln i ochrona środ.'!F11+'Tab. 6H - Kultura fiz. i turyst'!F10+'Tab.6I - Planow. przestrz.'!F11</f>
        <v>49287</v>
      </c>
      <c r="D14" s="33">
        <f>+'Tab. 6D - Oświata'!G12+'Tab. 6A -Drogi'!G11+'Tab. 6E - Administracja'!G12+'Tab. 6G - Roln i ochrona środ.'!G11+'Tab. 6H - Kultura fiz. i turyst'!G10+'Tab.6I - Planow. przestrz.'!G11</f>
        <v>129117</v>
      </c>
      <c r="E14" s="33">
        <f>+'Tab. 6D - Oświata'!H12+'Tab. 6A -Drogi'!H11+'Tab. 6E - Administracja'!H12+'Tab. 6G - Roln i ochrona środ.'!H11+'Tab. 6H - Kultura fiz. i turyst'!H10+'Tab.6I - Planow. przestrz.'!H11</f>
        <v>8829</v>
      </c>
      <c r="F14" s="32">
        <f>+'Tab. 6D - Oświata'!I12+'Tab. 6A -Drogi'!I11+'Tab. 6E - Administracja'!I12+'Tab. 6G - Roln i ochrona środ.'!I11+'Tab. 6H - Kultura fiz. i turyst'!I10+'Tab. 6B Polit społ i rozwój prz'!I10+'Tab.6I - Planow. przestrz.'!I11</f>
        <v>2635841</v>
      </c>
      <c r="G14" s="32">
        <f>+'Tab. 6D - Oświata'!J12+'Tab. 6A -Drogi'!J11+'Tab. 6E - Administracja'!J12+'Tab. 6G - Roln i ochrona środ.'!J11+'Tab. 6H - Kultura fiz. i turyst'!J10+'Tab.6I - Planow. przestrz.'!J11+'Tab. 6B Polit społ i rozwój prz'!J10</f>
        <v>29484052</v>
      </c>
      <c r="H14" s="32">
        <f>+'Tab. 6D - Oświata'!K12+'Tab. 6A -Drogi'!K11+'Tab. 6E - Administracja'!K12+'Tab. 6G - Roln i ochrona środ.'!K11+'Tab. 6H - Kultura fiz. i turyst'!K10+'Tab.6I - Planow. przestrz.'!K11+'Tab. 6B Polit społ i rozwój prz'!K10</f>
        <v>68080634</v>
      </c>
      <c r="I14" s="32">
        <f>+'Tab. 6D - Oświata'!L12+'Tab. 6A -Drogi'!L11+'Tab. 6E - Administracja'!L12+'Tab. 6G - Roln i ochrona środ.'!L11+'Tab. 6H - Kultura fiz. i turyst'!L10+'Tab.6I - Planow. przestrz.'!L11+'Tab. 6B Polit społ i rozwój prz'!L10</f>
        <v>116766080</v>
      </c>
      <c r="J14" s="32">
        <f>+'Tab. 6D - Oświata'!M12+'Tab. 6A -Drogi'!M11+'Tab. 6E - Administracja'!M12+'Tab. 6G - Roln i ochrona środ.'!M11+'Tab. 6H - Kultura fiz. i turyst'!M10+'Tab. 6B Polit społ i rozwój prz'!M10+'Tab.6I - Planow. przestrz.'!M11</f>
        <v>392655722</v>
      </c>
      <c r="K14" s="1184">
        <f>+'Tab. 6D - Oświata'!N12+'Tab. 6A -Drogi'!N11+'Tab. 6E - Administracja'!N12+'Tab. 6G - Roln i ochrona środ.'!N11+'Tab. 6H - Kultura fiz. i turyst'!N10+'Tab. 6B Polit społ i rozwój prz'!N10+'Tab.6I - Planow. przestrz.'!N11</f>
        <v>175246362</v>
      </c>
      <c r="L14" s="32">
        <f>+'Tab. 6D - Oświata'!O12+'Tab. 6A -Drogi'!O11+'Tab. 6E - Administracja'!O12+'Tab. 6G - Roln i ochrona środ.'!O11+'Tab. 6H - Kultura fiz. i turyst'!O10+'Tab. 6B Polit społ i rozwój prz'!O10+'Tab.6I - Planow. przestrz.'!O11</f>
        <v>118986983</v>
      </c>
      <c r="M14" s="32">
        <f>+'Tab. 6D - Oświata'!P12+'Tab. 6A -Drogi'!P11+'Tab. 6E - Administracja'!P12+'Tab. 6G - Roln i ochrona środ.'!P11+'Tab. 6H - Kultura fiz. i turyst'!P10+'Tab. 6B Polit społ i rozwój prz'!P10+'Tab.6I - Planow. przestrz.'!P11</f>
        <v>110613376</v>
      </c>
      <c r="N14" s="32">
        <f>+'Tab. 6D - Oświata'!Q12+'Tab. 6A -Drogi'!Q11+'Tab. 6E - Administracja'!Q12+'Tab. 6G - Roln i ochrona środ.'!Q11+'Tab. 6H - Kultura fiz. i turyst'!Q10+'Tab. 6B Polit społ i rozwój prz'!Q10+'Tab.6I - Planow. przestrz.'!Q11</f>
        <v>370676638</v>
      </c>
      <c r="O14" s="32">
        <f>+'Tab. 6D - Oświata'!R12+'Tab. 6A -Drogi'!R11+'Tab. 6E - Administracja'!R12+'Tab. 6G - Roln i ochrona środ.'!R11+'Tab. 6H - Kultura fiz. i turyst'!R10+'Tab. 6B Polit społ i rozwój prz'!R10+'Tab.6I - Planow. przestrz.'!R11</f>
        <v>231004280</v>
      </c>
      <c r="P14" s="32">
        <f>+'Tab. 6D - Oświata'!S12+'Tab. 6A -Drogi'!S11+'Tab. 6E - Administracja'!S12+'Tab. 6G - Roln i ochrona środ.'!S11+'Tab. 6H - Kultura fiz. i turyst'!S10+'Tab. 6B Polit społ i rozwój prz'!S10+'Tab.6I - Planow. przestrz.'!S11</f>
        <v>43714525</v>
      </c>
      <c r="Q14" s="32">
        <f>+'Tab. 6D - Oświata'!T12+'Tab. 6A -Drogi'!T11+'Tab. 6E - Administracja'!T12+'Tab. 6G - Roln i ochrona środ.'!T11+'Tab. 6H - Kultura fiz. i turyst'!T10+'Tab. 6B Polit społ i rozwój prz'!T10+'Tab.6I - Planow. przestrz.'!T11</f>
        <v>15122725</v>
      </c>
      <c r="R14" s="32">
        <f>+'Tab. 6D - Oświata'!U12+'Tab. 6A -Drogi'!U11+'Tab. 6E - Administracja'!U12+'Tab. 6G - Roln i ochrona środ.'!U11+'Tab. 6H - Kultura fiz. i turyst'!U10+'Tab. 6B Polit społ i rozwój prz'!U10+'Tab.6I - Planow. przestrz.'!U11</f>
        <v>167025</v>
      </c>
      <c r="S14" s="32">
        <f>+'Tab. 6D - Oświata'!V12+'Tab. 6A -Drogi'!V11+'Tab. 6E - Administracja'!V12+'Tab. 6G - Roln i ochrona środ.'!V11+'Tab. 6H - Kultura fiz. i turyst'!V10+'Tab. 6B Polit społ i rozwój prz'!V10+'Tab.6I - Planow. przestrz.'!V11</f>
        <v>167025</v>
      </c>
      <c r="T14" s="32">
        <f>+'Tab. 6D - Oświata'!W12+'Tab. 6A -Drogi'!W11+'Tab. 6E - Administracja'!W12+'Tab. 6G - Roln i ochrona środ.'!W11+'Tab. 6H - Kultura fiz. i turyst'!W10+'Tab. 6B Polit społ i rozwój prz'!W10+'Tab.6I - Planow. przestrz.'!W11</f>
        <v>167025</v>
      </c>
      <c r="U14" s="1151">
        <f>'Tab. 6A -Drogi'!D11+'Tab. 6B Polit społ i rozwój prz'!D10+'Tab. 6D - Oświata'!D12+'Tab. 6E - Administracja'!D12+'Tab. 6G - Roln i ochrona środ.'!D11+'Tab. 6H - Kultura fiz. i turyst'!D10+'Tab.6I - Planow. przestrz.'!D11</f>
        <v>1283275324</v>
      </c>
      <c r="V14" s="34">
        <f>SUM(M14:T14)</f>
        <v>771632619</v>
      </c>
      <c r="W14" s="1033">
        <f>V14-M14-N14-O14-P14-Q14-R14-S14-T14</f>
        <v>0</v>
      </c>
      <c r="X14" s="1914">
        <f>T14+S14+R14+Q14+P14+O14+N14+M14+L14+J14</f>
        <v>1283275324</v>
      </c>
      <c r="Y14" s="1915">
        <f>U14-X14</f>
        <v>0</v>
      </c>
    </row>
    <row r="15" spans="1:25" s="38" customFormat="1">
      <c r="A15" s="35"/>
      <c r="B15" s="36"/>
      <c r="C15" s="36"/>
      <c r="D15" s="36"/>
      <c r="E15" s="36"/>
      <c r="F15" s="36"/>
      <c r="G15" s="36"/>
      <c r="H15" s="36"/>
      <c r="I15" s="36"/>
      <c r="J15" s="1916"/>
      <c r="K15" s="1916"/>
      <c r="L15" s="1916"/>
      <c r="M15" s="1916"/>
      <c r="N15" s="1916"/>
      <c r="O15" s="1916"/>
      <c r="P15" s="1916"/>
      <c r="Q15" s="1916"/>
      <c r="R15" s="1916"/>
      <c r="S15" s="1916"/>
      <c r="T15" s="1916"/>
      <c r="U15" s="1916"/>
      <c r="V15" s="1916"/>
      <c r="W15" s="30"/>
      <c r="X15" s="1914">
        <f t="shared" ref="X15:X31" si="3">T15+S15+R15+Q15+P15+O15+N15+M15+L15+J15</f>
        <v>0</v>
      </c>
      <c r="Y15" s="1915">
        <f t="shared" ref="Y15:Y31" si="4">U15-X15</f>
        <v>0</v>
      </c>
    </row>
    <row r="16" spans="1:25" s="45" customFormat="1" ht="18" customHeight="1">
      <c r="A16" s="39" t="s">
        <v>22</v>
      </c>
      <c r="B16" s="40">
        <f t="shared" ref="B16:V16" si="5">+B17+B26</f>
        <v>883781</v>
      </c>
      <c r="C16" s="40">
        <f t="shared" si="5"/>
        <v>49287</v>
      </c>
      <c r="D16" s="41">
        <f t="shared" si="5"/>
        <v>129117</v>
      </c>
      <c r="E16" s="41">
        <f t="shared" si="5"/>
        <v>8829</v>
      </c>
      <c r="F16" s="41">
        <f t="shared" si="5"/>
        <v>3000612</v>
      </c>
      <c r="G16" s="41">
        <f t="shared" si="5"/>
        <v>29859065</v>
      </c>
      <c r="H16" s="41">
        <f t="shared" si="5"/>
        <v>68438991</v>
      </c>
      <c r="I16" s="41">
        <f t="shared" si="5"/>
        <v>117327797.3</v>
      </c>
      <c r="J16" s="41">
        <f t="shared" si="5"/>
        <v>395208865.30000001</v>
      </c>
      <c r="K16" s="1186">
        <f t="shared" si="5"/>
        <v>176028423</v>
      </c>
      <c r="L16" s="41">
        <f t="shared" si="5"/>
        <v>123867045</v>
      </c>
      <c r="M16" s="41">
        <f>+M17+M26</f>
        <v>160744004</v>
      </c>
      <c r="N16" s="41">
        <f t="shared" si="5"/>
        <v>420306145</v>
      </c>
      <c r="O16" s="41">
        <f t="shared" si="5"/>
        <v>277154985</v>
      </c>
      <c r="P16" s="41">
        <f t="shared" si="5"/>
        <v>84278126</v>
      </c>
      <c r="Q16" s="41">
        <f t="shared" si="5"/>
        <v>56087191</v>
      </c>
      <c r="R16" s="41">
        <f t="shared" si="5"/>
        <v>39848016</v>
      </c>
      <c r="S16" s="41">
        <f t="shared" si="5"/>
        <v>37315220</v>
      </c>
      <c r="T16" s="41">
        <f t="shared" si="5"/>
        <v>36119900</v>
      </c>
      <c r="U16" s="89">
        <f>+U17+U26</f>
        <v>1630929497.3</v>
      </c>
      <c r="V16" s="42">
        <f t="shared" si="5"/>
        <v>231948432</v>
      </c>
      <c r="W16" s="1033"/>
      <c r="X16" s="1914">
        <f>T16+S16+R16+Q16+P16+O16+N16+M16+L16+J16</f>
        <v>1630929497.3</v>
      </c>
      <c r="Y16" s="1915">
        <f>U16-X16</f>
        <v>0</v>
      </c>
    </row>
    <row r="17" spans="1:25" s="49" customFormat="1" ht="17.25" customHeight="1">
      <c r="A17" s="46" t="s">
        <v>23</v>
      </c>
      <c r="B17" s="47">
        <f>SUM(B18:B24)</f>
        <v>300239</v>
      </c>
      <c r="C17" s="47">
        <f t="shared" ref="C17:I17" si="6">SUM(C18:C24)</f>
        <v>49287</v>
      </c>
      <c r="D17" s="47">
        <f t="shared" si="6"/>
        <v>128606</v>
      </c>
      <c r="E17" s="47">
        <f t="shared" si="6"/>
        <v>83</v>
      </c>
      <c r="F17" s="47">
        <f t="shared" si="6"/>
        <v>1368772</v>
      </c>
      <c r="G17" s="47">
        <f t="shared" si="6"/>
        <v>15272322</v>
      </c>
      <c r="H17" s="47">
        <f t="shared" si="6"/>
        <v>16582724</v>
      </c>
      <c r="I17" s="47">
        <f t="shared" si="6"/>
        <v>20491400.300000001</v>
      </c>
      <c r="J17" s="47">
        <f t="shared" ref="J17:V17" si="7">SUM(J18:J25)</f>
        <v>77989314.299999997</v>
      </c>
      <c r="K17" s="1187">
        <f t="shared" si="7"/>
        <v>24020279</v>
      </c>
      <c r="L17" s="47">
        <f t="shared" si="7"/>
        <v>14632063</v>
      </c>
      <c r="M17" s="47">
        <f>SUM(M18:M25)</f>
        <v>20239804</v>
      </c>
      <c r="N17" s="47">
        <f t="shared" si="7"/>
        <v>76886259</v>
      </c>
      <c r="O17" s="47">
        <f t="shared" si="7"/>
        <v>52700770</v>
      </c>
      <c r="P17" s="47">
        <f>SUM(P18:P25)</f>
        <v>15221268</v>
      </c>
      <c r="Q17" s="47">
        <f t="shared" si="7"/>
        <v>9926020</v>
      </c>
      <c r="R17" s="47">
        <f t="shared" si="7"/>
        <v>7542500</v>
      </c>
      <c r="S17" s="47">
        <f t="shared" si="7"/>
        <v>5343674</v>
      </c>
      <c r="T17" s="47">
        <f t="shared" si="7"/>
        <v>4911655</v>
      </c>
      <c r="U17" s="1153">
        <f>SUM(U18:U25)</f>
        <v>285393327.30000001</v>
      </c>
      <c r="V17" s="48">
        <f t="shared" si="7"/>
        <v>188326634</v>
      </c>
      <c r="W17" s="1033"/>
      <c r="X17" s="1914">
        <f>T17+S17+R17+Q17+P17+O17+N17+M17+L17+J17</f>
        <v>285393327.30000001</v>
      </c>
      <c r="Y17" s="1915">
        <f t="shared" si="4"/>
        <v>0</v>
      </c>
    </row>
    <row r="18" spans="1:25" s="38" customFormat="1" ht="14.25" customHeight="1">
      <c r="A18" s="50" t="s">
        <v>24</v>
      </c>
      <c r="B18" s="51">
        <f>+'Tab. 6B Polit społ i rozwój prz'!E13+'Tab. 6D - Oświata'!E15+'Tab. 6A -Drogi'!E14+'Tab. 6E - Administracja'!E15+'Tab. 6G - Roln i ochrona środ.'!E14+'Tab. 6H - Kultura fiz. i turyst'!E13+'Tab.6I - Planow. przestrz.'!E14</f>
        <v>217891</v>
      </c>
      <c r="C18" s="51">
        <f>+'Tab. 6B Polit społ i rozwój prz'!F13+'Tab. 6D - Oświata'!F15+'Tab. 6A -Drogi'!F14+'Tab. 6E - Administracja'!F15+'Tab. 6G - Roln i ochrona środ.'!F14+'Tab. 6H - Kultura fiz. i turyst'!F13+'Tab.6I - Planow. przestrz.'!F14</f>
        <v>49287</v>
      </c>
      <c r="D18" s="51">
        <f>+'Tab. 6B Polit społ i rozwój prz'!G13+'Tab. 6D - Oświata'!G15+'Tab. 6A -Drogi'!G14+'Tab. 6E - Administracja'!G15+'Tab. 6G - Roln i ochrona środ.'!G14+'Tab. 6H - Kultura fiz. i turyst'!G13+'Tab.6I - Planow. przestrz.'!G14</f>
        <v>128606</v>
      </c>
      <c r="E18" s="51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51">
        <f>+'Tab. 6B Polit społ i rozwój prz'!I13+'Tab. 6D - Oświata'!I15+'Tab. 6A -Drogi'!I14+'Tab. 6E - Administracja'!I15+'Tab. 6G - Roln i ochrona środ.'!I14+'Tab. 6H - Kultura fiz. i turyst'!I13+'Tab.6I - Planow. przestrz.'!I14</f>
        <v>1115098</v>
      </c>
      <c r="G18" s="51">
        <f>+'Tab. 6B Polit społ i rozwój prz'!J13+'Tab. 6D - Oświata'!J15+'Tab. 6A -Drogi'!J14+'Tab. 6E - Administracja'!J15+'Tab. 6G - Roln i ochrona środ.'!J14+'Tab. 6H - Kultura fiz. i turyst'!J13+'Tab.6I - Planow. przestrz.'!J14</f>
        <v>1552859</v>
      </c>
      <c r="H18" s="51">
        <f>+'Tab. 6B Polit społ i rozwój prz'!K13+'Tab. 6D - Oświata'!K15+'Tab. 6A -Drogi'!K14+'Tab. 6E - Administracja'!K15+'Tab. 6G - Roln i ochrona środ.'!K14+'Tab. 6H - Kultura fiz. i turyst'!K13+'Tab.6I - Planow. przestrz.'!K14</f>
        <v>4501032</v>
      </c>
      <c r="I18" s="51">
        <f>+'Tab. 6B Polit społ i rozwój prz'!L13+'Tab. 6D - Oświata'!L15+'Tab. 6A -Drogi'!L14+'Tab. 6E - Administracja'!L15+'Tab. 6G - Roln i ochrona środ.'!L14+'Tab. 6H - Kultura fiz. i turyst'!L13+'Tab.6I - Planow. przestrz.'!L14+0.3</f>
        <v>4738393.3</v>
      </c>
      <c r="J18" s="51">
        <f>+'Tab. 6B Polit społ i rozwój prz'!M13+'Tab. 6D - Oświata'!M15+'Tab. 6A -Drogi'!M14+'Tab. 6E - Administracja'!M15+'Tab. 6G - Roln i ochrona środ.'!M14+'Tab. 6H - Kultura fiz. i turyst'!M13+'Tab.6I - Planow. przestrz.'!M14+0.3</f>
        <v>20423613.300000001</v>
      </c>
      <c r="K18" s="1188">
        <f>+'Tab. 6B Polit społ i rozwój prz'!N13+'Tab. 6D - Oświata'!N15+'Tab. 6A -Drogi'!N14+'Tab. 6E - Administracja'!N15+'Tab. 6G - Roln i ochrona środ.'!N14+'Tab. 6H - Kultura fiz. i turyst'!N13+'Tab.6I - Planow. przestrz.'!N14</f>
        <v>8298340</v>
      </c>
      <c r="L18" s="51">
        <f>+'Tab. 6B Polit społ i rozwój prz'!O13+'Tab. 6D - Oświata'!O15+'Tab. 6A -Drogi'!O14+'Tab. 6E - Administracja'!O15+'Tab. 6G - Roln i ochrona środ.'!O14+'Tab. 6H - Kultura fiz. i turyst'!O13+'Tab.6I - Planow. przestrz.'!O14</f>
        <v>2905483</v>
      </c>
      <c r="M18" s="51">
        <f>+'Tab. 6B Polit społ i rozwój prz'!P13+'Tab. 6D - Oświata'!P15+'Tab. 6A -Drogi'!P14+'Tab. 6E - Administracja'!P15+'Tab. 6G - Roln i ochrona środ.'!P14+'Tab. 6H - Kultura fiz. i turyst'!P13+'Tab.6I - Planow. przestrz.'!P14</f>
        <v>13941228</v>
      </c>
      <c r="N18" s="51">
        <f>+'Tab. 6B Polit społ i rozwój prz'!Q13+'Tab. 6D - Oświata'!Q15+'Tab. 6A -Drogi'!Q14+'Tab. 6E - Administracja'!Q15+'Tab. 6G - Roln i ochrona środ.'!Q14+'Tab. 6H - Kultura fiz. i turyst'!Q13+'Tab.6I - Planow. przestrz.'!Q14</f>
        <v>47805244</v>
      </c>
      <c r="O18" s="51">
        <f>+'Tab. 6B Polit społ i rozwój prz'!R13+'Tab. 6D - Oświata'!R15+'Tab. 6A -Drogi'!R14+'Tab. 6E - Administracja'!R15+'Tab. 6G - Roln i ochrona środ.'!R14+'Tab. 6H - Kultura fiz. i turyst'!R13+'Tab.6I - Planow. przestrz.'!R14</f>
        <v>40521535</v>
      </c>
      <c r="P18" s="51">
        <f>+'Tab. 6B Polit społ i rozwój prz'!S13+'Tab. 6D - Oświata'!S15+'Tab. 6A -Drogi'!S14+'Tab. 6E - Administracja'!S15+'Tab. 6G - Roln i ochrona środ.'!S14+'Tab. 6H - Kultura fiz. i turyst'!S13+'Tab.6I - Planow. przestrz.'!S14</f>
        <v>9588987</v>
      </c>
      <c r="Q18" s="51">
        <f>+'Tab. 6B Polit społ i rozwój prz'!T13+'Tab. 6D - Oświata'!T15+'Tab. 6A -Drogi'!T14+'Tab. 6E - Administracja'!T15+'Tab. 6G - Roln i ochrona środ.'!T14+'Tab. 6H - Kultura fiz. i turyst'!T13+'Tab.6I - Planow. przestrz.'!T14</f>
        <v>6843314</v>
      </c>
      <c r="R18" s="51">
        <f>+'Tab. 6B Polit społ i rozwój prz'!U13+'Tab. 6D - Oświata'!U15+'Tab. 6A -Drogi'!U14+'Tab. 6E - Administracja'!U15+'Tab. 6G - Roln i ochrona środ.'!U14+'Tab. 6H - Kultura fiz. i turyst'!U13+'Tab.6I - Planow. przestrz.'!U14</f>
        <v>6081614</v>
      </c>
      <c r="S18" s="51">
        <f>+'Tab. 6B Polit społ i rozwój prz'!V13+'Tab. 6D - Oświata'!V15+'Tab. 6A -Drogi'!V14+'Tab. 6E - Administracja'!V15+'Tab. 6G - Roln i ochrona środ.'!V14+'Tab. 6H - Kultura fiz. i turyst'!V13+'Tab.6I - Planow. przestrz.'!V14</f>
        <v>3882788</v>
      </c>
      <c r="T18" s="51">
        <f>+'Tab. 6B Polit społ i rozwój prz'!W13+'Tab. 6D - Oświata'!W15+'Tab. 6A -Drogi'!W14+'Tab. 6E - Administracja'!W15+'Tab. 6G - Roln i ochrona środ.'!W14+'Tab. 6H - Kultura fiz. i turyst'!W13+'Tab.6I - Planow. przestrz.'!W14</f>
        <v>3945476</v>
      </c>
      <c r="U18" s="1154">
        <f>J18+L18+M18+N18+O18+P18+Q18+R18+S18+T18</f>
        <v>155939282.30000001</v>
      </c>
      <c r="V18" s="29">
        <f>SUM(M18:T18)</f>
        <v>132610186</v>
      </c>
      <c r="W18" s="1033"/>
      <c r="X18" s="1914">
        <f t="shared" si="3"/>
        <v>155939282.30000001</v>
      </c>
      <c r="Y18" s="1915">
        <f t="shared" si="4"/>
        <v>0</v>
      </c>
    </row>
    <row r="19" spans="1:25" s="38" customFormat="1" ht="15.75" customHeight="1">
      <c r="A19" s="53" t="s">
        <v>25</v>
      </c>
      <c r="B19" s="51">
        <f>+'Tab. 6B Polit społ i rozwój prz'!E14+'Tab. 6A -Drogi'!E15+'Tab. 6E - Administracja'!E16+'Tab. 6G - Roln i ochrona środ.'!E15</f>
        <v>66154</v>
      </c>
      <c r="C19" s="51">
        <f>+'Tab. 6B Polit społ i rozwój prz'!F14+'Tab. 6A -Drogi'!F15+'Tab. 6E - Administracja'!F16+'Tab. 6G - Roln i ochrona środ.'!F15</f>
        <v>0</v>
      </c>
      <c r="D19" s="51">
        <f>+'Tab. 6B Polit społ i rozwój prz'!G14+'Tab. 6A -Drogi'!G15+'Tab. 6E - Administracja'!G16+'Tab. 6G - Roln i ochrona środ.'!G15</f>
        <v>0</v>
      </c>
      <c r="E19" s="51">
        <f>+'Tab. 6B Polit społ i rozwój prz'!H14+'Tab. 6A -Drogi'!H15+'Tab. 6E - Administracja'!H16+'Tab. 6G - Roln i ochrona środ.'!H15</f>
        <v>0</v>
      </c>
      <c r="F19" s="51">
        <f>+'Tab. 6B Polit społ i rozwój prz'!I14+'Tab. 6A -Drogi'!I15+'Tab. 6E - Administracja'!I16+'Tab. 6G - Roln i ochrona środ.'!I15</f>
        <v>54716</v>
      </c>
      <c r="G19" s="51">
        <f>+'Tab. 6B Polit społ i rozwój prz'!J14+'Tab. 6A -Drogi'!J15+'Tab. 6E - Administracja'!J16+'Tab. 6G - Roln i ochrona środ.'!J15</f>
        <v>56252</v>
      </c>
      <c r="H19" s="51">
        <f>+'Tab. 6B Polit społ i rozwój prz'!K14+'Tab. 6A -Drogi'!K15+'Tab. 6E - Administracja'!K16+'Tab. 6G - Roln i ochrona środ.'!K15</f>
        <v>52319</v>
      </c>
      <c r="I19" s="51">
        <f>+'Tab. 6B Polit społ i rozwój prz'!L14+'Tab. 6A -Drogi'!L15+'Tab. 6E - Administracja'!L16+'Tab. 6G - Roln i ochrona środ.'!L15</f>
        <v>56617</v>
      </c>
      <c r="J19" s="51">
        <f>+'Tab. 6B Polit społ i rozwój prz'!M14+'Tab. 6A -Drogi'!M15+'Tab. 6E - Administracja'!M16+'Tab. 6G - Roln i ochrona środ.'!M15</f>
        <v>7612738</v>
      </c>
      <c r="K19" s="1188">
        <f>+'Tab. 6B Polit społ i rozwój prz'!N14+'Tab. 6A -Drogi'!N15+'Tab. 6E - Administracja'!N16+'Tab. 6G - Roln i ochrona środ.'!N15</f>
        <v>7373102</v>
      </c>
      <c r="L19" s="51">
        <f>+'Tab. 6B Polit społ i rozwój prz'!O14+'Tab. 6A -Drogi'!O15+'Tab. 6E - Administracja'!O16+'Tab. 6G - Roln i ochrona środ.'!O15+'Tab.6I - Planow. przestrz.'!O57</f>
        <v>8261549</v>
      </c>
      <c r="M19" s="51">
        <f>+'Tab. 6B Polit społ i rozwój prz'!P14+'Tab. 6A -Drogi'!P15+'Tab. 6E - Administracja'!P16+'Tab. 6G - Roln i ochrona środ.'!P15+'Tab.6I - Planow. przestrz.'!P57</f>
        <v>2528538</v>
      </c>
      <c r="N19" s="51">
        <f>+'Tab. 6B Polit społ i rozwój prz'!Q14+'Tab. 6A -Drogi'!Q15+'Tab. 6E - Administracja'!Q16+'Tab. 6G - Roln i ochrona środ.'!Q15+'Tab.6I - Planow. przestrz.'!Q57</f>
        <v>1874224</v>
      </c>
      <c r="O19" s="51">
        <f>+'Tab. 6B Polit społ i rozwój prz'!R14+'Tab. 6A -Drogi'!R15+'Tab. 6E - Administracja'!R16+'Tab. 6G - Roln i ochrona środ.'!R15+'Tab.6I - Planow. przestrz.'!R57</f>
        <v>1419828</v>
      </c>
      <c r="P19" s="51">
        <f>+'Tab. 6B Polit społ i rozwój prz'!S14+'Tab. 6A -Drogi'!S15+'Tab. 6E - Administracja'!S16+'Tab. 6G - Roln i ochrona środ.'!S15+'Tab.6I - Planow. przestrz.'!S57</f>
        <v>1151570</v>
      </c>
      <c r="Q19" s="51">
        <f>+'Tab. 6B Polit społ i rozwój prz'!T14+'Tab. 6A -Drogi'!T15+'Tab. 6E - Administracja'!T16+'Tab. 6G - Roln i ochrona środ.'!T15+'Tab.6I - Planow. przestrz.'!T57</f>
        <v>1216734</v>
      </c>
      <c r="R19" s="51">
        <f>+'Tab. 6B Polit społ i rozwój prz'!U14+'Tab. 6A -Drogi'!U15+'Tab. 6E - Administracja'!U16+'Tab. 6G - Roln i ochrona środ.'!U15+'Tab.6I - Planow. przestrz.'!U57</f>
        <v>989414</v>
      </c>
      <c r="S19" s="51">
        <f>+'Tab. 6B Polit społ i rozwój prz'!V14+'Tab. 6A -Drogi'!V15+'Tab. 6E - Administracja'!V16+'Tab. 6G - Roln i ochrona środ.'!V15+'Tab.6I - Planow. przestrz.'!V57</f>
        <v>989414</v>
      </c>
      <c r="T19" s="51">
        <f>+'Tab. 6B Polit społ i rozwój prz'!W14+'Tab. 6A -Drogi'!W15+'Tab. 6E - Administracja'!W16+'Tab. 6G - Roln i ochrona środ.'!W15+'Tab.6I - Planow. przestrz.'!W57</f>
        <v>494707</v>
      </c>
      <c r="U19" s="1154">
        <f t="shared" ref="U19:U25" si="8">J19+L19+M19+N19+O19+P19+Q19+R19+S19+T19</f>
        <v>26538716</v>
      </c>
      <c r="V19" s="29">
        <f t="shared" ref="V19:V24" si="9">SUM(M19:T19)</f>
        <v>10664429</v>
      </c>
      <c r="W19" s="1033"/>
      <c r="X19" s="1914">
        <f t="shared" si="3"/>
        <v>26538716</v>
      </c>
      <c r="Y19" s="1915">
        <f t="shared" si="4"/>
        <v>0</v>
      </c>
    </row>
    <row r="20" spans="1:25" s="38" customFormat="1" ht="13.5" hidden="1" customHeight="1">
      <c r="A20" s="53" t="s">
        <v>26</v>
      </c>
      <c r="B20" s="51">
        <f>+'Tab. 6G - Roln i ochrona środ.'!E16</f>
        <v>0</v>
      </c>
      <c r="C20" s="51">
        <f>+'Tab. 6G - Roln i ochrona środ.'!F16</f>
        <v>0</v>
      </c>
      <c r="D20" s="51">
        <f>+'Tab. 6G - Roln i ochrona środ.'!G16</f>
        <v>0</v>
      </c>
      <c r="E20" s="51">
        <f>+'Tab. 6G - Roln i ochrona środ.'!H16</f>
        <v>0</v>
      </c>
      <c r="F20" s="51">
        <f>+'Tab. 6G - Roln i ochrona środ.'!I16</f>
        <v>0</v>
      </c>
      <c r="G20" s="51">
        <f>+'Tab. 6G - Roln i ochrona środ.'!J16</f>
        <v>0</v>
      </c>
      <c r="H20" s="51">
        <f>+'Tab. 6G - Roln i ochrona środ.'!K16</f>
        <v>0</v>
      </c>
      <c r="I20" s="51">
        <f>+'Tab. 6G - Roln i ochrona środ.'!L16</f>
        <v>0</v>
      </c>
      <c r="J20" s="51">
        <f>+'Tab. 6G - Roln i ochrona środ.'!M16</f>
        <v>0</v>
      </c>
      <c r="K20" s="1188">
        <f>+'Tab. 6G - Roln i ochrona środ.'!N16</f>
        <v>0</v>
      </c>
      <c r="L20" s="51">
        <f>+'Tab. 6G - Roln i ochrona środ.'!O16</f>
        <v>0</v>
      </c>
      <c r="M20" s="54">
        <f>+'Tab. 6G - Roln i ochrona środ.'!P16</f>
        <v>0</v>
      </c>
      <c r="N20" s="54">
        <f>+'Tab. 6G - Roln i ochrona środ.'!Q16</f>
        <v>0</v>
      </c>
      <c r="O20" s="54">
        <f>+'Tab. 6G - Roln i ochrona środ.'!R16</f>
        <v>0</v>
      </c>
      <c r="P20" s="54">
        <f>+'Tab. 6G - Roln i ochrona środ.'!S16</f>
        <v>0</v>
      </c>
      <c r="Q20" s="54">
        <f>+'Tab. 6G - Roln i ochrona środ.'!T16</f>
        <v>0</v>
      </c>
      <c r="R20" s="54">
        <f>+'Tab. 6G - Roln i ochrona środ.'!U16</f>
        <v>0</v>
      </c>
      <c r="S20" s="54">
        <f>+'Tab. 6G - Roln i ochrona środ.'!V16</f>
        <v>0</v>
      </c>
      <c r="T20" s="54">
        <f>+'Tab. 6G - Roln i ochrona środ.'!W16</f>
        <v>0</v>
      </c>
      <c r="U20" s="1154">
        <f t="shared" si="8"/>
        <v>0</v>
      </c>
      <c r="V20" s="29">
        <f t="shared" si="9"/>
        <v>0</v>
      </c>
      <c r="W20" s="1033"/>
      <c r="X20" s="1914">
        <f t="shared" si="3"/>
        <v>0</v>
      </c>
      <c r="Y20" s="1915">
        <f t="shared" si="4"/>
        <v>0</v>
      </c>
    </row>
    <row r="21" spans="1:25" s="38" customFormat="1" ht="15.75" customHeight="1">
      <c r="A21" s="53" t="s">
        <v>27</v>
      </c>
      <c r="B21" s="55">
        <f>+'Tab. 6A -Drogi'!E16</f>
        <v>0</v>
      </c>
      <c r="C21" s="55">
        <f>+'Tab. 6A -Drogi'!F16</f>
        <v>0</v>
      </c>
      <c r="D21" s="55">
        <f>+'Tab. 6A -Drogi'!G16</f>
        <v>0</v>
      </c>
      <c r="E21" s="55">
        <f>+'Tab. 6A -Drogi'!H16</f>
        <v>0</v>
      </c>
      <c r="F21" s="55">
        <f>+'Tab. 6A -Drogi'!I16</f>
        <v>0</v>
      </c>
      <c r="G21" s="55">
        <f>+'Tab. 6A -Drogi'!J16</f>
        <v>2000000</v>
      </c>
      <c r="H21" s="55">
        <f>+'Tab. 6A -Drogi'!K16</f>
        <v>5537342</v>
      </c>
      <c r="I21" s="55">
        <f>+'Tab. 6A -Drogi'!L16</f>
        <v>34125</v>
      </c>
      <c r="J21" s="55">
        <f>+'Tab. 6A -Drogi'!M16</f>
        <v>8571467</v>
      </c>
      <c r="K21" s="1189">
        <f>+'Tab. 6A -Drogi'!N16</f>
        <v>1000000</v>
      </c>
      <c r="L21" s="56">
        <f>+'Tab. 6A -Drogi'!O16</f>
        <v>0</v>
      </c>
      <c r="M21" s="51">
        <f>+'Tab. 6A -Drogi'!P16</f>
        <v>1000000</v>
      </c>
      <c r="N21" s="51">
        <f>+'Tab. 6A -Drogi'!Q16</f>
        <v>500000</v>
      </c>
      <c r="O21" s="56">
        <f>+'Tab. 6A -Drogi'!R16</f>
        <v>0</v>
      </c>
      <c r="P21" s="56">
        <f>+'Tab. 6A -Drogi'!S16</f>
        <v>0</v>
      </c>
      <c r="Q21" s="56">
        <f>+'Tab. 6A -Drogi'!T16</f>
        <v>0</v>
      </c>
      <c r="R21" s="56">
        <f>+'Tab. 6A -Drogi'!U16</f>
        <v>0</v>
      </c>
      <c r="S21" s="56">
        <f>+'Tab. 6A -Drogi'!V16</f>
        <v>0</v>
      </c>
      <c r="T21" s="56">
        <f>+'Tab. 6A -Drogi'!W16</f>
        <v>0</v>
      </c>
      <c r="U21" s="1154">
        <f t="shared" si="8"/>
        <v>10071467</v>
      </c>
      <c r="V21" s="29">
        <f t="shared" si="9"/>
        <v>1500000</v>
      </c>
      <c r="W21" s="1033"/>
      <c r="X21" s="1914">
        <f t="shared" si="3"/>
        <v>10071467</v>
      </c>
      <c r="Y21" s="1915">
        <f t="shared" si="4"/>
        <v>0</v>
      </c>
    </row>
    <row r="22" spans="1:25" s="38" customFormat="1" ht="15.75" customHeight="1">
      <c r="A22" s="53" t="s">
        <v>28</v>
      </c>
      <c r="B22" s="57">
        <f>+'Tab. 6A -Drogi'!E17+'Tab. 6G - Roln i ochrona środ.'!E17</f>
        <v>0</v>
      </c>
      <c r="C22" s="57">
        <f>+'Tab. 6A -Drogi'!F17+'Tab. 6G - Roln i ochrona środ.'!F17</f>
        <v>0</v>
      </c>
      <c r="D22" s="57">
        <f>+'Tab. 6A -Drogi'!G17+'Tab. 6G - Roln i ochrona środ.'!G17</f>
        <v>0</v>
      </c>
      <c r="E22" s="57">
        <f>+'Tab. 6A -Drogi'!H17+'Tab. 6G - Roln i ochrona środ.'!H17</f>
        <v>0</v>
      </c>
      <c r="F22" s="57">
        <f>+'Tab. 6A -Drogi'!I17+'Tab. 6G - Roln i ochrona środ.'!I17</f>
        <v>0</v>
      </c>
      <c r="G22" s="57">
        <f>+'Tab. 6A -Drogi'!J17+'Tab. 6G - Roln i ochrona środ.'!J17</f>
        <v>0</v>
      </c>
      <c r="H22" s="58">
        <f>+'Tab. 6A -Drogi'!K17+'Tab. 6G - Roln i ochrona środ.'!K17</f>
        <v>3801777</v>
      </c>
      <c r="I22" s="58">
        <f>+'Tab. 6A -Drogi'!L17+'Tab. 6G - Roln i ochrona środ.'!L17</f>
        <v>13701339</v>
      </c>
      <c r="J22" s="58">
        <f>+'Tab. 6A -Drogi'!M17+'Tab. 6G - Roln i ochrona środ.'!M17+'Tab. 6E - Administracja'!M17</f>
        <v>23259366</v>
      </c>
      <c r="K22" s="58">
        <f>+'Tab. 6A -Drogi'!N17+'Tab. 6G - Roln i ochrona środ.'!N17+'Tab. 6E - Administracja'!N17</f>
        <v>5756250</v>
      </c>
      <c r="L22" s="58">
        <f>+'Tab. 6A -Drogi'!O17+'Tab. 6G - Roln i ochrona środ.'!O17+'Tab. 6E - Administracja'!O17</f>
        <v>3462000</v>
      </c>
      <c r="M22" s="58">
        <f>+'Tab. 6A -Drogi'!P17+'Tab. 6G - Roln i ochrona środ.'!P17+'Tab. 6E - Administracja'!P17</f>
        <v>2039337</v>
      </c>
      <c r="N22" s="58">
        <f>+'Tab. 6A -Drogi'!Q17+'Tab. 6G - Roln i ochrona środ.'!Q17+'Tab. 6E - Administracja'!Q17</f>
        <v>25973771</v>
      </c>
      <c r="O22" s="58">
        <f>+'Tab. 6A -Drogi'!R17+'Tab. 6G - Roln i ochrona środ.'!R17+'Tab. 6E - Administracja'!R17</f>
        <v>10135173</v>
      </c>
      <c r="P22" s="58">
        <f>+'Tab. 6A -Drogi'!S17+'Tab. 6G - Roln i ochrona środ.'!S17+'Tab. 6E - Administracja'!S17</f>
        <v>4009238</v>
      </c>
      <c r="Q22" s="58">
        <f>+'Tab. 6A -Drogi'!T17+'Tab. 6G - Roln i ochrona środ.'!T17+'Tab. 6E - Administracja'!T17</f>
        <v>1394500</v>
      </c>
      <c r="R22" s="57">
        <f>+'Tab. 6A -Drogi'!U17+'Tab. 6G - Roln i ochrona środ.'!U17+'Tab. 6E - Administracja'!U17</f>
        <v>0</v>
      </c>
      <c r="S22" s="57">
        <f>+'Tab. 6A -Drogi'!V17+'Tab. 6G - Roln i ochrona środ.'!V17+'Tab. 6E - Administracja'!V17</f>
        <v>0</v>
      </c>
      <c r="T22" s="57">
        <f>+'Tab. 6A -Drogi'!W17+'Tab. 6G - Roln i ochrona środ.'!W17+'Tab. 6E - Administracja'!W17</f>
        <v>0</v>
      </c>
      <c r="U22" s="1154">
        <f>J22+L22+M22+N22+O22+P22+Q22+R22+S22+T22</f>
        <v>70273385</v>
      </c>
      <c r="V22" s="29">
        <f>SUM(M22:T22)</f>
        <v>43552019</v>
      </c>
      <c r="W22" s="1033"/>
      <c r="X22" s="1914">
        <f t="shared" si="3"/>
        <v>70273385</v>
      </c>
      <c r="Y22" s="1915">
        <f t="shared" si="4"/>
        <v>0</v>
      </c>
    </row>
    <row r="23" spans="1:25" s="38" customFormat="1" ht="15.75" hidden="1" customHeight="1">
      <c r="A23" s="53" t="s">
        <v>37</v>
      </c>
      <c r="B23" s="60"/>
      <c r="C23" s="60"/>
      <c r="D23" s="60"/>
      <c r="E23" s="60"/>
      <c r="F23" s="60"/>
      <c r="G23" s="60"/>
      <c r="H23" s="59"/>
      <c r="I23" s="59"/>
      <c r="J23" s="2265">
        <f>+'Tab.6I - Planow. przestrz.'!M15</f>
        <v>0</v>
      </c>
      <c r="K23" s="2266"/>
      <c r="L23" s="2265">
        <v>0</v>
      </c>
      <c r="M23" s="2266">
        <v>0</v>
      </c>
      <c r="N23" s="2266">
        <v>0</v>
      </c>
      <c r="O23" s="2266">
        <v>0</v>
      </c>
      <c r="P23" s="2266">
        <v>0</v>
      </c>
      <c r="Q23" s="2266">
        <v>0</v>
      </c>
      <c r="R23" s="2266">
        <f>+'Tab.6I - Planow. przestrz.'!U15</f>
        <v>0</v>
      </c>
      <c r="S23" s="2266"/>
      <c r="T23" s="2266"/>
      <c r="U23" s="1154">
        <f>+T23+S23+R23+Q23+P23+O23+N23+M23+L23+J23</f>
        <v>0</v>
      </c>
      <c r="V23" s="29">
        <f>SUM(M23:T23)</f>
        <v>0</v>
      </c>
      <c r="W23" s="1033"/>
      <c r="X23" s="1914"/>
      <c r="Y23" s="1915"/>
    </row>
    <row r="24" spans="1:25" s="38" customFormat="1" ht="15.75" customHeight="1">
      <c r="A24" s="53" t="s">
        <v>29</v>
      </c>
      <c r="B24" s="59">
        <f>+'Tab. 6A -Drogi'!E18</f>
        <v>16194</v>
      </c>
      <c r="C24" s="59">
        <f>+'Tab. 6A -Drogi'!F18</f>
        <v>0</v>
      </c>
      <c r="D24" s="59">
        <f>+'Tab. 6A -Drogi'!G18</f>
        <v>0</v>
      </c>
      <c r="E24" s="59">
        <f>+'Tab. 6A -Drogi'!H18</f>
        <v>83</v>
      </c>
      <c r="F24" s="59">
        <f>+'Tab. 6A -Drogi'!I18</f>
        <v>198958</v>
      </c>
      <c r="G24" s="59">
        <f>+'Tab. 6A -Drogi'!J18</f>
        <v>11663211</v>
      </c>
      <c r="H24" s="59">
        <f>+'Tab. 6A -Drogi'!K18</f>
        <v>2690254</v>
      </c>
      <c r="I24" s="59">
        <f>+'Tab. 6A -Drogi'!L18</f>
        <v>1960926</v>
      </c>
      <c r="J24" s="58">
        <f>+'Tab. 6A -Drogi'!M18</f>
        <v>18122130</v>
      </c>
      <c r="K24" s="1189">
        <f>+'Tab. 6A -Drogi'!N18</f>
        <v>1592587</v>
      </c>
      <c r="L24" s="58">
        <f>+'Tab. 6A -Drogi'!O18</f>
        <v>3031</v>
      </c>
      <c r="M24" s="56">
        <f>+'Tab. 6A -Drogi'!P18</f>
        <v>0</v>
      </c>
      <c r="N24" s="56">
        <f>+'Tab. 6A -Drogi'!Q18</f>
        <v>0</v>
      </c>
      <c r="O24" s="56">
        <f>+'Tab. 6A -Drogi'!R18</f>
        <v>0</v>
      </c>
      <c r="P24" s="56">
        <f>+'Tab. 6A -Drogi'!S18</f>
        <v>0</v>
      </c>
      <c r="Q24" s="56">
        <f>+'Tab. 6A -Drogi'!T18</f>
        <v>0</v>
      </c>
      <c r="R24" s="56">
        <f>+'Tab. 6A -Drogi'!U18</f>
        <v>0</v>
      </c>
      <c r="S24" s="56">
        <f>+'Tab. 6A -Drogi'!V18</f>
        <v>0</v>
      </c>
      <c r="T24" s="56">
        <f>+'Tab. 6A -Drogi'!W18</f>
        <v>0</v>
      </c>
      <c r="U24" s="1154">
        <f t="shared" si="8"/>
        <v>18125161</v>
      </c>
      <c r="V24" s="29">
        <f t="shared" si="9"/>
        <v>0</v>
      </c>
      <c r="W24" s="1033"/>
      <c r="X24" s="1914">
        <f t="shared" si="3"/>
        <v>18125161</v>
      </c>
      <c r="Y24" s="1915">
        <f t="shared" si="4"/>
        <v>0</v>
      </c>
    </row>
    <row r="25" spans="1:25" s="38" customFormat="1" ht="15.75" customHeight="1">
      <c r="A25" s="53" t="s">
        <v>45</v>
      </c>
      <c r="B25" s="59"/>
      <c r="C25" s="59"/>
      <c r="D25" s="59"/>
      <c r="E25" s="59"/>
      <c r="F25" s="59"/>
      <c r="G25" s="59"/>
      <c r="H25" s="59"/>
      <c r="I25" s="59"/>
      <c r="J25" s="59">
        <f>'Tab. 6E - Administracja'!M18</f>
        <v>0</v>
      </c>
      <c r="K25" s="1191">
        <f>'Tab. 6E - Administracja'!N18</f>
        <v>0</v>
      </c>
      <c r="L25" s="59">
        <f>'Tab. 6E - Administracja'!O18</f>
        <v>0</v>
      </c>
      <c r="M25" s="59">
        <f>'Tab. 6E - Administracja'!P18</f>
        <v>730701</v>
      </c>
      <c r="N25" s="59">
        <f>'Tab. 6E - Administracja'!Q18</f>
        <v>733020</v>
      </c>
      <c r="O25" s="59">
        <f>'Tab. 6E - Administracja'!R18</f>
        <v>624234</v>
      </c>
      <c r="P25" s="59">
        <f>'Tab. 6E - Administracja'!S18</f>
        <v>471473</v>
      </c>
      <c r="Q25" s="59">
        <f>'Tab. 6E - Administracja'!T18</f>
        <v>471472</v>
      </c>
      <c r="R25" s="59">
        <f>'Tab. 6E - Administracja'!U18</f>
        <v>471472</v>
      </c>
      <c r="S25" s="59">
        <f>'Tab. 6E - Administracja'!V18</f>
        <v>471472</v>
      </c>
      <c r="T25" s="59">
        <f>'Tab. 6E - Administracja'!W18</f>
        <v>471472</v>
      </c>
      <c r="U25" s="1154">
        <f t="shared" si="8"/>
        <v>4445316</v>
      </c>
      <c r="V25" s="945">
        <v>0</v>
      </c>
      <c r="W25" s="1033"/>
      <c r="X25" s="1914">
        <f t="shared" si="3"/>
        <v>4445316</v>
      </c>
      <c r="Y25" s="1915">
        <f t="shared" si="4"/>
        <v>0</v>
      </c>
    </row>
    <row r="26" spans="1:25" s="38" customFormat="1" ht="17.25" customHeight="1">
      <c r="A26" s="61" t="s">
        <v>30</v>
      </c>
      <c r="B26" s="62">
        <f>SUM(B27:B31)</f>
        <v>583542</v>
      </c>
      <c r="C26" s="62">
        <f t="shared" ref="C26:N26" si="10">SUM(C27:C31)</f>
        <v>0</v>
      </c>
      <c r="D26" s="62">
        <f t="shared" si="10"/>
        <v>511</v>
      </c>
      <c r="E26" s="62">
        <f t="shared" si="10"/>
        <v>8746</v>
      </c>
      <c r="F26" s="62">
        <f t="shared" si="10"/>
        <v>1631840</v>
      </c>
      <c r="G26" s="62">
        <f t="shared" si="10"/>
        <v>14586743</v>
      </c>
      <c r="H26" s="62">
        <f t="shared" si="10"/>
        <v>51856267</v>
      </c>
      <c r="I26" s="62">
        <f t="shared" si="10"/>
        <v>96836397</v>
      </c>
      <c r="J26" s="62">
        <f t="shared" si="10"/>
        <v>317219551</v>
      </c>
      <c r="K26" s="1192">
        <f t="shared" si="10"/>
        <v>152008144</v>
      </c>
      <c r="L26" s="62">
        <f t="shared" si="10"/>
        <v>109234982</v>
      </c>
      <c r="M26" s="62">
        <f t="shared" si="10"/>
        <v>140504200</v>
      </c>
      <c r="N26" s="62">
        <f t="shared" si="10"/>
        <v>343419886</v>
      </c>
      <c r="O26" s="62">
        <f>SUM(O27:O31)</f>
        <v>224454215</v>
      </c>
      <c r="P26" s="62">
        <f t="shared" ref="P26:Q26" si="11">SUM(P27:P31)</f>
        <v>69056858</v>
      </c>
      <c r="Q26" s="62">
        <f t="shared" si="11"/>
        <v>46161171</v>
      </c>
      <c r="R26" s="62">
        <f t="shared" ref="R26:T26" si="12">SUM(R27:R31)</f>
        <v>32305516</v>
      </c>
      <c r="S26" s="62">
        <f t="shared" si="12"/>
        <v>31971546</v>
      </c>
      <c r="T26" s="62">
        <f t="shared" si="12"/>
        <v>31208245</v>
      </c>
      <c r="U26" s="1155">
        <f>SUM(U27:U31)</f>
        <v>1345536170</v>
      </c>
      <c r="V26" s="63">
        <f>SUM(V29:V31)</f>
        <v>43621798</v>
      </c>
      <c r="W26" s="1033"/>
      <c r="X26" s="1914">
        <f t="shared" si="3"/>
        <v>1345536170</v>
      </c>
      <c r="Y26" s="1915">
        <f t="shared" si="4"/>
        <v>0</v>
      </c>
    </row>
    <row r="27" spans="1:25" s="38" customFormat="1" ht="15.75" hidden="1" customHeight="1">
      <c r="A27" s="50" t="s">
        <v>24</v>
      </c>
      <c r="B27" s="51">
        <f>+'Tab. 6G - Roln i ochrona środ.'!E19</f>
        <v>0</v>
      </c>
      <c r="C27" s="51">
        <f>+'Tab. 6G - Roln i ochrona środ.'!F19</f>
        <v>0</v>
      </c>
      <c r="D27" s="51">
        <f>+'Tab. 6G - Roln i ochrona środ.'!G19</f>
        <v>0</v>
      </c>
      <c r="E27" s="51">
        <f>+'Tab. 6G - Roln i ochrona środ.'!H19</f>
        <v>0</v>
      </c>
      <c r="F27" s="51">
        <f>+'Tab. 6G - Roln i ochrona środ.'!I19</f>
        <v>0</v>
      </c>
      <c r="G27" s="51">
        <f>+'Tab. 6G - Roln i ochrona środ.'!J19</f>
        <v>0</v>
      </c>
      <c r="H27" s="51">
        <f>+'Tab. 6G - Roln i ochrona środ.'!K19</f>
        <v>0</v>
      </c>
      <c r="I27" s="51">
        <f>+'Tab. 6G - Roln i ochrona środ.'!L19</f>
        <v>0</v>
      </c>
      <c r="J27" s="51">
        <f>+'Tab. 6G - Roln i ochrona środ.'!M19</f>
        <v>0</v>
      </c>
      <c r="K27" s="1188">
        <f>+'Tab. 6G - Roln i ochrona środ.'!N19</f>
        <v>0</v>
      </c>
      <c r="L27" s="51">
        <f>+'Tab. 6G - Roln i ochrona środ.'!O19</f>
        <v>0</v>
      </c>
      <c r="M27" s="51">
        <f>+'Tab. 6G - Roln i ochrona środ.'!P19</f>
        <v>0</v>
      </c>
      <c r="N27" s="51">
        <f>+'Tab. 6G - Roln i ochrona środ.'!Q19</f>
        <v>0</v>
      </c>
      <c r="O27" s="51">
        <f>+'Tab. 6G - Roln i ochrona środ.'!R19</f>
        <v>0</v>
      </c>
      <c r="P27" s="51">
        <f>+'Tab. 6G - Roln i ochrona środ.'!S19</f>
        <v>0</v>
      </c>
      <c r="Q27" s="51">
        <f>+'Tab. 6G - Roln i ochrona środ.'!T19</f>
        <v>0</v>
      </c>
      <c r="R27" s="51">
        <f>+'Tab. 6G - Roln i ochrona środ.'!U19</f>
        <v>0</v>
      </c>
      <c r="S27" s="51">
        <f>+'Tab. 6G - Roln i ochrona środ.'!V19</f>
        <v>0</v>
      </c>
      <c r="T27" s="51">
        <f>+'Tab. 6G - Roln i ochrona środ.'!W19</f>
        <v>0</v>
      </c>
      <c r="U27" s="1154">
        <f>J27+L27+M27+N27+O27+P27+Q27+R27+S27+T27</f>
        <v>0</v>
      </c>
      <c r="V27" s="29">
        <f>SUM(M27:T27)</f>
        <v>0</v>
      </c>
      <c r="W27" s="1033"/>
      <c r="X27" s="1914">
        <f t="shared" si="3"/>
        <v>0</v>
      </c>
      <c r="Y27" s="1915">
        <f t="shared" si="4"/>
        <v>0</v>
      </c>
    </row>
    <row r="28" spans="1:25" s="38" customFormat="1" ht="13.5" hidden="1" customHeight="1">
      <c r="A28" s="50" t="s">
        <v>31</v>
      </c>
      <c r="B28" s="54">
        <f>+'Tab. 6A -Drogi'!E22</f>
        <v>0</v>
      </c>
      <c r="C28" s="54">
        <f>+'Tab. 6A -Drogi'!F22</f>
        <v>0</v>
      </c>
      <c r="D28" s="54">
        <f>+'Tab. 6A -Drogi'!G22</f>
        <v>0</v>
      </c>
      <c r="E28" s="54">
        <f>+'Tab. 6A -Drogi'!H22</f>
        <v>0</v>
      </c>
      <c r="F28" s="54">
        <f>+'Tab. 6A -Drogi'!I22</f>
        <v>0</v>
      </c>
      <c r="G28" s="54">
        <f>+'Tab. 6A -Drogi'!J22</f>
        <v>0</v>
      </c>
      <c r="H28" s="54">
        <f>+'Tab. 6A -Drogi'!K22</f>
        <v>0</v>
      </c>
      <c r="I28" s="51">
        <f>+'Tab. 6A -Drogi'!L22</f>
        <v>0</v>
      </c>
      <c r="J28" s="51">
        <f>+'Tab. 6A -Drogi'!M22</f>
        <v>0</v>
      </c>
      <c r="K28" s="1188">
        <f>+'Tab. 6A -Drogi'!N22</f>
        <v>0</v>
      </c>
      <c r="L28" s="51">
        <f>+'Tab. 6A -Drogi'!O22</f>
        <v>0</v>
      </c>
      <c r="M28" s="51">
        <f>+'Tab. 6A -Drogi'!P22</f>
        <v>0</v>
      </c>
      <c r="N28" s="51">
        <f>+'Tab. 6A -Drogi'!Q22</f>
        <v>0</v>
      </c>
      <c r="O28" s="51">
        <f>+'Tab. 6A -Drogi'!R22</f>
        <v>0</v>
      </c>
      <c r="P28" s="51">
        <f>+'Tab. 6A -Drogi'!S22</f>
        <v>0</v>
      </c>
      <c r="Q28" s="51">
        <f>+'Tab. 6A -Drogi'!T22</f>
        <v>0</v>
      </c>
      <c r="R28" s="51">
        <f>+'Tab. 6A -Drogi'!U22</f>
        <v>0</v>
      </c>
      <c r="S28" s="51">
        <f>+'Tab. 6A -Drogi'!V22</f>
        <v>0</v>
      </c>
      <c r="T28" s="51">
        <f>+'Tab. 6A -Drogi'!W22</f>
        <v>0</v>
      </c>
      <c r="U28" s="1154">
        <f>J28+L28+M28+N28+O28+P28+Q28+R28+S28+T28</f>
        <v>0</v>
      </c>
      <c r="V28" s="29">
        <f>SUM(M28:T28)</f>
        <v>0</v>
      </c>
      <c r="W28" s="1033"/>
      <c r="X28" s="1914">
        <f t="shared" si="3"/>
        <v>0</v>
      </c>
      <c r="Y28" s="1915">
        <f t="shared" si="4"/>
        <v>0</v>
      </c>
    </row>
    <row r="29" spans="1:25" s="38" customFormat="1" ht="14.25" customHeight="1">
      <c r="A29" s="53" t="s">
        <v>32</v>
      </c>
      <c r="B29" s="54">
        <f>+'Tab. 6D - Oświata'!E17+'Tab. 6A -Drogi'!E20+'Tab. 6G - Roln i ochrona środ.'!E22</f>
        <v>0</v>
      </c>
      <c r="C29" s="51">
        <f>+'Tab. 6D - Oświata'!F17+'Tab. 6A -Drogi'!F20+'Tab. 6G - Roln i ochrona środ.'!F22</f>
        <v>0</v>
      </c>
      <c r="D29" s="51">
        <f>+'Tab. 6D - Oświata'!G17+'Tab. 6A -Drogi'!G20+'Tab. 6G - Roln i ochrona środ.'!G22</f>
        <v>0</v>
      </c>
      <c r="E29" s="51">
        <f>+'Tab. 6D - Oświata'!H17+'Tab. 6A -Drogi'!H20+'Tab. 6G - Roln i ochrona środ.'!H22</f>
        <v>0</v>
      </c>
      <c r="F29" s="51">
        <f>+'Tab. 6D - Oświata'!I17+'Tab. 6A -Drogi'!I20+'Tab. 6G - Roln i ochrona środ.'!I22</f>
        <v>0</v>
      </c>
      <c r="G29" s="51">
        <f>+'Tab. 6D - Oświata'!J17+'Tab. 6A -Drogi'!J20+'Tab. 6G - Roln i ochrona środ.'!J22</f>
        <v>629249</v>
      </c>
      <c r="H29" s="51">
        <f>+'Tab. 6D - Oświata'!K17+'Tab. 6A -Drogi'!K20+'Tab. 6G - Roln i ochrona środ.'!K22</f>
        <v>2188317</v>
      </c>
      <c r="I29" s="51">
        <f>+'Tab. 6D - Oświata'!L17+'Tab. 6A -Drogi'!L20+'Tab. 6G - Roln i ochrona środ.'!L22</f>
        <v>1116737</v>
      </c>
      <c r="J29" s="51">
        <f>+'Tab. 6D - Oświata'!M17+'Tab. 6A -Drogi'!M20+'Tab. 6G - Roln i ochrona środ.'!M22+'Tab.6I - Planow. przestrz.'!M18+'Tab. 6B Polit społ i rozwój prz'!M16</f>
        <v>7123728</v>
      </c>
      <c r="K29" s="1188">
        <f>+'Tab. 6D - Oświata'!N17+'Tab. 6A -Drogi'!N20+'Tab. 6G - Roln i ochrona środ.'!N22</f>
        <v>3209752</v>
      </c>
      <c r="L29" s="51">
        <f>+'Tab. 6D - Oświata'!O17+'Tab. 6A -Drogi'!O20+'Tab. 6G - Roln i ochrona środ.'!O22+'Tab.6I - Planow. przestrz.'!O18+'Tab. 6B Polit społ i rozwój prz'!O16</f>
        <v>4991601</v>
      </c>
      <c r="M29" s="51">
        <f>+'Tab. 6D - Oświata'!P17+'Tab. 6A -Drogi'!P20+'Tab. 6G - Roln i ochrona środ.'!P22+'Tab.6I - Planow. przestrz.'!P18+'Tab. 6B Polit społ i rozwój prz'!P16</f>
        <v>8568481</v>
      </c>
      <c r="N29" s="51">
        <f>+'Tab. 6D - Oświata'!Q17+'Tab. 6A -Drogi'!Q20+'Tab. 6G - Roln i ochrona środ.'!Q22+'Tab.6I - Planow. przestrz.'!Q18+'Tab. 6B Polit społ i rozwój prz'!Q16</f>
        <v>20857621</v>
      </c>
      <c r="O29" s="51">
        <f>+'Tab. 6D - Oświata'!R17+'Tab. 6A -Drogi'!R20+'Tab. 6G - Roln i ochrona środ.'!R22+'Tab.6I - Planow. przestrz.'!R18+'Tab. 6B Polit społ i rozwój prz'!R16</f>
        <v>6028854</v>
      </c>
      <c r="P29" s="51">
        <f>+'Tab. 6D - Oświata'!S17+'Tab. 6A -Drogi'!S20+'Tab. 6G - Roln i ochrona środ.'!S22+'Tab.6I - Planow. przestrz.'!S18+'Tab. 6B Polit społ i rozwój prz'!S16</f>
        <v>6609205</v>
      </c>
      <c r="Q29" s="51">
        <f>+'Tab. 6D - Oświata'!T17+'Tab. 6A -Drogi'!T20+'Tab. 6G - Roln i ochrona środ.'!T22+'Tab.6I - Planow. przestrz.'!T18+'Tab. 6B Polit społ i rozwój prz'!T16</f>
        <v>113837</v>
      </c>
      <c r="R29" s="51">
        <f>+'Tab. 6D - Oświata'!U17+'Tab. 6A -Drogi'!U20+'Tab. 6G - Roln i ochrona środ.'!U22+'Tab.6I - Planow. przestrz.'!U18+'Tab. 6B Polit społ i rozwój prz'!U16</f>
        <v>0</v>
      </c>
      <c r="S29" s="51">
        <f>+'Tab. 6D - Oświata'!V17+'Tab. 6A -Drogi'!V20+'Tab. 6G - Roln i ochrona środ.'!V22+'Tab.6I - Planow. przestrz.'!V18+'Tab. 6B Polit społ i rozwój prz'!V16</f>
        <v>0</v>
      </c>
      <c r="T29" s="51">
        <f>+'Tab. 6D - Oświata'!W17+'Tab. 6A -Drogi'!W20+'Tab. 6G - Roln i ochrona środ.'!W22+'Tab.6I - Planow. przestrz.'!W18+'Tab. 6B Polit społ i rozwój prz'!W16</f>
        <v>0</v>
      </c>
      <c r="U29" s="1154">
        <f>J29+L29+M29+N29+O29+P29+Q29+R29+S29+T29</f>
        <v>54293327</v>
      </c>
      <c r="V29" s="29">
        <f>SUM(M29:T29)</f>
        <v>42177998</v>
      </c>
      <c r="W29" s="1033"/>
      <c r="X29" s="1914">
        <f t="shared" si="3"/>
        <v>54293327</v>
      </c>
      <c r="Y29" s="1915">
        <f t="shared" si="4"/>
        <v>0</v>
      </c>
    </row>
    <row r="30" spans="1:25" s="38" customFormat="1" ht="14.25" hidden="1" customHeight="1">
      <c r="A30" s="53" t="s">
        <v>26</v>
      </c>
      <c r="B30" s="55">
        <f>+'Tab. 6G - Roln i ochrona środ.'!E21</f>
        <v>0</v>
      </c>
      <c r="C30" s="55">
        <f>+'Tab. 6G - Roln i ochrona środ.'!F21</f>
        <v>0</v>
      </c>
      <c r="D30" s="55">
        <f>+'Tab. 6G - Roln i ochrona środ.'!G21</f>
        <v>0</v>
      </c>
      <c r="E30" s="55">
        <f>+'Tab. 6G - Roln i ochrona środ.'!H21</f>
        <v>0</v>
      </c>
      <c r="F30" s="55">
        <f>+'Tab. 6G - Roln i ochrona środ.'!I21</f>
        <v>0</v>
      </c>
      <c r="G30" s="55">
        <f>+'Tab. 6G - Roln i ochrona środ.'!J21</f>
        <v>0</v>
      </c>
      <c r="H30" s="55">
        <f>+'Tab. 6G - Roln i ochrona środ.'!K21</f>
        <v>0</v>
      </c>
      <c r="I30" s="55">
        <f>+'Tab. 6G - Roln i ochrona środ.'!L21</f>
        <v>0</v>
      </c>
      <c r="J30" s="55">
        <f>+'Tab. 6G - Roln i ochrona środ.'!M21</f>
        <v>0</v>
      </c>
      <c r="K30" s="1189">
        <f>+'Tab. 6G - Roln i ochrona środ.'!N21</f>
        <v>0</v>
      </c>
      <c r="L30" s="55">
        <f>+'Tab. 6G - Roln i ochrona środ.'!O21</f>
        <v>0</v>
      </c>
      <c r="M30" s="55">
        <f>+'Tab. 6G - Roln i ochrona środ.'!P21</f>
        <v>0</v>
      </c>
      <c r="N30" s="55">
        <f>+'Tab. 6G - Roln i ochrona środ.'!Q21</f>
        <v>0</v>
      </c>
      <c r="O30" s="55">
        <f>+'Tab. 6G - Roln i ochrona środ.'!R21</f>
        <v>0</v>
      </c>
      <c r="P30" s="55">
        <f>+'Tab. 6G - Roln i ochrona środ.'!S21</f>
        <v>0</v>
      </c>
      <c r="Q30" s="55">
        <f>+'Tab. 6G - Roln i ochrona środ.'!T21</f>
        <v>0</v>
      </c>
      <c r="R30" s="55">
        <f>+'Tab. 6G - Roln i ochrona środ.'!U21</f>
        <v>0</v>
      </c>
      <c r="S30" s="55">
        <f>+'Tab. 6G - Roln i ochrona środ.'!V21</f>
        <v>0</v>
      </c>
      <c r="T30" s="55">
        <f>+'Tab. 6G - Roln i ochrona środ.'!W21</f>
        <v>0</v>
      </c>
      <c r="U30" s="1154">
        <f>J30+L30+M30+N30+O30+P30+Q30+R30+S30+T30</f>
        <v>0</v>
      </c>
      <c r="V30" s="29">
        <f>SUM(M30:T30)</f>
        <v>0</v>
      </c>
      <c r="W30" s="1033"/>
      <c r="X30" s="1914">
        <f t="shared" si="3"/>
        <v>0</v>
      </c>
      <c r="Y30" s="1915">
        <f t="shared" si="4"/>
        <v>0</v>
      </c>
    </row>
    <row r="31" spans="1:25" s="38" customFormat="1" ht="14.25" customHeight="1">
      <c r="A31" s="53" t="s">
        <v>33</v>
      </c>
      <c r="B31" s="55">
        <f>+'Tab. 6B Polit społ i rozwój prz'!E17+'Tab. 6A -Drogi'!E21+'Tab. 6E - Administracja'!E20+'Tab. 6G - Roln i ochrona środ.'!E20+'Tab. 6H - Kultura fiz. i turyst'!E15+'Tab.6I - Planow. przestrz.'!E17</f>
        <v>583542</v>
      </c>
      <c r="C31" s="946">
        <f>+'Tab. 6B Polit społ i rozwój prz'!F17+'Tab. 6A -Drogi'!F21+'Tab. 6E - Administracja'!F20+'Tab. 6G - Roln i ochrona środ.'!F20+'Tab. 6H - Kultura fiz. i turyst'!F15+'Tab.6I - Planow. przestrz.'!F17</f>
        <v>0</v>
      </c>
      <c r="D31" s="946">
        <f>+'Tab. 6B Polit społ i rozwój prz'!G17+'Tab. 6A -Drogi'!G21+'Tab. 6E - Administracja'!G20+'Tab. 6G - Roln i ochrona środ.'!G20+'Tab. 6H - Kultura fiz. i turyst'!G15+'Tab.6I - Planow. przestrz.'!G17</f>
        <v>511</v>
      </c>
      <c r="E31" s="946">
        <f>+'Tab. 6B Polit społ i rozwój prz'!H17+'Tab. 6A -Drogi'!H21+'Tab. 6E - Administracja'!H20+'Tab. 6G - Roln i ochrona środ.'!H20+'Tab. 6H - Kultura fiz. i turyst'!H15+'Tab.6I - Planow. przestrz.'!H17</f>
        <v>8746</v>
      </c>
      <c r="F31" s="55">
        <f>+'Tab. 6B Polit społ i rozwój prz'!I17+'Tab. 6A -Drogi'!I21+'Tab. 6E - Administracja'!I20+'Tab. 6G - Roln i ochrona środ.'!I20+'Tab. 6H - Kultura fiz. i turyst'!I15+'Tab.6I - Planow. przestrz.'!I17</f>
        <v>1631840</v>
      </c>
      <c r="G31" s="55">
        <f>+'Tab. 6B Polit społ i rozwój prz'!J17+'Tab. 6A -Drogi'!J21+'Tab. 6E - Administracja'!J20+'Tab. 6G - Roln i ochrona środ.'!J20+'Tab. 6H - Kultura fiz. i turyst'!J15+'Tab.6I - Planow. przestrz.'!J17</f>
        <v>13957494</v>
      </c>
      <c r="H31" s="55">
        <f>+'Tab. 6B Polit społ i rozwój prz'!K17+'Tab. 6A -Drogi'!K21+'Tab. 6E - Administracja'!K20+'Tab. 6G - Roln i ochrona środ.'!K20+'Tab. 6H - Kultura fiz. i turyst'!K15+'Tab.6I - Planow. przestrz.'!K17</f>
        <v>49667950</v>
      </c>
      <c r="I31" s="55">
        <f>+'Tab. 6B Polit społ i rozwój prz'!L17+'Tab. 6A -Drogi'!L21+'Tab. 6E - Administracja'!L20+'Tab. 6G - Roln i ochrona środ.'!L20+'Tab. 6H - Kultura fiz. i turyst'!L15+'Tab.6I - Planow. przestrz.'!L17</f>
        <v>95719660</v>
      </c>
      <c r="J31" s="55">
        <f>+'Tab. 6B Polit społ i rozwój prz'!M17+'Tab. 6A -Drogi'!M21+'Tab. 6E - Administracja'!M20+'Tab. 6G - Roln i ochrona środ.'!M20+'Tab. 6H - Kultura fiz. i turyst'!M15+'Tab.6I - Planow. przestrz.'!M17</f>
        <v>310095823</v>
      </c>
      <c r="K31" s="1189">
        <f>+'Tab. 6B Polit społ i rozwój prz'!N17+'Tab. 6A -Drogi'!N21+'Tab. 6E - Administracja'!N20+'Tab. 6G - Roln i ochrona środ.'!N20+'Tab. 6H - Kultura fiz. i turyst'!N15+'Tab.6I - Planow. przestrz.'!N17</f>
        <v>148798392</v>
      </c>
      <c r="L31" s="55">
        <f>+'Tab. 6B Polit społ i rozwój prz'!O17+'Tab. 6A -Drogi'!O21+'Tab. 6E - Administracja'!O20+'Tab. 6G - Roln i ochrona środ.'!O20+'Tab. 6H - Kultura fiz. i turyst'!O15+'Tab.6I - Planow. przestrz.'!O17</f>
        <v>104243381</v>
      </c>
      <c r="M31" s="55">
        <f>+'Tab. 6B Polit społ i rozwój prz'!P17+'Tab. 6A -Drogi'!P21+'Tab. 6E - Administracja'!P20+'Tab. 6G - Roln i ochrona środ.'!P20+'Tab. 6H - Kultura fiz. i turyst'!P15+'Tab.6I - Planow. przestrz.'!P17</f>
        <v>131935719</v>
      </c>
      <c r="N31" s="55">
        <f>+'Tab. 6B Polit społ i rozwój prz'!Q17+'Tab. 6A -Drogi'!Q21+'Tab. 6E - Administracja'!Q20+'Tab. 6G - Roln i ochrona środ.'!Q20+'Tab. 6H - Kultura fiz. i turyst'!Q15+'Tab.6I - Planow. przestrz.'!Q17</f>
        <v>322562265</v>
      </c>
      <c r="O31" s="55">
        <f>+'Tab. 6B Polit społ i rozwój prz'!R17+'Tab. 6A -Drogi'!R21+'Tab. 6E - Administracja'!R20+'Tab. 6G - Roln i ochrona środ.'!R20+'Tab. 6H - Kultura fiz. i turyst'!R15+'Tab.6I - Planow. przestrz.'!R17</f>
        <v>218425361</v>
      </c>
      <c r="P31" s="55">
        <f>+'Tab. 6B Polit społ i rozwój prz'!S17+'Tab. 6A -Drogi'!S21+'Tab. 6E - Administracja'!S20+'Tab. 6G - Roln i ochrona środ.'!S20+'Tab. 6H - Kultura fiz. i turyst'!S15+'Tab.6I - Planow. przestrz.'!S17</f>
        <v>62447653</v>
      </c>
      <c r="Q31" s="55">
        <f>+'Tab. 6B Polit społ i rozwój prz'!T17+'Tab. 6A -Drogi'!T21+'Tab. 6E - Administracja'!T20+'Tab. 6G - Roln i ochrona środ.'!T20+'Tab. 6H - Kultura fiz. i turyst'!T15+'Tab.6I - Planow. przestrz.'!T17</f>
        <v>46047334</v>
      </c>
      <c r="R31" s="55">
        <f>+'Tab. 6B Polit społ i rozwój prz'!U17+'Tab. 6A -Drogi'!U21+'Tab. 6E - Administracja'!U20+'Tab. 6G - Roln i ochrona środ.'!U20+'Tab. 6H - Kultura fiz. i turyst'!U15+'Tab.6I - Planow. przestrz.'!U17</f>
        <v>32305516</v>
      </c>
      <c r="S31" s="55">
        <f>+'Tab. 6B Polit społ i rozwój prz'!V17+'Tab. 6A -Drogi'!V21+'Tab. 6E - Administracja'!V20+'Tab. 6G - Roln i ochrona środ.'!V20+'Tab. 6H - Kultura fiz. i turyst'!V15+'Tab.6I - Planow. przestrz.'!V17</f>
        <v>31971546</v>
      </c>
      <c r="T31" s="55">
        <f>+'Tab. 6B Polit społ i rozwój prz'!W17+'Tab. 6A -Drogi'!W21+'Tab. 6E - Administracja'!W20+'Tab. 6G - Roln i ochrona środ.'!W20+'Tab. 6H - Kultura fiz. i turyst'!W15+'Tab.6I - Planow. przestrz.'!W17</f>
        <v>31208245</v>
      </c>
      <c r="U31" s="1154">
        <f>J31+L31+M31+N31+O31+P31+Q31+R31+S31+T31</f>
        <v>1291242843</v>
      </c>
      <c r="V31" s="29">
        <f>+'Tab. 6B Polit społ i rozwój prz'!Y17+'Tab. 6A -Drogi'!Y21+'Tab. 6E - Administracja'!Y20+'Tab. 6G - Roln i ochrona środ.'!Y20+'Tab. 6H - Kultura fiz. i turyst'!Y15+'Tab.6I - Planow. przestrz.'!Y17+'Tab. 6E - Administracja'!P139</f>
        <v>1443800</v>
      </c>
      <c r="W31" s="1033"/>
      <c r="X31" s="1912">
        <f t="shared" si="3"/>
        <v>1291242843</v>
      </c>
      <c r="Y31" s="1913">
        <f t="shared" si="4"/>
        <v>0</v>
      </c>
    </row>
    <row r="32" spans="1:25" s="68" customFormat="1" ht="15.75" customHeight="1">
      <c r="A32" s="64" t="s">
        <v>34</v>
      </c>
      <c r="B32" s="65">
        <f t="shared" ref="B32:O32" si="13">+B33+B41</f>
        <v>3874</v>
      </c>
      <c r="C32" s="66">
        <f>+C33+C41</f>
        <v>0</v>
      </c>
      <c r="D32" s="66">
        <f t="shared" si="13"/>
        <v>2563346</v>
      </c>
      <c r="E32" s="66">
        <f t="shared" si="13"/>
        <v>8310034</v>
      </c>
      <c r="F32" s="67">
        <f t="shared" si="13"/>
        <v>480461</v>
      </c>
      <c r="G32" s="67">
        <f t="shared" si="13"/>
        <v>25330919</v>
      </c>
      <c r="H32" s="67">
        <f t="shared" si="13"/>
        <v>68076191</v>
      </c>
      <c r="I32" s="67">
        <f>+I33+I41</f>
        <v>87939545</v>
      </c>
      <c r="J32" s="67">
        <f>+J33+J41</f>
        <v>338925901</v>
      </c>
      <c r="K32" s="1193">
        <f t="shared" si="13"/>
        <v>157404388</v>
      </c>
      <c r="L32" s="67">
        <f>+L33+L41</f>
        <v>120648450</v>
      </c>
      <c r="M32" s="67">
        <f t="shared" si="13"/>
        <v>174573791</v>
      </c>
      <c r="N32" s="67">
        <f t="shared" si="13"/>
        <v>358993127</v>
      </c>
      <c r="O32" s="67">
        <f t="shared" si="13"/>
        <v>247694651</v>
      </c>
      <c r="P32" s="67">
        <f t="shared" ref="P32:Q32" si="14">+P33+P41</f>
        <v>81029324</v>
      </c>
      <c r="Q32" s="67">
        <f t="shared" si="14"/>
        <v>51431139</v>
      </c>
      <c r="R32" s="67">
        <f t="shared" ref="R32:T32" si="15">+R33+R41</f>
        <v>33426087</v>
      </c>
      <c r="S32" s="67">
        <f t="shared" si="15"/>
        <v>32960960</v>
      </c>
      <c r="T32" s="67">
        <f t="shared" si="15"/>
        <v>31702952</v>
      </c>
      <c r="U32" s="1156">
        <f>+U33+U41</f>
        <v>1471386382</v>
      </c>
      <c r="V32" s="2922" t="s">
        <v>35</v>
      </c>
      <c r="W32" s="1033"/>
    </row>
    <row r="33" spans="1:25" s="38" customFormat="1" ht="17.25" customHeight="1">
      <c r="A33" s="61" t="s">
        <v>36</v>
      </c>
      <c r="B33" s="69">
        <f>SUM(B34:B40)</f>
        <v>3874</v>
      </c>
      <c r="C33" s="69">
        <f t="shared" ref="C33:O33" si="16">SUM(C34:C40)</f>
        <v>0</v>
      </c>
      <c r="D33" s="69">
        <f t="shared" si="16"/>
        <v>0</v>
      </c>
      <c r="E33" s="69">
        <f t="shared" si="16"/>
        <v>0</v>
      </c>
      <c r="F33" s="69">
        <f t="shared" si="16"/>
        <v>72234</v>
      </c>
      <c r="G33" s="69">
        <f t="shared" si="16"/>
        <v>14978557</v>
      </c>
      <c r="H33" s="69">
        <f t="shared" si="16"/>
        <v>20154091</v>
      </c>
      <c r="I33" s="69">
        <f t="shared" si="16"/>
        <v>14421912</v>
      </c>
      <c r="J33" s="69">
        <f t="shared" ref="J33" si="17">SUM(J34:J40)</f>
        <v>64964372</v>
      </c>
      <c r="K33" s="1192">
        <f t="shared" si="16"/>
        <v>15380126</v>
      </c>
      <c r="L33" s="69">
        <f t="shared" si="16"/>
        <v>9250941</v>
      </c>
      <c r="M33" s="69">
        <f t="shared" si="16"/>
        <v>13983776</v>
      </c>
      <c r="N33" s="69">
        <f t="shared" si="16"/>
        <v>14248850</v>
      </c>
      <c r="O33" s="69">
        <f t="shared" si="16"/>
        <v>10116413</v>
      </c>
      <c r="P33" s="69">
        <f t="shared" ref="P33:Q33" si="18">SUM(P34:P40)</f>
        <v>8183769</v>
      </c>
      <c r="Q33" s="69">
        <f t="shared" si="18"/>
        <v>2611234</v>
      </c>
      <c r="R33" s="69">
        <f t="shared" ref="R33:T33" si="19">SUM(R34:R40)</f>
        <v>1006734</v>
      </c>
      <c r="S33" s="69">
        <f t="shared" si="19"/>
        <v>989414</v>
      </c>
      <c r="T33" s="69">
        <f t="shared" si="19"/>
        <v>494707</v>
      </c>
      <c r="U33" s="99">
        <f>SUM(U34:U40)</f>
        <v>125850210</v>
      </c>
      <c r="V33" s="2923"/>
      <c r="W33" s="1161" t="s">
        <v>340</v>
      </c>
    </row>
    <row r="34" spans="1:25" s="38" customFormat="1" ht="14.25" customHeight="1">
      <c r="A34" s="53" t="s">
        <v>25</v>
      </c>
      <c r="B34" s="70">
        <f>+'Tab. 6B Polit społ i rozwój prz'!E20+'Tab. 6A -Drogi'!E25+'Tab. 6E - Administracja'!E23+'Tab. 6G - Roln i ochrona środ.'!E25</f>
        <v>3874</v>
      </c>
      <c r="C34" s="947">
        <f>+'Tab. 6B Polit społ i rozwój prz'!F20+'Tab. 6A -Drogi'!F25+'Tab. 6E - Administracja'!F23+'Tab. 6G - Roln i ochrona środ.'!F25</f>
        <v>0</v>
      </c>
      <c r="D34" s="947">
        <f>+'Tab. 6B Polit społ i rozwój prz'!G20+'Tab. 6A -Drogi'!G25+'Tab. 6E - Administracja'!G23+'Tab. 6G - Roln i ochrona środ.'!G25</f>
        <v>0</v>
      </c>
      <c r="E34" s="947">
        <f>+'Tab. 6B Polit społ i rozwój prz'!H20+'Tab. 6A -Drogi'!H25+'Tab. 6E - Administracja'!H23+'Tab. 6G - Roln i ochrona środ.'!H25</f>
        <v>0</v>
      </c>
      <c r="F34" s="70">
        <f>+'Tab. 6B Polit społ i rozwój prz'!I20+'Tab. 6A -Drogi'!I25+'Tab. 6E - Administracja'!I23+'Tab. 6G - Roln i ochrona środ.'!I25</f>
        <v>72234</v>
      </c>
      <c r="G34" s="70">
        <f>+'Tab. 6B Polit społ i rozwój prz'!J20+'Tab. 6A -Drogi'!J25+'Tab. 6E - Administracja'!J23+'Tab. 6G - Roln i ochrona środ.'!J25</f>
        <v>73370</v>
      </c>
      <c r="H34" s="70">
        <f>+'Tab. 6B Polit społ i rozwój prz'!K20+'Tab. 6A -Drogi'!K25+'Tab. 6E - Administracja'!K23+'Tab. 6G - Roln i ochrona środ.'!K25</f>
        <v>52704</v>
      </c>
      <c r="I34" s="70">
        <f>+'Tab. 6B Polit społ i rozwój prz'!L20+'Tab. 6A -Drogi'!L25+'Tab. 6E - Administracja'!L23+'Tab. 6G - Roln i ochrona środ.'!L25</f>
        <v>44329</v>
      </c>
      <c r="J34" s="70">
        <f>+'Tab. 6B Polit społ i rozwój prz'!M20+'Tab. 6A -Drogi'!M25+'Tab. 6E - Administracja'!M23+'Tab. 6G - Roln i ochrona środ.'!M25</f>
        <v>7596885</v>
      </c>
      <c r="K34" s="1188">
        <f>+'Tab. 6B Polit społ i rozwój prz'!N20+'Tab. 6A -Drogi'!N25+'Tab. 6E - Administracja'!N23+'Tab. 6G - Roln i ochrona środ.'!N25</f>
        <v>7396796</v>
      </c>
      <c r="L34" s="70">
        <f>+'Tab. 6B Polit społ i rozwój prz'!O20+'Tab. 6A -Drogi'!O25+'Tab. 6E - Administracja'!O23+'Tab. 6G - Roln i ochrona środ.'!O25+'Tab.6I - Planow. przestrz.'!O63</f>
        <v>8250667</v>
      </c>
      <c r="M34" s="70">
        <f>+'Tab. 6B Polit społ i rozwój prz'!P20+'Tab. 6A -Drogi'!P25+'Tab. 6E - Administracja'!P23+'Tab. 6G - Roln i ochrona środ.'!P25+'Tab.6I - Planow. przestrz.'!P63</f>
        <v>2525154</v>
      </c>
      <c r="N34" s="70">
        <f>+'Tab. 6B Polit społ i rozwój prz'!Q20+'Tab. 6A -Drogi'!Q25+'Tab. 6E - Administracja'!Q23+'Tab. 6G - Roln i ochrona środ.'!Q25+'Tab.6I - Planow. przestrz.'!Q63</f>
        <v>1887024</v>
      </c>
      <c r="O34" s="70">
        <f>+'Tab. 6B Polit społ i rozwój prz'!R20+'Tab. 6A -Drogi'!R25+'Tab. 6E - Administracja'!R23+'Tab. 6G - Roln i ochrona środ.'!R25+'Tab.6I - Planow. przestrz.'!R63</f>
        <v>1419828</v>
      </c>
      <c r="P34" s="70">
        <f>+'Tab. 6B Polit społ i rozwój prz'!S20+'Tab. 6A -Drogi'!S25+'Tab. 6E - Administracja'!S23+'Tab. 6G - Roln i ochrona środ.'!S25+'Tab.6I - Planow. przestrz.'!S63</f>
        <v>1151569</v>
      </c>
      <c r="Q34" s="70">
        <f>+'Tab. 6B Polit społ i rozwój prz'!T20+'Tab. 6A -Drogi'!T25+'Tab. 6E - Administracja'!T23+'Tab. 6G - Roln i ochrona środ.'!T25+'Tab.6I - Planow. przestrz.'!T63</f>
        <v>1216734</v>
      </c>
      <c r="R34" s="70">
        <f>+'Tab. 6B Polit społ i rozwój prz'!U20+'Tab. 6A -Drogi'!U25+'Tab. 6E - Administracja'!U23+'Tab. 6G - Roln i ochrona środ.'!U25+'Tab.6I - Planow. przestrz.'!U63</f>
        <v>1006734</v>
      </c>
      <c r="S34" s="70">
        <f>+'Tab. 6B Polit społ i rozwój prz'!V20+'Tab. 6A -Drogi'!V25+'Tab. 6E - Administracja'!V23+'Tab. 6G - Roln i ochrona środ.'!V25+'Tab.6I - Planow. przestrz.'!V63</f>
        <v>989414</v>
      </c>
      <c r="T34" s="70">
        <f>+'Tab. 6B Polit społ i rozwój prz'!W20+'Tab. 6A -Drogi'!W25+'Tab. 6E - Administracja'!W23+'Tab. 6G - Roln i ochrona środ.'!W25+'Tab.6I - Planow. przestrz.'!W63</f>
        <v>494707</v>
      </c>
      <c r="U34" s="1154">
        <f>J34+L34+M34+N34+O34+P34+Q34+R34+S34+T34</f>
        <v>26538716</v>
      </c>
      <c r="V34" s="2923"/>
      <c r="W34" s="30">
        <f>U34-U19</f>
        <v>0</v>
      </c>
    </row>
    <row r="35" spans="1:25" s="38" customFormat="1" hidden="1">
      <c r="A35" s="53" t="s">
        <v>37</v>
      </c>
      <c r="B35" s="72">
        <f>+'Tab. 6G - Roln i ochrona środ.'!E28</f>
        <v>0</v>
      </c>
      <c r="C35" s="71">
        <f>+'Tab. 6G - Roln i ochrona środ.'!F28</f>
        <v>0</v>
      </c>
      <c r="D35" s="71">
        <f>+'Tab. 6G - Roln i ochrona środ.'!G28</f>
        <v>0</v>
      </c>
      <c r="E35" s="71">
        <f>+'Tab. 6G - Roln i ochrona środ.'!H28</f>
        <v>0</v>
      </c>
      <c r="F35" s="70">
        <f>+'Tab. 6G - Roln i ochrona środ.'!I28</f>
        <v>0</v>
      </c>
      <c r="G35" s="70">
        <f>+'Tab. 6G - Roln i ochrona środ.'!J28</f>
        <v>0</v>
      </c>
      <c r="H35" s="70">
        <f>+'Tab. 6G - Roln i ochrona środ.'!K28</f>
        <v>0</v>
      </c>
      <c r="I35" s="70">
        <f>+'Tab. 6G - Roln i ochrona środ.'!L28</f>
        <v>0</v>
      </c>
      <c r="J35" s="70">
        <f>+'Tab. 6G - Roln i ochrona środ.'!M28+'Tab.6I - Planow. przestrz.'!M57</f>
        <v>0</v>
      </c>
      <c r="K35" s="1188">
        <f>+'Tab. 6G - Roln i ochrona środ.'!N28</f>
        <v>0</v>
      </c>
      <c r="L35" s="70">
        <f>+'Tab. 6G - Roln i ochrona środ.'!O28+'Tab.6I - Planow. przestrz.'!F21</f>
        <v>0</v>
      </c>
      <c r="M35" s="72">
        <f>+'Tab. 6G - Roln i ochrona środ.'!P28+'Tab.6I - Planow. przestrz.'!G21</f>
        <v>0</v>
      </c>
      <c r="N35" s="70">
        <v>0</v>
      </c>
      <c r="O35" s="70">
        <v>0</v>
      </c>
      <c r="P35" s="70">
        <v>0</v>
      </c>
      <c r="Q35" s="70">
        <v>0</v>
      </c>
      <c r="R35" s="70">
        <v>0</v>
      </c>
      <c r="S35" s="72">
        <f>+'Tab. 6G - Roln i ochrona środ.'!V28</f>
        <v>0</v>
      </c>
      <c r="T35" s="72">
        <f>+'Tab. 6G - Roln i ochrona środ.'!W28</f>
        <v>0</v>
      </c>
      <c r="U35" s="1154">
        <f>J35+L35+M35+N35+O35+P35+Q35+R35+S35+T35</f>
        <v>0</v>
      </c>
      <c r="V35" s="2923"/>
      <c r="W35" s="30"/>
    </row>
    <row r="36" spans="1:25" s="38" customFormat="1" ht="14.25" hidden="1" customHeight="1">
      <c r="A36" s="53" t="s">
        <v>26</v>
      </c>
      <c r="B36" s="70">
        <f>+'Tab. 6G - Roln i ochrona środ.'!E26</f>
        <v>0</v>
      </c>
      <c r="C36" s="71">
        <f>+'Tab. 6G - Roln i ochrona środ.'!F26</f>
        <v>0</v>
      </c>
      <c r="D36" s="71">
        <f>+'Tab. 6G - Roln i ochrona środ.'!G26</f>
        <v>0</v>
      </c>
      <c r="E36" s="71">
        <f>+'Tab. 6G - Roln i ochrona środ.'!H26</f>
        <v>0</v>
      </c>
      <c r="F36" s="70">
        <f>+'Tab. 6G - Roln i ochrona środ.'!I26</f>
        <v>0</v>
      </c>
      <c r="G36" s="70">
        <f>+'Tab. 6G - Roln i ochrona środ.'!J26</f>
        <v>0</v>
      </c>
      <c r="H36" s="70">
        <f>+'Tab. 6G - Roln i ochrona środ.'!K26</f>
        <v>0</v>
      </c>
      <c r="I36" s="70">
        <f>+'Tab. 6G - Roln i ochrona środ.'!L26</f>
        <v>0</v>
      </c>
      <c r="J36" s="70">
        <f>+'Tab. 6G - Roln i ochrona środ.'!M26</f>
        <v>0</v>
      </c>
      <c r="K36" s="1188">
        <f>+'Tab. 6G - Roln i ochrona środ.'!N26</f>
        <v>0</v>
      </c>
      <c r="L36" s="70">
        <f>+'Tab. 6G - Roln i ochrona środ.'!O26</f>
        <v>0</v>
      </c>
      <c r="M36" s="70">
        <f>+'Tab. 6G - Roln i ochrona środ.'!P26</f>
        <v>0</v>
      </c>
      <c r="N36" s="70">
        <f>+'Tab. 6G - Roln i ochrona środ.'!Q26</f>
        <v>0</v>
      </c>
      <c r="O36" s="70">
        <f>+'Tab. 6G - Roln i ochrona środ.'!R26</f>
        <v>0</v>
      </c>
      <c r="P36" s="70">
        <f>+'Tab. 6G - Roln i ochrona środ.'!S26</f>
        <v>0</v>
      </c>
      <c r="Q36" s="70">
        <f>+'Tab. 6G - Roln i ochrona środ.'!T26</f>
        <v>0</v>
      </c>
      <c r="R36" s="70">
        <f>+'Tab. 6G - Roln i ochrona środ.'!U26</f>
        <v>0</v>
      </c>
      <c r="S36" s="70">
        <f>+'Tab. 6G - Roln i ochrona środ.'!V26</f>
        <v>0</v>
      </c>
      <c r="T36" s="70">
        <f>+'Tab. 6G - Roln i ochrona środ.'!W26</f>
        <v>0</v>
      </c>
      <c r="U36" s="1154">
        <f>J36+L36+M36+N36+O36+P36+Q36+R36+S36+T36</f>
        <v>0</v>
      </c>
      <c r="V36" s="2923"/>
      <c r="W36" s="30">
        <f>U36-U20</f>
        <v>0</v>
      </c>
    </row>
    <row r="37" spans="1:25" s="38" customFormat="1" ht="14.25" customHeight="1">
      <c r="A37" s="53" t="s">
        <v>27</v>
      </c>
      <c r="B37" s="54">
        <f>+'Tab. 6A -Drogi'!E26</f>
        <v>0</v>
      </c>
      <c r="C37" s="51">
        <f>+'Tab. 6A -Drogi'!F26</f>
        <v>0</v>
      </c>
      <c r="D37" s="51">
        <f>+'Tab. 6A -Drogi'!G26</f>
        <v>0</v>
      </c>
      <c r="E37" s="51">
        <f>+'Tab. 6A -Drogi'!H26</f>
        <v>0</v>
      </c>
      <c r="F37" s="51">
        <f>+'Tab. 6A -Drogi'!I26</f>
        <v>0</v>
      </c>
      <c r="G37" s="51">
        <f>+'Tab. 6A -Drogi'!J26</f>
        <v>2000000</v>
      </c>
      <c r="H37" s="51">
        <f>+'Tab. 6A -Drogi'!K26</f>
        <v>3547478</v>
      </c>
      <c r="I37" s="51">
        <f>+'Tab. 6A -Drogi'!L26</f>
        <v>2023989</v>
      </c>
      <c r="J37" s="51">
        <f>+'Tab. 6A -Drogi'!M26</f>
        <v>8571467</v>
      </c>
      <c r="K37" s="1188">
        <f>+'Tab. 6A -Drogi'!N26</f>
        <v>1000000</v>
      </c>
      <c r="L37" s="54">
        <f>+'Tab. 6A -Drogi'!O26</f>
        <v>0</v>
      </c>
      <c r="M37" s="51">
        <f>+'Tab. 6A -Drogi'!P26</f>
        <v>1000000</v>
      </c>
      <c r="N37" s="51">
        <f>+'Tab. 6A -Drogi'!Q26</f>
        <v>500000</v>
      </c>
      <c r="O37" s="54">
        <f>+'Tab. 6A -Drogi'!R26</f>
        <v>0</v>
      </c>
      <c r="P37" s="54">
        <f>+'Tab. 6A -Drogi'!S26</f>
        <v>0</v>
      </c>
      <c r="Q37" s="54">
        <f>+'Tab. 6A -Drogi'!T26</f>
        <v>0</v>
      </c>
      <c r="R37" s="54">
        <f>+'Tab. 6A -Drogi'!U26</f>
        <v>0</v>
      </c>
      <c r="S37" s="54">
        <f>+'Tab. 6A -Drogi'!V26</f>
        <v>0</v>
      </c>
      <c r="T37" s="54">
        <f>+'Tab. 6A -Drogi'!W26</f>
        <v>0</v>
      </c>
      <c r="U37" s="1154">
        <f t="shared" ref="U37:U40" si="20">J37+L37+M37+N37+O37+P37+Q37+R37+S37+T37</f>
        <v>10071467</v>
      </c>
      <c r="V37" s="2923"/>
      <c r="W37" s="30">
        <f>U37-U21</f>
        <v>0</v>
      </c>
      <c r="X37" s="52"/>
    </row>
    <row r="38" spans="1:25" s="38" customFormat="1">
      <c r="A38" s="53" t="s">
        <v>28</v>
      </c>
      <c r="B38" s="57">
        <f>+'Tab. 6A -Drogi'!E27+'Tab. 6G - Roln i ochrona środ.'!E27</f>
        <v>0</v>
      </c>
      <c r="C38" s="58">
        <f>+'Tab. 6A -Drogi'!F27+'Tab. 6G - Roln i ochrona środ.'!F27</f>
        <v>0</v>
      </c>
      <c r="D38" s="58">
        <f>+'Tab. 6A -Drogi'!G27+'Tab. 6G - Roln i ochrona środ.'!G27</f>
        <v>0</v>
      </c>
      <c r="E38" s="58">
        <f>+'Tab. 6A -Drogi'!H27+'Tab. 6G - Roln i ochrona środ.'!H27</f>
        <v>0</v>
      </c>
      <c r="F38" s="58">
        <f>+'Tab. 6A -Drogi'!I27+'Tab. 6G - Roln i ochrona środ.'!I27</f>
        <v>0</v>
      </c>
      <c r="G38" s="58">
        <f>+'Tab. 6A -Drogi'!J27+'Tab. 6G - Roln i ochrona środ.'!J27</f>
        <v>5665000</v>
      </c>
      <c r="H38" s="58">
        <f>+'Tab. 6A -Drogi'!K27+'Tab. 6G - Roln i ochrona środ.'!K27</f>
        <v>10051777</v>
      </c>
      <c r="I38" s="58">
        <f>+'Tab. 6A -Drogi'!L27+'Tab. 6G - Roln i ochrona środ.'!L27</f>
        <v>10701339</v>
      </c>
      <c r="J38" s="58">
        <f>+'Tab. 6A -Drogi'!M27+'Tab. 6G - Roln i ochrona środ.'!M27+'Tab. 6E - Administracja'!M24</f>
        <v>30526402</v>
      </c>
      <c r="K38" s="1190">
        <f>+'Tab. 6A -Drogi'!N27+'Tab. 6G - Roln i ochrona środ.'!N27</f>
        <v>4108286</v>
      </c>
      <c r="L38" s="58">
        <f>+'Tab. 6A -Drogi'!O27+'Tab. 6G - Roln i ochrona środ.'!O27+'Tab. 6E - Administracja'!O24</f>
        <v>303250</v>
      </c>
      <c r="M38" s="58">
        <f>+'Tab. 6A -Drogi'!P27+'Tab. 6G - Roln i ochrona środ.'!P27+'Tab. 6E - Administracja'!P24</f>
        <v>10458622</v>
      </c>
      <c r="N38" s="58">
        <f>+'Tab. 6A -Drogi'!Q27+'Tab. 6G - Roln i ochrona środ.'!Q27+'Tab. 6E - Administracja'!Q24</f>
        <v>11861826</v>
      </c>
      <c r="O38" s="58">
        <f>+'Tab. 6A -Drogi'!R27+'Tab. 6G - Roln i ochrona środ.'!R27+'Tab. 6E - Administracja'!R24</f>
        <v>8696585</v>
      </c>
      <c r="P38" s="58">
        <f>+'Tab. 6A -Drogi'!S27+'Tab. 6G - Roln i ochrona środ.'!S27+'Tab. 6E - Administracja'!S24</f>
        <v>7032200</v>
      </c>
      <c r="Q38" s="58">
        <f>+'Tab. 6A -Drogi'!T27+'Tab. 6G - Roln i ochrona środ.'!T27+'Tab. 6E - Administracja'!T24</f>
        <v>1394500</v>
      </c>
      <c r="R38" s="57">
        <f>+'Tab. 6A -Drogi'!U27+'Tab. 6G - Roln i ochrona środ.'!U27+'Tab. 6E - Administracja'!U24</f>
        <v>0</v>
      </c>
      <c r="S38" s="57">
        <f>+'Tab. 6A -Drogi'!V27+'Tab. 6G - Roln i ochrona środ.'!V27+'Tab. 6E - Administracja'!V24</f>
        <v>0</v>
      </c>
      <c r="T38" s="57">
        <f>+'Tab. 6A -Drogi'!W27+'Tab. 6G - Roln i ochrona środ.'!W27+'Tab. 6E - Administracja'!W24</f>
        <v>0</v>
      </c>
      <c r="U38" s="1154">
        <f t="shared" si="20"/>
        <v>70273385</v>
      </c>
      <c r="V38" s="2923"/>
      <c r="W38" s="30">
        <f>U38-U22</f>
        <v>0</v>
      </c>
    </row>
    <row r="39" spans="1:25" s="38" customFormat="1" ht="15" customHeight="1">
      <c r="A39" s="53" t="s">
        <v>29</v>
      </c>
      <c r="B39" s="73">
        <f>+'Tab. 6A -Drogi'!E28</f>
        <v>0</v>
      </c>
      <c r="C39" s="51">
        <f>+'Tab. 6A -Drogi'!F28</f>
        <v>0</v>
      </c>
      <c r="D39" s="51">
        <f>+'Tab. 6A -Drogi'!G28</f>
        <v>0</v>
      </c>
      <c r="E39" s="51">
        <f>+'Tab. 6A -Drogi'!H28</f>
        <v>0</v>
      </c>
      <c r="F39" s="54">
        <f>+'Tab. 6A -Drogi'!I28</f>
        <v>0</v>
      </c>
      <c r="G39" s="51">
        <f>+'Tab. 6A -Drogi'!J28</f>
        <v>7240187</v>
      </c>
      <c r="H39" s="51">
        <f>+'Tab. 6A -Drogi'!K28</f>
        <v>6502132</v>
      </c>
      <c r="I39" s="51">
        <f>+'Tab. 6A -Drogi'!L28</f>
        <v>810774</v>
      </c>
      <c r="J39" s="51">
        <f>+'Tab. 6A -Drogi'!M28</f>
        <v>17428137</v>
      </c>
      <c r="K39" s="1188">
        <f>+'Tab. 6A -Drogi'!N28</f>
        <v>2875044</v>
      </c>
      <c r="L39" s="51">
        <f>+'Tab. 6A -Drogi'!O28</f>
        <v>697024</v>
      </c>
      <c r="M39" s="57">
        <f>+'Tab. 6A -Drogi'!P28</f>
        <v>0</v>
      </c>
      <c r="N39" s="54">
        <f>+'Tab. 6A -Drogi'!Q28</f>
        <v>0</v>
      </c>
      <c r="O39" s="54">
        <f>+'Tab. 6A -Drogi'!R28</f>
        <v>0</v>
      </c>
      <c r="P39" s="54">
        <f>+'Tab. 6A -Drogi'!S28</f>
        <v>0</v>
      </c>
      <c r="Q39" s="54">
        <f>+'Tab. 6A -Drogi'!T28</f>
        <v>0</v>
      </c>
      <c r="R39" s="54">
        <f>+'Tab. 6A -Drogi'!U28</f>
        <v>0</v>
      </c>
      <c r="S39" s="54">
        <f>+'Tab. 6A -Drogi'!V28</f>
        <v>0</v>
      </c>
      <c r="T39" s="54">
        <f>+'Tab. 6A -Drogi'!W28</f>
        <v>0</v>
      </c>
      <c r="U39" s="1154">
        <f t="shared" si="20"/>
        <v>18125161</v>
      </c>
      <c r="V39" s="2923"/>
      <c r="W39" s="30">
        <f>U39-U24</f>
        <v>0</v>
      </c>
    </row>
    <row r="40" spans="1:25" s="38" customFormat="1" ht="25.5" customHeight="1">
      <c r="A40" s="50" t="s">
        <v>38</v>
      </c>
      <c r="B40" s="60">
        <f>+'Tab. 6A -Drogi'!E29</f>
        <v>0</v>
      </c>
      <c r="C40" s="59">
        <f>+'Tab. 6A -Drogi'!F29</f>
        <v>0</v>
      </c>
      <c r="D40" s="59">
        <f>+'Tab. 6A -Drogi'!G29</f>
        <v>0</v>
      </c>
      <c r="E40" s="59">
        <f>+'Tab. 6A -Drogi'!H29</f>
        <v>0</v>
      </c>
      <c r="F40" s="60">
        <f>+'Tab. 6A -Drogi'!I29</f>
        <v>0</v>
      </c>
      <c r="G40" s="60">
        <f>+'Tab. 6A -Drogi'!J29</f>
        <v>0</v>
      </c>
      <c r="H40" s="60">
        <f>+'Tab. 6A -Drogi'!K29</f>
        <v>0</v>
      </c>
      <c r="I40" s="59">
        <f>+'Tab. 6A -Drogi'!L29</f>
        <v>841481</v>
      </c>
      <c r="J40" s="59">
        <f>+'Tab. 6A -Drogi'!M29</f>
        <v>841481</v>
      </c>
      <c r="K40" s="1194">
        <f>+'Tab. 6A -Drogi'!N29</f>
        <v>0</v>
      </c>
      <c r="L40" s="60">
        <f>+'Tab. 6A -Drogi'!O29</f>
        <v>0</v>
      </c>
      <c r="M40" s="60">
        <f>+'Tab. 6A -Drogi'!P29</f>
        <v>0</v>
      </c>
      <c r="N40" s="60">
        <f>+'Tab. 6A -Drogi'!Q29</f>
        <v>0</v>
      </c>
      <c r="O40" s="60">
        <f>+'Tab. 6A -Drogi'!R29</f>
        <v>0</v>
      </c>
      <c r="P40" s="60">
        <f>+'Tab. 6A -Drogi'!S29</f>
        <v>0</v>
      </c>
      <c r="Q40" s="60">
        <f>+'Tab. 6A -Drogi'!T29</f>
        <v>0</v>
      </c>
      <c r="R40" s="60">
        <f>+'Tab. 6A -Drogi'!U29</f>
        <v>0</v>
      </c>
      <c r="S40" s="60">
        <f>+'Tab. 6A -Drogi'!V29</f>
        <v>0</v>
      </c>
      <c r="T40" s="60">
        <f>+'Tab. 6A -Drogi'!W29</f>
        <v>0</v>
      </c>
      <c r="U40" s="1154">
        <f t="shared" si="20"/>
        <v>841481</v>
      </c>
      <c r="V40" s="2923"/>
      <c r="W40" s="30"/>
    </row>
    <row r="41" spans="1:25" s="38" customFormat="1" ht="16.5" customHeight="1">
      <c r="A41" s="61" t="s">
        <v>30</v>
      </c>
      <c r="B41" s="69">
        <f>SUM(B42:B46)</f>
        <v>0</v>
      </c>
      <c r="C41" s="74">
        <f t="shared" ref="C41:N41" si="21">SUM(C42:C46)</f>
        <v>0</v>
      </c>
      <c r="D41" s="74">
        <f t="shared" si="21"/>
        <v>2563346</v>
      </c>
      <c r="E41" s="74">
        <f t="shared" si="21"/>
        <v>8310034</v>
      </c>
      <c r="F41" s="74">
        <f t="shared" si="21"/>
        <v>408227</v>
      </c>
      <c r="G41" s="74">
        <f t="shared" si="21"/>
        <v>10352362</v>
      </c>
      <c r="H41" s="74">
        <f t="shared" si="21"/>
        <v>47922100</v>
      </c>
      <c r="I41" s="74">
        <f t="shared" si="21"/>
        <v>73517633</v>
      </c>
      <c r="J41" s="74">
        <f t="shared" si="21"/>
        <v>273961529</v>
      </c>
      <c r="K41" s="1195">
        <f t="shared" si="21"/>
        <v>142024262</v>
      </c>
      <c r="L41" s="74">
        <f t="shared" si="21"/>
        <v>111397509</v>
      </c>
      <c r="M41" s="74">
        <f t="shared" si="21"/>
        <v>160590015</v>
      </c>
      <c r="N41" s="74">
        <f t="shared" si="21"/>
        <v>344744277</v>
      </c>
      <c r="O41" s="74">
        <f>SUM(O42:O46)</f>
        <v>237578238</v>
      </c>
      <c r="P41" s="74">
        <f t="shared" ref="P41:T41" si="22">SUM(P42:P46)</f>
        <v>72845555</v>
      </c>
      <c r="Q41" s="74">
        <f t="shared" si="22"/>
        <v>48819905</v>
      </c>
      <c r="R41" s="74">
        <f t="shared" si="22"/>
        <v>32419353</v>
      </c>
      <c r="S41" s="74">
        <f t="shared" si="22"/>
        <v>31971546</v>
      </c>
      <c r="T41" s="74">
        <f t="shared" si="22"/>
        <v>31208245</v>
      </c>
      <c r="U41" s="99">
        <f>SUM(U42:U46)</f>
        <v>1345536172</v>
      </c>
      <c r="V41" s="2923"/>
      <c r="W41" s="30"/>
    </row>
    <row r="42" spans="1:25" s="38" customFormat="1" ht="15.75" hidden="1" customHeight="1">
      <c r="A42" s="75" t="s">
        <v>29</v>
      </c>
      <c r="B42" s="76">
        <f>+'Tab. 6A -Drogi'!E31</f>
        <v>0</v>
      </c>
      <c r="C42" s="76">
        <f>+'Tab. 6A -Drogi'!F31</f>
        <v>0</v>
      </c>
      <c r="D42" s="76">
        <f>+'Tab. 6A -Drogi'!G31</f>
        <v>0</v>
      </c>
      <c r="E42" s="76">
        <f>+'Tab. 6A -Drogi'!H31</f>
        <v>0</v>
      </c>
      <c r="F42" s="76">
        <f>+'Tab. 6A -Drogi'!I31</f>
        <v>0</v>
      </c>
      <c r="G42" s="76">
        <f>+'Tab. 6A -Drogi'!J31</f>
        <v>0</v>
      </c>
      <c r="H42" s="76">
        <f>+'Tab. 6A -Drogi'!K31</f>
        <v>0</v>
      </c>
      <c r="I42" s="76">
        <f>+'Tab. 6A -Drogi'!L31</f>
        <v>0</v>
      </c>
      <c r="J42" s="76"/>
      <c r="K42" s="1196">
        <f>+'Tab. 6A -Drogi'!N31</f>
        <v>0</v>
      </c>
      <c r="L42" s="76">
        <f>+'Tab. 6A -Drogi'!O31</f>
        <v>0</v>
      </c>
      <c r="M42" s="76">
        <f>+'Tab. 6A -Drogi'!P31</f>
        <v>0</v>
      </c>
      <c r="N42" s="77"/>
      <c r="O42" s="77"/>
      <c r="P42" s="77"/>
      <c r="Q42" s="77"/>
      <c r="R42" s="76"/>
      <c r="S42" s="1168"/>
      <c r="T42" s="76"/>
      <c r="U42" s="1152">
        <f>+B42+F42+G42+H42+I42+K42+L42+M42</f>
        <v>0</v>
      </c>
      <c r="V42" s="2923"/>
      <c r="W42" s="30"/>
    </row>
    <row r="43" spans="1:25" s="38" customFormat="1" ht="14.25" hidden="1" customHeight="1">
      <c r="A43" s="53" t="s">
        <v>31</v>
      </c>
      <c r="B43" s="54">
        <f>+'Tab. 6A -Drogi'!E34</f>
        <v>0</v>
      </c>
      <c r="C43" s="54">
        <f>+'Tab. 6A -Drogi'!F34</f>
        <v>0</v>
      </c>
      <c r="D43" s="54">
        <f>+'Tab. 6A -Drogi'!G34</f>
        <v>0</v>
      </c>
      <c r="E43" s="54">
        <f>+'Tab. 6A -Drogi'!H34</f>
        <v>0</v>
      </c>
      <c r="F43" s="54">
        <f>+'Tab. 6A -Drogi'!I34</f>
        <v>0</v>
      </c>
      <c r="G43" s="54">
        <f>+'Tab. 6A -Drogi'!J34</f>
        <v>0</v>
      </c>
      <c r="H43" s="54">
        <f>+'Tab. 6A -Drogi'!K34</f>
        <v>0</v>
      </c>
      <c r="I43" s="51">
        <f>+'Tab. 6A -Drogi'!L34</f>
        <v>0</v>
      </c>
      <c r="J43" s="51">
        <f>+'Tab. 6A -Drogi'!M34</f>
        <v>0</v>
      </c>
      <c r="K43" s="1188">
        <f>+'Tab. 6A -Drogi'!N34</f>
        <v>0</v>
      </c>
      <c r="L43" s="51">
        <f>+'Tab. 6A -Drogi'!O34</f>
        <v>0</v>
      </c>
      <c r="M43" s="51">
        <f>+'Tab. 6A -Drogi'!P34</f>
        <v>0</v>
      </c>
      <c r="N43" s="51">
        <f>+'Tab. 6A -Drogi'!Q34</f>
        <v>0</v>
      </c>
      <c r="O43" s="51">
        <f>+'Tab. 6A -Drogi'!R34</f>
        <v>0</v>
      </c>
      <c r="P43" s="51">
        <f>+'Tab. 6A -Drogi'!S34</f>
        <v>0</v>
      </c>
      <c r="Q43" s="51">
        <f>+'Tab. 6A -Drogi'!T34</f>
        <v>0</v>
      </c>
      <c r="R43" s="51">
        <f>+'Tab. 6A -Drogi'!U34</f>
        <v>0</v>
      </c>
      <c r="S43" s="51">
        <f>+'Tab. 6A -Drogi'!V34</f>
        <v>0</v>
      </c>
      <c r="T43" s="51">
        <f>+'Tab. 6A -Drogi'!W34</f>
        <v>0</v>
      </c>
      <c r="U43" s="1154">
        <f>J43+L43+M43+N43+O43+P43+Q43+R43+S43+T43</f>
        <v>0</v>
      </c>
      <c r="V43" s="2923"/>
      <c r="W43" s="30">
        <f>U43-U28</f>
        <v>0</v>
      </c>
    </row>
    <row r="44" spans="1:25" s="38" customFormat="1" ht="15.75" customHeight="1">
      <c r="A44" s="53" t="s">
        <v>26</v>
      </c>
      <c r="B44" s="51">
        <f>+'Tab. 6G - Roln i ochrona środ.'!E32</f>
        <v>0</v>
      </c>
      <c r="C44" s="51">
        <f>+'Tab. 6G - Roln i ochrona środ.'!F32</f>
        <v>0</v>
      </c>
      <c r="D44" s="51">
        <f>+'Tab. 6G - Roln i ochrona środ.'!G32</f>
        <v>0</v>
      </c>
      <c r="E44" s="51">
        <f>+'Tab. 6G - Roln i ochrona środ.'!H32</f>
        <v>0</v>
      </c>
      <c r="F44" s="51">
        <f>+'Tab. 6G - Roln i ochrona środ.'!I32</f>
        <v>0</v>
      </c>
      <c r="G44" s="51">
        <f>+'Tab. 6G - Roln i ochrona środ.'!J32</f>
        <v>0</v>
      </c>
      <c r="H44" s="51">
        <f>+'Tab. 6G - Roln i ochrona środ.'!K32</f>
        <v>0</v>
      </c>
      <c r="I44" s="51">
        <f>+'Tab. 6G - Roln i ochrona środ.'!L32</f>
        <v>0</v>
      </c>
      <c r="J44" s="51">
        <f>+'Tab. 6G - Roln i ochrona środ.'!M32</f>
        <v>0</v>
      </c>
      <c r="K44" s="1188">
        <f>+'Tab. 6G - Roln i ochrona środ.'!N32</f>
        <v>0</v>
      </c>
      <c r="L44" s="51">
        <f>+'Tab. 6G - Roln i ochrona środ.'!O32</f>
        <v>0</v>
      </c>
      <c r="M44" s="51">
        <f>+'Tab. 6G - Roln i ochrona środ.'!P32</f>
        <v>0</v>
      </c>
      <c r="N44" s="51">
        <f>+'Tab. 6G - Roln i ochrona środ.'!Q32</f>
        <v>0</v>
      </c>
      <c r="O44" s="51">
        <f>+'Tab. 6G - Roln i ochrona środ.'!R32</f>
        <v>0</v>
      </c>
      <c r="P44" s="51">
        <f>+'Tab. 6G - Roln i ochrona środ.'!S32</f>
        <v>0</v>
      </c>
      <c r="Q44" s="51">
        <f>+'Tab. 6G - Roln i ochrona środ.'!T32</f>
        <v>0</v>
      </c>
      <c r="R44" s="51">
        <f>+'Tab. 6G - Roln i ochrona środ.'!U32</f>
        <v>0</v>
      </c>
      <c r="S44" s="51">
        <f>+'Tab. 6G - Roln i ochrona środ.'!V32</f>
        <v>0</v>
      </c>
      <c r="T44" s="51">
        <f>+'Tab. 6G - Roln i ochrona środ.'!W32</f>
        <v>0</v>
      </c>
      <c r="U44" s="1154">
        <f>J44+L44+M44+N44+O44+P44+Q44+R44+S44+T44</f>
        <v>0</v>
      </c>
      <c r="V44" s="2923"/>
      <c r="W44" s="30">
        <f>U44-U30</f>
        <v>0</v>
      </c>
    </row>
    <row r="45" spans="1:25" s="38" customFormat="1" ht="14.25" customHeight="1">
      <c r="A45" s="53" t="s">
        <v>32</v>
      </c>
      <c r="B45" s="55">
        <f>+'Tab. 6A -Drogi'!E32+'Tab. 6G - Roln i ochrona środ.'!E33+'Tab. 6D - Oświata'!E20</f>
        <v>0</v>
      </c>
      <c r="C45" s="55">
        <f>+'Tab. 6A -Drogi'!F32+'Tab. 6G - Roln i ochrona środ.'!F33+'Tab. 6D - Oświata'!F20</f>
        <v>0</v>
      </c>
      <c r="D45" s="55">
        <f>+'Tab. 6A -Drogi'!G32+'Tab. 6G - Roln i ochrona środ.'!G33+'Tab. 6D - Oświata'!G20</f>
        <v>0</v>
      </c>
      <c r="E45" s="55">
        <f>+'Tab. 6A -Drogi'!H32+'Tab. 6G - Roln i ochrona środ.'!H33+'Tab. 6D - Oświata'!H20</f>
        <v>0</v>
      </c>
      <c r="F45" s="55">
        <f>+'Tab. 6A -Drogi'!I32+'Tab. 6G - Roln i ochrona środ.'!I33+'Tab. 6D - Oświata'!I20</f>
        <v>0</v>
      </c>
      <c r="G45" s="55">
        <f>+'Tab. 6A -Drogi'!J32+'Tab. 6G - Roln i ochrona środ.'!J33+'Tab. 6D - Oświata'!J20</f>
        <v>3544011</v>
      </c>
      <c r="H45" s="55">
        <f>+'Tab. 6A -Drogi'!K32+'Tab. 6G - Roln i ochrona środ.'!K33+'Tab. 6D - Oświata'!K20</f>
        <v>4405356</v>
      </c>
      <c r="I45" s="55">
        <f>+'Tab. 6A -Drogi'!L32+'Tab. 6G - Roln i ochrona środ.'!L33+'Tab. 6D - Oświata'!L20</f>
        <v>3461860</v>
      </c>
      <c r="J45" s="55">
        <f>+'Tab. 6A -Drogi'!M32+'Tab. 6G - Roln i ochrona środ.'!M33+'Tab. 6D - Oświata'!M20+'Tab.6I - Planow. przestrz.'!M24+'Tab. 6B Polit społ i rozwój prz'!M22</f>
        <v>11647133</v>
      </c>
      <c r="K45" s="1189">
        <f>+'Tab. 6A -Drogi'!N32+'Tab. 6G - Roln i ochrona środ.'!N33+'Tab. 6D - Oświata'!N20</f>
        <v>235906</v>
      </c>
      <c r="L45" s="55">
        <f>+'Tab. 6A -Drogi'!O32+'Tab. 6G - Roln i ochrona środ.'!O33+'Tab. 6D - Oświata'!O20+'Tab.6I - Planow. przestrz.'!O24+'Tab. 6B Polit społ i rozwój prz'!O22</f>
        <v>137580</v>
      </c>
      <c r="M45" s="55">
        <f>+'Tab. 6A -Drogi'!P32+'Tab. 6G - Roln i ochrona środ.'!P33+'Tab. 6D - Oświata'!P20+'Tab.6I - Planow. przestrz.'!P24+'Tab. 6B Polit społ i rozwój prz'!P22</f>
        <v>4858633</v>
      </c>
      <c r="N45" s="55">
        <f>+'Tab. 6A -Drogi'!Q32+'Tab. 6G - Roln i ochrona środ.'!Q33+'Tab. 6D - Oświata'!Q20+'Tab.6I - Planow. przestrz.'!Q24+'Tab. 6B Polit społ i rozwój prz'!Q22</f>
        <v>15423597</v>
      </c>
      <c r="O45" s="55">
        <f>+'Tab. 6A -Drogi'!R32+'Tab. 6G - Roln i ochrona środ.'!R33+'Tab. 6D - Oświata'!R20+'Tab.6I - Planow. przestrz.'!R24+'Tab. 6B Polit społ i rozwój prz'!R22</f>
        <v>10410084</v>
      </c>
      <c r="P45" s="55">
        <f>+'Tab. 6A -Drogi'!S32+'Tab. 6G - Roln i ochrona środ.'!S33+'Tab. 6D - Oświata'!S20+'Tab.6I - Planow. przestrz.'!S24+'Tab. 6B Polit społ i rozwój prz'!S22</f>
        <v>8543805</v>
      </c>
      <c r="Q45" s="55">
        <f>+'Tab. 6A -Drogi'!T32+'Tab. 6G - Roln i ochrona środ.'!T33+'Tab. 6D - Oświata'!T20+'Tab.6I - Planow. przestrz.'!T24+'Tab. 6B Polit społ i rozwój prz'!T22</f>
        <v>3158660</v>
      </c>
      <c r="R45" s="55">
        <f>+'Tab. 6A -Drogi'!U32+'Tab. 6G - Roln i ochrona środ.'!U33+'Tab. 6D - Oświata'!U20+'Tab.6I - Planow. przestrz.'!U24+'Tab. 6B Polit społ i rozwój prz'!U22</f>
        <v>113837</v>
      </c>
      <c r="S45" s="55">
        <f>+'Tab. 6A -Drogi'!V32+'Tab. 6G - Roln i ochrona środ.'!V33+'Tab. 6D - Oświata'!V20+'Tab.6I - Planow. przestrz.'!V24+'Tab. 6B Polit społ i rozwój prz'!V22</f>
        <v>0</v>
      </c>
      <c r="T45" s="55">
        <f>+'Tab. 6A -Drogi'!W32+'Tab. 6G - Roln i ochrona środ.'!W33+'Tab. 6D - Oświata'!W20+'Tab.6I - Planow. przestrz.'!W24+'Tab. 6B Polit społ i rozwój prz'!W22</f>
        <v>0</v>
      </c>
      <c r="U45" s="1154">
        <f>+T45+S45+R45+Q45+P45+O45+N45+M45+L45+J45</f>
        <v>54293329</v>
      </c>
      <c r="V45" s="2923"/>
      <c r="W45" s="30">
        <f>U45-U29-U27</f>
        <v>2</v>
      </c>
      <c r="X45" s="52" t="s">
        <v>444</v>
      </c>
    </row>
    <row r="46" spans="1:25" s="38" customFormat="1" ht="15.75" customHeight="1">
      <c r="A46" s="53" t="s">
        <v>33</v>
      </c>
      <c r="B46" s="51">
        <f>+'Tab. 6B Polit społ i rozwój prz'!E23+'Tab. 6A -Drogi'!E33+'Tab. 6E - Administracja'!E26+'Tab. 6G - Roln i ochrona środ.'!E31+'Tab. 6H - Kultura fiz. i turyst'!E19+'Tab.6I - Planow. przestrz.'!E23</f>
        <v>0</v>
      </c>
      <c r="C46" s="51">
        <f>+'Tab. 6B Polit społ i rozwój prz'!F23+'Tab. 6A -Drogi'!F33+'Tab. 6E - Administracja'!F26+'Tab. 6G - Roln i ochrona środ.'!F31+'Tab. 6H - Kultura fiz. i turyst'!F19+'Tab.6I - Planow. przestrz.'!F23</f>
        <v>0</v>
      </c>
      <c r="D46" s="51">
        <f>+'Tab. 6B Polit społ i rozwój prz'!G23+'Tab. 6A -Drogi'!G33+'Tab. 6E - Administracja'!G26+'Tab. 6G - Roln i ochrona środ.'!G31+'Tab. 6H - Kultura fiz. i turyst'!G19+'Tab.6I - Planow. przestrz.'!G23</f>
        <v>2563346</v>
      </c>
      <c r="E46" s="51">
        <f>+'Tab. 6B Polit społ i rozwój prz'!H23+'Tab. 6A -Drogi'!H33+'Tab. 6E - Administracja'!H26+'Tab. 6G - Roln i ochrona środ.'!H31+'Tab. 6H - Kultura fiz. i turyst'!H19+'Tab.6I - Planow. przestrz.'!H23</f>
        <v>8310034</v>
      </c>
      <c r="F46" s="51">
        <f>+'Tab. 6B Polit społ i rozwój prz'!I23+'Tab. 6A -Drogi'!I33+'Tab. 6E - Administracja'!I26+'Tab. 6G - Roln i ochrona środ.'!I31+'Tab. 6H - Kultura fiz. i turyst'!I19+'Tab.6I - Planow. przestrz.'!I23</f>
        <v>408227</v>
      </c>
      <c r="G46" s="51">
        <f>+'Tab. 6B Polit społ i rozwój prz'!J23+'Tab. 6A -Drogi'!J33+'Tab. 6E - Administracja'!J26+'Tab. 6G - Roln i ochrona środ.'!J31+'Tab. 6H - Kultura fiz. i turyst'!J19+'Tab.6I - Planow. przestrz.'!J23</f>
        <v>6808351</v>
      </c>
      <c r="H46" s="51">
        <f>+'Tab. 6B Polit społ i rozwój prz'!K23+'Tab. 6A -Drogi'!K33+'Tab. 6E - Administracja'!K26+'Tab. 6G - Roln i ochrona środ.'!K31+'Tab. 6H - Kultura fiz. i turyst'!K19+'Tab.6I - Planow. przestrz.'!K23</f>
        <v>43516744</v>
      </c>
      <c r="I46" s="51">
        <f>+'Tab. 6B Polit społ i rozwój prz'!L23+'Tab. 6A -Drogi'!L33+'Tab. 6E - Administracja'!L26+'Tab. 6G - Roln i ochrona środ.'!L31+'Tab. 6H - Kultura fiz. i turyst'!L19+'Tab.6I - Planow. przestrz.'!L23</f>
        <v>70055773</v>
      </c>
      <c r="J46" s="51">
        <f>+'Tab. 6B Polit społ i rozwój prz'!M23+'Tab. 6A -Drogi'!M33+'Tab. 6E - Administracja'!M26+'Tab. 6G - Roln i ochrona środ.'!M31+'Tab. 6H - Kultura fiz. i turyst'!M19+'Tab.6I - Planow. przestrz.'!M23</f>
        <v>262314396</v>
      </c>
      <c r="K46" s="1188">
        <f>+'Tab. 6B Polit społ i rozwój prz'!N23+'Tab. 6A -Drogi'!N33+'Tab. 6E - Administracja'!N26+'Tab. 6G - Roln i ochrona środ.'!N31+'Tab. 6H - Kultura fiz. i turyst'!N19+'Tab.6I - Planow. przestrz.'!N23</f>
        <v>141788356</v>
      </c>
      <c r="L46" s="51">
        <f>+'Tab. 6B Polit społ i rozwój prz'!O23+'Tab. 6A -Drogi'!O33+'Tab. 6E - Administracja'!O26+'Tab. 6G - Roln i ochrona środ.'!O31+'Tab. 6H - Kultura fiz. i turyst'!O19+'Tab.6I - Planow. przestrz.'!O23</f>
        <v>111259929</v>
      </c>
      <c r="M46" s="51">
        <f>+'Tab. 6B Polit społ i rozwój prz'!P23+'Tab. 6A -Drogi'!P33+'Tab. 6E - Administracja'!P26+'Tab. 6G - Roln i ochrona środ.'!P31+'Tab. 6H - Kultura fiz. i turyst'!P19+'Tab.6I - Planow. przestrz.'!P23</f>
        <v>155731382</v>
      </c>
      <c r="N46" s="55">
        <f>+'Tab. 6B Polit społ i rozwój prz'!Q23+'Tab. 6A -Drogi'!Q33+'Tab. 6E - Administracja'!Q26+'Tab. 6G - Roln i ochrona środ.'!Q31+'Tab. 6H - Kultura fiz. i turyst'!Q19+'Tab.6I - Planow. przestrz.'!Q23</f>
        <v>329320680</v>
      </c>
      <c r="O46" s="55">
        <f>+'Tab. 6B Polit społ i rozwój prz'!R23+'Tab. 6A -Drogi'!R33+'Tab. 6E - Administracja'!R26+'Tab. 6G - Roln i ochrona środ.'!R31+'Tab. 6H - Kultura fiz. i turyst'!R19+'Tab.6I - Planow. przestrz.'!R23</f>
        <v>227168154</v>
      </c>
      <c r="P46" s="55">
        <f>+'Tab. 6B Polit społ i rozwój prz'!S23+'Tab. 6A -Drogi'!S33+'Tab. 6E - Administracja'!S26+'Tab. 6G - Roln i ochrona środ.'!S31+'Tab. 6H - Kultura fiz. i turyst'!S19+'Tab.6I - Planow. przestrz.'!S23</f>
        <v>64301750</v>
      </c>
      <c r="Q46" s="55">
        <f>+'Tab. 6B Polit społ i rozwój prz'!T23+'Tab. 6A -Drogi'!T33+'Tab. 6E - Administracja'!T26+'Tab. 6G - Roln i ochrona środ.'!T31+'Tab. 6H - Kultura fiz. i turyst'!T19+'Tab.6I - Planow. przestrz.'!T23</f>
        <v>45661245</v>
      </c>
      <c r="R46" s="55">
        <f>+'Tab. 6B Polit społ i rozwój prz'!U23+'Tab. 6A -Drogi'!U33+'Tab. 6E - Administracja'!U26+'Tab. 6G - Roln i ochrona środ.'!U31+'Tab. 6H - Kultura fiz. i turyst'!U19+'Tab.6I - Planow. przestrz.'!U23</f>
        <v>32305516</v>
      </c>
      <c r="S46" s="55">
        <f>+'Tab. 6B Polit społ i rozwój prz'!V23+'Tab. 6A -Drogi'!V33+'Tab. 6E - Administracja'!V26+'Tab. 6G - Roln i ochrona środ.'!V31+'Tab. 6H - Kultura fiz. i turyst'!V19+'Tab.6I - Planow. przestrz.'!V23</f>
        <v>31971546</v>
      </c>
      <c r="T46" s="55">
        <f>+'Tab. 6B Polit społ i rozwój prz'!W23+'Tab. 6A -Drogi'!W33+'Tab. 6E - Administracja'!W26+'Tab. 6G - Roln i ochrona środ.'!W31+'Tab. 6H - Kultura fiz. i turyst'!W19+'Tab.6I - Planow. przestrz.'!W23</f>
        <v>31208245</v>
      </c>
      <c r="U46" s="1154">
        <f>J46+L46+M46+N46+O46+P46+Q46+R46+S46+T46</f>
        <v>1291242843</v>
      </c>
      <c r="V46" s="2924"/>
      <c r="W46" s="1161">
        <f>U46-U31</f>
        <v>0</v>
      </c>
      <c r="X46" s="52" t="s">
        <v>437</v>
      </c>
    </row>
    <row r="47" spans="1:25" s="38" customFormat="1" ht="3.75" customHeight="1" thickBot="1">
      <c r="A47" s="35"/>
      <c r="B47" s="36"/>
      <c r="C47" s="36"/>
      <c r="D47" s="36"/>
      <c r="E47" s="36"/>
      <c r="F47" s="80"/>
      <c r="G47" s="36"/>
      <c r="H47" s="36"/>
      <c r="I47" s="36"/>
      <c r="J47" s="36"/>
      <c r="K47" s="1185"/>
      <c r="L47" s="36"/>
      <c r="M47" s="36"/>
      <c r="N47" s="36"/>
      <c r="O47" s="36"/>
      <c r="P47" s="36"/>
      <c r="Q47" s="36"/>
      <c r="R47" s="88"/>
      <c r="S47" s="80"/>
      <c r="T47" s="88"/>
      <c r="U47" s="1157"/>
      <c r="V47" s="37"/>
      <c r="W47" s="30"/>
    </row>
    <row r="48" spans="1:25" s="45" customFormat="1" ht="18.75" customHeight="1" thickBot="1">
      <c r="A48" s="1141" t="s">
        <v>39</v>
      </c>
      <c r="B48" s="1142">
        <f t="shared" ref="B48:I48" si="23">+B16</f>
        <v>883781</v>
      </c>
      <c r="C48" s="1143">
        <f t="shared" si="23"/>
        <v>49287</v>
      </c>
      <c r="D48" s="1143">
        <f t="shared" si="23"/>
        <v>129117</v>
      </c>
      <c r="E48" s="1143">
        <f t="shared" si="23"/>
        <v>8829</v>
      </c>
      <c r="F48" s="1142">
        <f t="shared" si="23"/>
        <v>3000612</v>
      </c>
      <c r="G48" s="1142">
        <f t="shared" si="23"/>
        <v>29859065</v>
      </c>
      <c r="H48" s="1142">
        <f t="shared" si="23"/>
        <v>68438991</v>
      </c>
      <c r="I48" s="1142">
        <f t="shared" si="23"/>
        <v>117327797.3</v>
      </c>
      <c r="J48" s="1142">
        <f>+J16-J25</f>
        <v>395208865.30000001</v>
      </c>
      <c r="K48" s="1197">
        <f t="shared" ref="K48:T48" si="24">+K16-K25</f>
        <v>176028423</v>
      </c>
      <c r="L48" s="1142">
        <f t="shared" si="24"/>
        <v>123867045</v>
      </c>
      <c r="M48" s="1142">
        <f t="shared" si="24"/>
        <v>160013303</v>
      </c>
      <c r="N48" s="1142">
        <f t="shared" si="24"/>
        <v>419573125</v>
      </c>
      <c r="O48" s="1142">
        <f t="shared" si="24"/>
        <v>276530751</v>
      </c>
      <c r="P48" s="1142">
        <f t="shared" si="24"/>
        <v>83806653</v>
      </c>
      <c r="Q48" s="1142">
        <f t="shared" si="24"/>
        <v>55615719</v>
      </c>
      <c r="R48" s="1142">
        <f t="shared" si="24"/>
        <v>39376544</v>
      </c>
      <c r="S48" s="1142">
        <f t="shared" si="24"/>
        <v>36843748</v>
      </c>
      <c r="T48" s="1142">
        <f t="shared" si="24"/>
        <v>35648428</v>
      </c>
      <c r="U48" s="1164">
        <f>+U16-U25</f>
        <v>1626484181.3</v>
      </c>
      <c r="V48" s="1144">
        <f>M48+N48+O48+P48+Q48+R48+S48+T48</f>
        <v>1107408271</v>
      </c>
      <c r="W48" s="43">
        <f>J48+L48+M48+N48+O48+P48+Q48+R48+S48+T48</f>
        <v>1626484181.3</v>
      </c>
      <c r="X48" s="44">
        <f>W48-U48</f>
        <v>0</v>
      </c>
      <c r="Y48" s="44"/>
    </row>
    <row r="49" spans="1:25" s="45" customFormat="1" ht="16.5" customHeight="1" thickBot="1">
      <c r="A49" s="1141" t="s">
        <v>40</v>
      </c>
      <c r="B49" s="1145">
        <f>+B32</f>
        <v>3874</v>
      </c>
      <c r="C49" s="1146">
        <f t="shared" ref="C49:N49" si="25">+C32</f>
        <v>0</v>
      </c>
      <c r="D49" s="1146">
        <f t="shared" si="25"/>
        <v>2563346</v>
      </c>
      <c r="E49" s="1146">
        <f t="shared" si="25"/>
        <v>8310034</v>
      </c>
      <c r="F49" s="1145">
        <f t="shared" si="25"/>
        <v>480461</v>
      </c>
      <c r="G49" s="1145">
        <f t="shared" si="25"/>
        <v>25330919</v>
      </c>
      <c r="H49" s="1145">
        <f t="shared" si="25"/>
        <v>68076191</v>
      </c>
      <c r="I49" s="1145">
        <f>+I32</f>
        <v>87939545</v>
      </c>
      <c r="J49" s="1145">
        <f>+J32</f>
        <v>338925901</v>
      </c>
      <c r="K49" s="1198">
        <f t="shared" si="25"/>
        <v>157404388</v>
      </c>
      <c r="L49" s="1145">
        <f t="shared" si="25"/>
        <v>120648450</v>
      </c>
      <c r="M49" s="1145">
        <f t="shared" si="25"/>
        <v>174573791</v>
      </c>
      <c r="N49" s="1145">
        <f t="shared" si="25"/>
        <v>358993127</v>
      </c>
      <c r="O49" s="1145">
        <f>+O32</f>
        <v>247694651</v>
      </c>
      <c r="P49" s="1145">
        <f t="shared" ref="P49:Q49" si="26">+P32</f>
        <v>81029324</v>
      </c>
      <c r="Q49" s="1145">
        <f t="shared" si="26"/>
        <v>51431139</v>
      </c>
      <c r="R49" s="1145">
        <f t="shared" ref="R49:T49" si="27">+R32</f>
        <v>33426087</v>
      </c>
      <c r="S49" s="1145">
        <f t="shared" si="27"/>
        <v>32960960</v>
      </c>
      <c r="T49" s="1145">
        <f t="shared" si="27"/>
        <v>31702952</v>
      </c>
      <c r="U49" s="1165">
        <f>+U32</f>
        <v>1471386382</v>
      </c>
      <c r="V49" s="1147" t="s">
        <v>35</v>
      </c>
      <c r="W49" s="43">
        <v>105067692</v>
      </c>
      <c r="X49" s="44" t="s">
        <v>364</v>
      </c>
    </row>
    <row r="50" spans="1:25" s="38" customFormat="1" ht="18.75" hidden="1" customHeight="1">
      <c r="A50" s="79"/>
      <c r="B50" s="36"/>
      <c r="C50" s="36"/>
      <c r="D50" s="36"/>
      <c r="E50" s="36"/>
      <c r="F50" s="36"/>
      <c r="G50" s="36"/>
      <c r="H50" s="36"/>
      <c r="I50" s="36"/>
      <c r="J50" s="36">
        <f>'Tab. 6A -Drogi'!M17+'Tab. 6E - Administracja'!M17+'Tab. 6G - Roln i ochrona środ.'!M17</f>
        <v>23259366</v>
      </c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7"/>
      <c r="V50" s="52"/>
      <c r="W50" s="52">
        <f>W49+W48</f>
        <v>1731551873.3</v>
      </c>
      <c r="X50" s="52">
        <f>U48-W50</f>
        <v>-105067692</v>
      </c>
    </row>
    <row r="51" spans="1:25" s="38" customFormat="1" hidden="1">
      <c r="A51" s="36"/>
      <c r="B51" s="36"/>
      <c r="C51" s="36"/>
      <c r="D51" s="36"/>
      <c r="E51" s="36"/>
      <c r="F51" s="36"/>
      <c r="G51" s="36"/>
      <c r="H51" s="36"/>
      <c r="I51" s="36"/>
      <c r="J51" s="36">
        <f>'Tab. 6A -Drogi'!M33+'Tab. 6B Polit społ i rozwój prz'!M23+'Tab. 6E - Administracja'!M26+'Tab. 6H - Kultura fiz. i turyst'!M19+'Tab.6I - Planow. przestrz.'!M23+'Tab. 6G - Roln i ochrona środ.'!M31</f>
        <v>262314396</v>
      </c>
      <c r="K51" s="36">
        <f>'Tab. 6A -Drogi'!N33+'Tab. 6B Polit społ i rozwój prz'!N23+'Tab. 6E - Administracja'!N26+'Tab. 6H - Kultura fiz. i turyst'!N19+'Tab.6I - Planow. przestrz.'!N23+'Tab. 6G - Roln i ochrona środ.'!N31</f>
        <v>141788356</v>
      </c>
      <c r="L51" s="36">
        <f>'Tab. 6A -Drogi'!O33+'Tab. 6B Polit społ i rozwój prz'!O23+'Tab. 6E - Administracja'!O26+'Tab. 6H - Kultura fiz. i turyst'!O19+'Tab.6I - Planow. przestrz.'!O23+'Tab. 6G - Roln i ochrona środ.'!O31</f>
        <v>111259929</v>
      </c>
      <c r="M51" s="36">
        <f>'Tab. 6A -Drogi'!P33+'Tab. 6B Polit społ i rozwój prz'!P23+'Tab. 6E - Administracja'!P26+'Tab. 6H - Kultura fiz. i turyst'!P19+'Tab.6I - Planow. przestrz.'!P23+'Tab. 6G - Roln i ochrona środ.'!P31</f>
        <v>155731382</v>
      </c>
      <c r="N51" s="36">
        <f>'Tab. 6A -Drogi'!Q33+'Tab. 6B Polit społ i rozwój prz'!Q23+'Tab. 6E - Administracja'!Q26+'Tab. 6H - Kultura fiz. i turyst'!Q19+'Tab.6I - Planow. przestrz.'!Q23+'Tab. 6G - Roln i ochrona środ.'!Q31</f>
        <v>329320680</v>
      </c>
      <c r="O51" s="36">
        <f>'Tab. 6A -Drogi'!R33+'Tab. 6B Polit społ i rozwój prz'!R23+'Tab. 6E - Administracja'!R26+'Tab. 6H - Kultura fiz. i turyst'!R19+'Tab.6I - Planow. przestrz.'!R23+'Tab. 6G - Roln i ochrona środ.'!R31</f>
        <v>227168154</v>
      </c>
      <c r="P51" s="36">
        <f>'Tab. 6A -Drogi'!S33+'Tab. 6B Polit społ i rozwój prz'!S23+'Tab. 6E - Administracja'!S26+'Tab. 6H - Kultura fiz. i turyst'!S19+'Tab.6I - Planow. przestrz.'!S23+'Tab. 6G - Roln i ochrona środ.'!S31</f>
        <v>64301750</v>
      </c>
      <c r="Q51" s="36">
        <f>'Tab. 6A -Drogi'!T33+'Tab. 6B Polit społ i rozwój prz'!T23+'Tab. 6E - Administracja'!T26+'Tab. 6H - Kultura fiz. i turyst'!T19+'Tab.6I - Planow. przestrz.'!T23+'Tab. 6G - Roln i ochrona środ.'!T31</f>
        <v>45661245</v>
      </c>
      <c r="R51" s="36">
        <f>'Tab. 6A -Drogi'!U33+'Tab. 6B Polit społ i rozwój prz'!U23+'Tab. 6E - Administracja'!U26+'Tab. 6H - Kultura fiz. i turyst'!U19+'Tab.6I - Planow. przestrz.'!U23+'Tab. 6G - Roln i ochrona środ.'!U31</f>
        <v>32305516</v>
      </c>
      <c r="S51" s="36">
        <f>'Tab. 6A -Drogi'!V33+'Tab. 6B Polit społ i rozwój prz'!V23+'Tab. 6E - Administracja'!V26+'Tab. 6H - Kultura fiz. i turyst'!V19+'Tab.6I - Planow. przestrz.'!V23+'Tab. 6G - Roln i ochrona środ.'!V31</f>
        <v>31971546</v>
      </c>
      <c r="T51" s="36">
        <f>'Tab. 6A -Drogi'!W33+'Tab. 6B Polit społ i rozwój prz'!W23+'Tab. 6E - Administracja'!W26+'Tab. 6H - Kultura fiz. i turyst'!W19+'Tab.6I - Planow. przestrz.'!W23+'Tab. 6G - Roln i ochrona środ.'!W31</f>
        <v>31208245</v>
      </c>
      <c r="U51" s="36">
        <f>J51+L51+M51+N51+O51+P51+Q51+R51+S51+T51</f>
        <v>1291242843</v>
      </c>
      <c r="V51" s="30"/>
      <c r="W51" s="30"/>
    </row>
    <row r="52" spans="1:25" s="38" customFormat="1" hidden="1">
      <c r="A52" s="81"/>
      <c r="B52" s="36"/>
      <c r="C52" s="36"/>
      <c r="D52" s="36"/>
      <c r="E52" s="36"/>
      <c r="F52" s="36"/>
      <c r="G52" s="36"/>
      <c r="H52" s="36"/>
      <c r="I52" s="36"/>
      <c r="J52" s="36">
        <f>J46-J51</f>
        <v>0</v>
      </c>
      <c r="K52" s="36">
        <f t="shared" ref="K52:L52" si="28">K46-K51</f>
        <v>0</v>
      </c>
      <c r="L52" s="36">
        <f t="shared" si="28"/>
        <v>0</v>
      </c>
      <c r="M52" s="36">
        <f>M46-M51</f>
        <v>0</v>
      </c>
      <c r="N52" s="36">
        <f>N46-N51</f>
        <v>0</v>
      </c>
      <c r="O52" s="36">
        <f>O46-O51</f>
        <v>0</v>
      </c>
      <c r="P52" s="36">
        <f>P46-P51</f>
        <v>0</v>
      </c>
      <c r="Q52" s="36">
        <f t="shared" ref="Q52:T52" si="29">Q46-Q51</f>
        <v>0</v>
      </c>
      <c r="R52" s="36">
        <f t="shared" si="29"/>
        <v>0</v>
      </c>
      <c r="S52" s="36">
        <f t="shared" si="29"/>
        <v>0</v>
      </c>
      <c r="T52" s="36">
        <f t="shared" si="29"/>
        <v>0</v>
      </c>
      <c r="U52" s="37"/>
      <c r="V52" s="30"/>
      <c r="W52" s="30"/>
    </row>
    <row r="53" spans="1:25" s="38" customFormat="1">
      <c r="A53" s="79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7"/>
      <c r="V53" s="30"/>
      <c r="W53" s="30"/>
    </row>
    <row r="54" spans="1:25" ht="31.5" customHeight="1" thickBot="1">
      <c r="A54" s="2927" t="s">
        <v>41</v>
      </c>
      <c r="B54" s="2927"/>
      <c r="C54" s="2927"/>
      <c r="D54" s="2927"/>
      <c r="E54" s="2927"/>
      <c r="F54" s="2927"/>
      <c r="G54" s="2927"/>
      <c r="H54" s="2927"/>
      <c r="I54" s="2927"/>
      <c r="J54" s="2927"/>
      <c r="K54" s="2927"/>
      <c r="L54" s="2927"/>
      <c r="M54" s="2927"/>
      <c r="N54" s="2927"/>
      <c r="O54" s="2927"/>
      <c r="P54" s="2927"/>
      <c r="Q54" s="2927"/>
      <c r="R54" s="2927"/>
      <c r="S54" s="2927"/>
      <c r="T54" s="2927"/>
      <c r="U54" s="2927"/>
      <c r="V54" s="1122"/>
    </row>
    <row r="55" spans="1:25" s="2" customFormat="1" ht="34.5" customHeight="1">
      <c r="A55" s="948"/>
      <c r="B55" s="1245"/>
      <c r="C55" s="1246"/>
      <c r="D55" s="1246"/>
      <c r="E55" s="1246"/>
      <c r="F55" s="1246"/>
      <c r="G55" s="1246"/>
      <c r="H55" s="1246"/>
      <c r="I55" s="1246"/>
      <c r="J55" s="2931" t="s">
        <v>399</v>
      </c>
      <c r="K55" s="1246"/>
      <c r="L55" s="2914" t="s">
        <v>415</v>
      </c>
      <c r="M55" s="2916" t="s">
        <v>409</v>
      </c>
      <c r="N55" s="2914"/>
      <c r="O55" s="2914"/>
      <c r="P55" s="2914"/>
      <c r="Q55" s="2914"/>
      <c r="R55" s="2914"/>
      <c r="S55" s="2914"/>
      <c r="T55" s="2917"/>
      <c r="U55" s="2928" t="s">
        <v>4</v>
      </c>
      <c r="V55" s="2920" t="s">
        <v>388</v>
      </c>
    </row>
    <row r="56" spans="1:25" ht="19.5" customHeight="1">
      <c r="A56" s="10" t="s">
        <v>5</v>
      </c>
      <c r="B56" s="1247"/>
      <c r="C56" s="1248"/>
      <c r="D56" s="1248"/>
      <c r="E56" s="1248"/>
      <c r="F56" s="1248"/>
      <c r="G56" s="1248"/>
      <c r="H56" s="1248"/>
      <c r="I56" s="1248"/>
      <c r="J56" s="2932"/>
      <c r="K56" s="1248"/>
      <c r="L56" s="2915"/>
      <c r="M56" s="2918"/>
      <c r="N56" s="2915"/>
      <c r="O56" s="2915"/>
      <c r="P56" s="2915"/>
      <c r="Q56" s="2915"/>
      <c r="R56" s="2915"/>
      <c r="S56" s="2915"/>
      <c r="T56" s="2919"/>
      <c r="U56" s="2929"/>
      <c r="V56" s="2921"/>
    </row>
    <row r="57" spans="1:25" ht="24" customHeight="1" thickBot="1">
      <c r="A57" s="10"/>
      <c r="B57" s="910" t="s">
        <v>6</v>
      </c>
      <c r="C57" s="914" t="s">
        <v>7</v>
      </c>
      <c r="D57" s="914" t="s">
        <v>8</v>
      </c>
      <c r="E57" s="914" t="s">
        <v>9</v>
      </c>
      <c r="F57" s="911" t="s">
        <v>10</v>
      </c>
      <c r="G57" s="911" t="s">
        <v>11</v>
      </c>
      <c r="H57" s="911" t="s">
        <v>12</v>
      </c>
      <c r="I57" s="911" t="s">
        <v>13</v>
      </c>
      <c r="J57" s="908" t="s">
        <v>371</v>
      </c>
      <c r="K57" s="1180" t="s">
        <v>14</v>
      </c>
      <c r="L57" s="11" t="s">
        <v>15</v>
      </c>
      <c r="M57" s="11" t="s">
        <v>16</v>
      </c>
      <c r="N57" s="12" t="s">
        <v>17</v>
      </c>
      <c r="O57" s="12" t="s">
        <v>18</v>
      </c>
      <c r="P57" s="12" t="s">
        <v>290</v>
      </c>
      <c r="Q57" s="12" t="s">
        <v>295</v>
      </c>
      <c r="R57" s="12" t="s">
        <v>373</v>
      </c>
      <c r="S57" s="12" t="s">
        <v>374</v>
      </c>
      <c r="T57" s="1166" t="s">
        <v>372</v>
      </c>
      <c r="U57" s="2930"/>
      <c r="V57" s="2921"/>
    </row>
    <row r="58" spans="1:25" ht="13.5" customHeight="1" thickBot="1">
      <c r="A58" s="14">
        <v>1</v>
      </c>
      <c r="B58" s="15"/>
      <c r="C58" s="16"/>
      <c r="D58" s="17"/>
      <c r="E58" s="17"/>
      <c r="F58" s="18"/>
      <c r="G58" s="18"/>
      <c r="H58" s="18"/>
      <c r="I58" s="18"/>
      <c r="J58" s="18">
        <v>2</v>
      </c>
      <c r="K58" s="1181" t="s">
        <v>375</v>
      </c>
      <c r="L58" s="18">
        <v>3</v>
      </c>
      <c r="M58" s="18">
        <v>4</v>
      </c>
      <c r="N58" s="19">
        <v>5</v>
      </c>
      <c r="O58" s="18">
        <v>6</v>
      </c>
      <c r="P58" s="952">
        <v>7</v>
      </c>
      <c r="Q58" s="944">
        <v>8</v>
      </c>
      <c r="R58" s="1167">
        <v>9</v>
      </c>
      <c r="S58" s="18">
        <v>10</v>
      </c>
      <c r="T58" s="1167">
        <v>11</v>
      </c>
      <c r="U58" s="1148">
        <v>12</v>
      </c>
      <c r="V58" s="20">
        <v>13</v>
      </c>
    </row>
    <row r="59" spans="1:25" ht="18.75" customHeight="1">
      <c r="A59" s="21" t="s">
        <v>19</v>
      </c>
      <c r="B59" s="22">
        <f>+B60+B61</f>
        <v>11141507</v>
      </c>
      <c r="C59" s="22">
        <f t="shared" ref="C59:V59" si="30">+C60+C61</f>
        <v>0</v>
      </c>
      <c r="D59" s="22">
        <f t="shared" si="30"/>
        <v>5327000</v>
      </c>
      <c r="E59" s="22">
        <f t="shared" si="30"/>
        <v>5568560.0600000005</v>
      </c>
      <c r="F59" s="22">
        <f t="shared" si="30"/>
        <v>10718054</v>
      </c>
      <c r="G59" s="22">
        <f t="shared" si="30"/>
        <v>39306852</v>
      </c>
      <c r="H59" s="22">
        <f t="shared" si="30"/>
        <v>39731884</v>
      </c>
      <c r="I59" s="22">
        <f t="shared" si="30"/>
        <v>116348673</v>
      </c>
      <c r="J59" s="22">
        <f t="shared" ref="J59" si="31">+J60+J61</f>
        <v>355939766</v>
      </c>
      <c r="K59" s="1182">
        <f t="shared" si="30"/>
        <v>139095766</v>
      </c>
      <c r="L59" s="22">
        <f>+L60+L61</f>
        <v>152646996</v>
      </c>
      <c r="M59" s="22">
        <f t="shared" si="30"/>
        <v>148124667.63999999</v>
      </c>
      <c r="N59" s="22">
        <f t="shared" si="30"/>
        <v>141885896</v>
      </c>
      <c r="O59" s="22">
        <f t="shared" si="30"/>
        <v>134398471</v>
      </c>
      <c r="P59" s="22">
        <f t="shared" ref="P59:Q59" si="32">+P60+P61</f>
        <v>112691598</v>
      </c>
      <c r="Q59" s="22">
        <f t="shared" si="32"/>
        <v>84634047</v>
      </c>
      <c r="R59" s="22">
        <f t="shared" ref="R59:T59" si="33">+R60+R61</f>
        <v>1999047</v>
      </c>
      <c r="S59" s="22">
        <f t="shared" si="33"/>
        <v>1859047</v>
      </c>
      <c r="T59" s="22">
        <f t="shared" si="33"/>
        <v>919047</v>
      </c>
      <c r="U59" s="82">
        <f t="shared" si="30"/>
        <v>1138662872.6399999</v>
      </c>
      <c r="V59" s="83">
        <f t="shared" si="30"/>
        <v>630076110.63999999</v>
      </c>
      <c r="W59" s="1033"/>
      <c r="X59" s="1914">
        <f>T59+S59+R59+Q59+P59+O59+N59+M59+L59+J59+3564290</f>
        <v>1138662872.6399999</v>
      </c>
      <c r="Y59" s="1915">
        <f>U59-X59</f>
        <v>0</v>
      </c>
    </row>
    <row r="60" spans="1:25" s="25" customFormat="1" ht="15" customHeight="1">
      <c r="A60" s="26" t="s">
        <v>42</v>
      </c>
      <c r="B60" s="27">
        <f>+'Tab. 6D - Oświata'!E74+'Tab. 6F - Kultura'!E9+'Tab. 6A -Drogi'!E534+'Tab. 6C - Ochrona zdrowia'!E11+'Tab. 6E - Administracja'!E223+'Tab. 6G - Roln i ochrona środ.'!E180</f>
        <v>0</v>
      </c>
      <c r="C60" s="27">
        <f>+'Tab. 6D - Oświata'!F74+'Tab. 6F - Kultura'!F9+'Tab. 6A -Drogi'!F534+'Tab. 6C - Ochrona zdrowia'!F11+'Tab. 6E - Administracja'!F223+'Tab. 6G - Roln i ochrona środ.'!F180</f>
        <v>0</v>
      </c>
      <c r="D60" s="27">
        <f>+'Tab. 6D - Oświata'!G74+'Tab. 6F - Kultura'!G9+'Tab. 6A -Drogi'!G534+'Tab. 6C - Ochrona zdrowia'!G11+'Tab. 6E - Administracja'!G223+'Tab. 6G - Roln i ochrona środ.'!G180</f>
        <v>0</v>
      </c>
      <c r="E60" s="27">
        <f>+'Tab. 6D - Oświata'!H74+'Tab. 6F - Kultura'!H9+'Tab. 6A -Drogi'!H534+'Tab. 6C - Ochrona zdrowia'!H11+'Tab. 6E - Administracja'!H223+'Tab. 6G - Roln i ochrona środ.'!H180</f>
        <v>0</v>
      </c>
      <c r="F60" s="27">
        <f>+'Tab. 6D - Oświata'!I74+'Tab. 6F - Kultura'!I9+'Tab. 6A -Drogi'!I534+'Tab. 6C - Ochrona zdrowia'!I11+'Tab. 6E - Administracja'!I223+'Tab. 6G - Roln i ochrona środ.'!I180</f>
        <v>0</v>
      </c>
      <c r="G60" s="27">
        <f>+'Tab. 6D - Oświata'!J74+'Tab. 6F - Kultura'!J9+'Tab. 6A -Drogi'!J534+'Tab. 6C - Ochrona zdrowia'!J11+'Tab. 6E - Administracja'!J223+'Tab. 6G - Roln i ochrona środ.'!J180</f>
        <v>15514140</v>
      </c>
      <c r="H60" s="27">
        <f>'Tab. 6A -Drogi'!K534+'Tab. 6C - Ochrona zdrowia'!K11+'Tab. 6D - Oświata'!K74+'Tab. 6E - Administracja'!K223+'Tab. 6F - Kultura'!K9+'Tab. 6G - Roln i ochrona środ.'!K180+'Tab. 6H - Kultura fiz. i turyst'!K123</f>
        <v>17282641</v>
      </c>
      <c r="I60" s="27">
        <f>'Tab. 6A -Drogi'!L534+'Tab. 6C - Ochrona zdrowia'!L11+'Tab. 6D - Oświata'!L74+'Tab. 6E - Administracja'!L223+'Tab. 6F - Kultura'!L9+'Tab. 6G - Roln i ochrona środ.'!L180+'Tab. 6H - Kultura fiz. i turyst'!L123</f>
        <v>102747353</v>
      </c>
      <c r="J60" s="27">
        <f>'Tab. 6A -Drogi'!M534+'Tab. 6C - Ochrona zdrowia'!M11+'Tab. 6D - Oświata'!M74+'Tab. 6E - Administracja'!M223+'Tab. 6F - Kultura'!M9+'Tab. 6G - Roln i ochrona środ.'!M180+'Tab. 6H - Kultura fiz. i turyst'!M123+'Tab.6I - Planow. przestrz.'!M68</f>
        <v>232475887</v>
      </c>
      <c r="K60" s="1183">
        <f>'Tab. 6A -Drogi'!N534+'Tab. 6C - Ochrona zdrowia'!N11+'Tab. 6D - Oświata'!N74+'Tab. 6E - Administracja'!N223+'Tab. 6F - Kultura'!N9+'Tab. 6G - Roln i ochrona środ.'!N180+'Tab. 6H - Kultura fiz. i turyst'!N123</f>
        <v>97217227</v>
      </c>
      <c r="L60" s="27">
        <f>'Tab. 6A -Drogi'!O534+'Tab. 6C - Ochrona zdrowia'!O11+'Tab. 6D - Oświata'!O74+'Tab. 6E - Administracja'!O223+'Tab. 6F - Kultura'!O9+'Tab. 6G - Roln i ochrona środ.'!O180+'Tab. 6H - Kultura fiz. i turyst'!O123+'Tab.6I - Planow. przestrz.'!O68</f>
        <v>100147766</v>
      </c>
      <c r="M60" s="27">
        <f>'Tab. 6A -Drogi'!P534+'Tab. 6C - Ochrona zdrowia'!P11+'Tab. 6D - Oświata'!P74+'Tab. 6E - Administracja'!P223+'Tab. 6F - Kultura'!P9+'Tab. 6G - Roln i ochrona środ.'!P180+'Tab. 6H - Kultura fiz. i turyst'!P123+'Tab.6I - Planow. przestrz.'!P68</f>
        <v>121804957.64</v>
      </c>
      <c r="N60" s="27">
        <f>'Tab. 6A -Drogi'!Q534+'Tab. 6C - Ochrona zdrowia'!Q11+'Tab. 6D - Oświata'!Q74+'Tab. 6E - Administracja'!Q223+'Tab. 6F - Kultura'!Q9+'Tab. 6G - Roln i ochrona środ.'!Q180+'Tab. 6H - Kultura fiz. i turyst'!Q123+'Tab.6I - Planow. przestrz.'!Q68</f>
        <v>134195896</v>
      </c>
      <c r="O60" s="27">
        <f>'Tab. 6A -Drogi'!R534+'Tab. 6C - Ochrona zdrowia'!R11+'Tab. 6D - Oświata'!R74+'Tab. 6E - Administracja'!R223+'Tab. 6F - Kultura'!R9+'Tab. 6G - Roln i ochrona środ.'!R180+'Tab. 6H - Kultura fiz. i turyst'!R123+'Tab.6I - Planow. przestrz.'!R68</f>
        <v>128277271</v>
      </c>
      <c r="P60" s="27">
        <f>'Tab. 6A -Drogi'!S534+'Tab. 6C - Ochrona zdrowia'!S11+'Tab. 6D - Oświata'!S74+'Tab. 6E - Administracja'!S223+'Tab. 6F - Kultura'!S9+'Tab. 6G - Roln i ochrona środ.'!S180+'Tab. 6H - Kultura fiz. i turyst'!S123+'Tab.6I - Planow. przestrz.'!S68</f>
        <v>107971098</v>
      </c>
      <c r="Q60" s="27">
        <f>'Tab. 6A -Drogi'!T534+'Tab. 6C - Ochrona zdrowia'!T11+'Tab. 6D - Oświata'!T74+'Tab. 6E - Administracja'!T223+'Tab. 6F - Kultura'!T9+'Tab. 6G - Roln i ochrona środ.'!T180+'Tab. 6H - Kultura fiz. i turyst'!T123+'Tab.6I - Planow. przestrz.'!T68</f>
        <v>83134047</v>
      </c>
      <c r="R60" s="27">
        <f>'Tab. 6A -Drogi'!U534+'Tab. 6C - Ochrona zdrowia'!U11+'Tab. 6D - Oświata'!U74+'Tab. 6E - Administracja'!U223+'Tab. 6F - Kultura'!U9+'Tab. 6G - Roln i ochrona środ.'!U180+'Tab. 6H - Kultura fiz. i turyst'!U123+'Tab.6I - Planow. przestrz.'!U68</f>
        <v>1999047</v>
      </c>
      <c r="S60" s="27">
        <f>'Tab. 6A -Drogi'!V534+'Tab. 6C - Ochrona zdrowia'!V11+'Tab. 6D - Oświata'!V74+'Tab. 6E - Administracja'!V223+'Tab. 6F - Kultura'!V9+'Tab. 6G - Roln i ochrona środ.'!V180+'Tab. 6H - Kultura fiz. i turyst'!V123+'Tab.6I - Planow. przestrz.'!V68</f>
        <v>1859047</v>
      </c>
      <c r="T60" s="27">
        <f>'Tab. 6A -Drogi'!W534+'Tab. 6C - Ochrona zdrowia'!W11+'Tab. 6D - Oświata'!W74+'Tab. 6E - Administracja'!W223+'Tab. 6F - Kultura'!W9+'Tab. 6G - Roln i ochrona środ.'!W180+'Tab. 6H - Kultura fiz. i turyst'!W123+'Tab.6I - Planow. przestrz.'!W68</f>
        <v>919047</v>
      </c>
      <c r="U60" s="1034">
        <f>'Tab. 6A -Drogi'!D534+'Tab. 6C - Ochrona zdrowia'!D11+'Tab. 6D - Oświata'!D74+'Tab. 6E - Administracja'!D223+'Tab. 6F - Kultura'!D9+'Tab. 6G - Roln i ochrona środ.'!D180+'Tab. 6H - Kultura fiz. i turyst'!D123+'Tab.6I - Planow. przestrz.'!D68</f>
        <v>916348353.63999999</v>
      </c>
      <c r="V60" s="29">
        <f>SUM(M60:T60)+2514288+1050002</f>
        <v>583724700.63999999</v>
      </c>
      <c r="W60" s="330"/>
      <c r="X60" s="1914">
        <f>T60+S60+R60+Q60+P60+O60+N60+M60+L60+J60+3564290</f>
        <v>916348353.63999999</v>
      </c>
      <c r="Y60" s="1915">
        <f t="shared" ref="Y60:Y74" si="34">U60-X60</f>
        <v>0</v>
      </c>
    </row>
    <row r="61" spans="1:25" ht="14.25" customHeight="1" thickBot="1">
      <c r="A61" s="84" t="s">
        <v>43</v>
      </c>
      <c r="B61" s="85">
        <f>+'Tab. 6D - Oświata'!E75+'Tab. 6F - Kultura'!E10+'Tab. 6A -Drogi'!E535+'Tab. 6C - Ochrona zdrowia'!E12+'Tab. 6E - Administracja'!E224+'Tab. 6G - Roln i ochrona środ.'!E181</f>
        <v>11141507</v>
      </c>
      <c r="C61" s="85">
        <f>+'Tab. 6D - Oświata'!F75+'Tab. 6F - Kultura'!F10+'Tab. 6A -Drogi'!F535+'Tab. 6C - Ochrona zdrowia'!F12+'Tab. 6E - Administracja'!F224+'Tab. 6G - Roln i ochrona środ.'!F181</f>
        <v>0</v>
      </c>
      <c r="D61" s="85">
        <f>+'Tab. 6D - Oświata'!G75+'Tab. 6F - Kultura'!G10+'Tab. 6A -Drogi'!G535+'Tab. 6C - Ochrona zdrowia'!G12+'Tab. 6E - Administracja'!G224+'Tab. 6G - Roln i ochrona środ.'!G181</f>
        <v>5327000</v>
      </c>
      <c r="E61" s="85">
        <f>+'Tab. 6D - Oświata'!H75+'Tab. 6F - Kultura'!H10+'Tab. 6A -Drogi'!H535+'Tab. 6C - Ochrona zdrowia'!H12+'Tab. 6E - Administracja'!H224+'Tab. 6G - Roln i ochrona środ.'!H181</f>
        <v>5568560.0600000005</v>
      </c>
      <c r="F61" s="85">
        <f>+'Tab. 6D - Oświata'!I75+'Tab. 6F - Kultura'!I10+'Tab. 6A -Drogi'!I535+'Tab. 6C - Ochrona zdrowia'!I12+'Tab. 6E - Administracja'!I224+'Tab. 6G - Roln i ochrona środ.'!I181</f>
        <v>10718054</v>
      </c>
      <c r="G61" s="85">
        <f>+'Tab. 6D - Oświata'!J75+'Tab. 6F - Kultura'!J10+'Tab. 6A -Drogi'!J535+'Tab. 6C - Ochrona zdrowia'!J12+'Tab. 6E - Administracja'!J224+'Tab. 6G - Roln i ochrona środ.'!J181</f>
        <v>23792712</v>
      </c>
      <c r="H61" s="85">
        <f>+'Tab. 6D - Oświata'!K75+'Tab. 6F - Kultura'!K10+'Tab. 6A -Drogi'!K535+'Tab. 6C - Ochrona zdrowia'!K12+'Tab. 6E - Administracja'!K224+'Tab. 6G - Roln i ochrona środ.'!K181</f>
        <v>22449243</v>
      </c>
      <c r="I61" s="86">
        <f>'Tab. 6A -Drogi'!L535+'Tab. 6C - Ochrona zdrowia'!L12+'Tab. 6D - Oświata'!L75+'Tab. 6E - Administracja'!L224+'Tab. 6F - Kultura'!L10+'Tab. 6G - Roln i ochrona środ.'!L181</f>
        <v>13601320</v>
      </c>
      <c r="J61" s="86">
        <f>'Tab. 6A -Drogi'!M535+'Tab. 6C - Ochrona zdrowia'!M12+'Tab. 6D - Oświata'!M75+'Tab. 6E - Administracja'!M224+'Tab. 6F - Kultura'!M10+'Tab. 6G - Roln i ochrona środ.'!M181</f>
        <v>123463879</v>
      </c>
      <c r="K61" s="1199">
        <f>'Tab. 6A -Drogi'!N535+'Tab. 6C - Ochrona zdrowia'!N12+'Tab. 6D - Oświata'!N75+'Tab. 6E - Administracja'!N224+'Tab. 6F - Kultura'!N10+'Tab. 6G - Roln i ochrona środ.'!N181</f>
        <v>41878539</v>
      </c>
      <c r="L61" s="86">
        <f>'Tab. 6A -Drogi'!O535+'Tab. 6C - Ochrona zdrowia'!O12+'Tab. 6D - Oświata'!O75+'Tab. 6E - Administracja'!O224+'Tab. 6F - Kultura'!O10+'Tab. 6G - Roln i ochrona środ.'!O181</f>
        <v>52499230</v>
      </c>
      <c r="M61" s="86">
        <f>'Tab. 6A -Drogi'!P535+'Tab. 6C - Ochrona zdrowia'!P12+'Tab. 6D - Oświata'!P75+'Tab. 6E - Administracja'!P224+'Tab. 6F - Kultura'!P10+'Tab. 6G - Roln i ochrona środ.'!P181</f>
        <v>26319710</v>
      </c>
      <c r="N61" s="86">
        <f>'Tab. 6A -Drogi'!Q535+'Tab. 6C - Ochrona zdrowia'!Q12+'Tab. 6D - Oświata'!Q75+'Tab. 6E - Administracja'!Q224+'Tab. 6F - Kultura'!Q10+'Tab. 6G - Roln i ochrona środ.'!Q181</f>
        <v>7690000</v>
      </c>
      <c r="O61" s="86">
        <f>'Tab. 6A -Drogi'!R535+'Tab. 6C - Ochrona zdrowia'!R12+'Tab. 6D - Oświata'!R75+'Tab. 6E - Administracja'!R224+'Tab. 6F - Kultura'!R10+'Tab. 6G - Roln i ochrona środ.'!R181</f>
        <v>6121200</v>
      </c>
      <c r="P61" s="86">
        <f>'Tab. 6A -Drogi'!S535+'Tab. 6C - Ochrona zdrowia'!S12+'Tab. 6D - Oświata'!S75+'Tab. 6E - Administracja'!S224+'Tab. 6F - Kultura'!S10+'Tab. 6G - Roln i ochrona środ.'!S181</f>
        <v>4720500</v>
      </c>
      <c r="Q61" s="86">
        <f>'Tab. 6A -Drogi'!T535+'Tab. 6C - Ochrona zdrowia'!T12+'Tab. 6D - Oświata'!T75+'Tab. 6E - Administracja'!T224+'Tab. 6F - Kultura'!T10+'Tab. 6G - Roln i ochrona środ.'!T181</f>
        <v>1500000</v>
      </c>
      <c r="R61" s="86">
        <f>'Tab. 6A -Drogi'!U535+'Tab. 6C - Ochrona zdrowia'!U12+'Tab. 6D - Oświata'!U75+'Tab. 6E - Administracja'!U224+'Tab. 6F - Kultura'!U10+'Tab. 6G - Roln i ochrona środ.'!U181</f>
        <v>0</v>
      </c>
      <c r="S61" s="86">
        <f>'Tab. 6A -Drogi'!V535+'Tab. 6C - Ochrona zdrowia'!V12+'Tab. 6D - Oświata'!V75+'Tab. 6E - Administracja'!V224+'Tab. 6F - Kultura'!V10+'Tab. 6G - Roln i ochrona środ.'!V181</f>
        <v>0</v>
      </c>
      <c r="T61" s="86">
        <f>'Tab. 6A -Drogi'!W535+'Tab. 6C - Ochrona zdrowia'!W12+'Tab. 6D - Oświata'!W75+'Tab. 6E - Administracja'!W224+'Tab. 6F - Kultura'!W10+'Tab. 6G - Roln i ochrona środ.'!W181</f>
        <v>0</v>
      </c>
      <c r="U61" s="87">
        <f>'Tab. 6A -Drogi'!D535+'Tab. 6C - Ochrona zdrowia'!D12+'Tab. 6D - Oświata'!D75+'Tab. 6E - Administracja'!D224+'Tab. 6F - Kultura'!D10+'Tab. 6G - Roln i ochrona środ.'!D181</f>
        <v>222314519</v>
      </c>
      <c r="V61" s="34">
        <f>SUM(M61:T61)</f>
        <v>46351410</v>
      </c>
      <c r="W61" s="330"/>
      <c r="X61" s="1914">
        <f t="shared" ref="X61:X74" si="35">T61+S61+R61+Q61+P61+O61+N61+M61+L61+J61</f>
        <v>222314519</v>
      </c>
      <c r="Y61" s="1915">
        <f t="shared" si="34"/>
        <v>0</v>
      </c>
    </row>
    <row r="62" spans="1:25" s="38" customFormat="1" ht="4.5" customHeight="1">
      <c r="A62" s="35"/>
      <c r="B62" s="36"/>
      <c r="C62" s="36"/>
      <c r="D62" s="36"/>
      <c r="E62" s="36"/>
      <c r="F62" s="36"/>
      <c r="G62" s="36"/>
      <c r="H62" s="36"/>
      <c r="I62" s="36"/>
      <c r="J62" s="36"/>
      <c r="K62" s="1185"/>
      <c r="L62" s="36"/>
      <c r="M62" s="36"/>
      <c r="N62" s="36"/>
      <c r="O62" s="88"/>
      <c r="P62" s="36"/>
      <c r="Q62" s="36"/>
      <c r="R62" s="36"/>
      <c r="S62" s="36"/>
      <c r="T62" s="36"/>
      <c r="U62" s="37"/>
      <c r="V62" s="1157"/>
      <c r="W62" s="30"/>
      <c r="X62" s="1914"/>
      <c r="Y62" s="1915"/>
    </row>
    <row r="63" spans="1:25" s="68" customFormat="1" ht="18" customHeight="1">
      <c r="A63" s="39" t="s">
        <v>22</v>
      </c>
      <c r="B63" s="40">
        <f t="shared" ref="B63:U63" si="36">+B64+B73</f>
        <v>12211596</v>
      </c>
      <c r="C63" s="40">
        <f t="shared" si="36"/>
        <v>0</v>
      </c>
      <c r="D63" s="41">
        <f t="shared" si="36"/>
        <v>5402454</v>
      </c>
      <c r="E63" s="41">
        <f t="shared" si="36"/>
        <v>8279439.0600000005</v>
      </c>
      <c r="F63" s="41">
        <f t="shared" si="36"/>
        <v>27616305</v>
      </c>
      <c r="G63" s="41">
        <f>+G64+G73</f>
        <v>51102168</v>
      </c>
      <c r="H63" s="41">
        <f>+H64+H73</f>
        <v>50794575</v>
      </c>
      <c r="I63" s="41">
        <f t="shared" si="36"/>
        <v>148002785</v>
      </c>
      <c r="J63" s="41">
        <f t="shared" ref="J63" si="37">+J64+J73</f>
        <v>437626475</v>
      </c>
      <c r="K63" s="1186">
        <f t="shared" si="36"/>
        <v>171347738</v>
      </c>
      <c r="L63" s="41">
        <f t="shared" si="36"/>
        <v>256769435</v>
      </c>
      <c r="M63" s="41">
        <f t="shared" si="36"/>
        <v>192090576.63999999</v>
      </c>
      <c r="N63" s="41">
        <f t="shared" si="36"/>
        <v>141885896</v>
      </c>
      <c r="O63" s="41">
        <f t="shared" si="36"/>
        <v>134398471</v>
      </c>
      <c r="P63" s="41">
        <f t="shared" ref="P63:Q63" si="38">+P64+P73</f>
        <v>112691598</v>
      </c>
      <c r="Q63" s="41">
        <f t="shared" si="38"/>
        <v>84634047</v>
      </c>
      <c r="R63" s="41">
        <f t="shared" ref="R63:T63" si="39">+R64+R73</f>
        <v>1999047</v>
      </c>
      <c r="S63" s="41">
        <f t="shared" si="39"/>
        <v>1859047</v>
      </c>
      <c r="T63" s="41">
        <f t="shared" si="39"/>
        <v>919047</v>
      </c>
      <c r="U63" s="89">
        <f t="shared" si="36"/>
        <v>1368437929.6399999</v>
      </c>
      <c r="V63" s="90">
        <f>+V64+V73</f>
        <v>630076110.63999999</v>
      </c>
      <c r="W63" s="43"/>
      <c r="X63" s="1914">
        <f>T63+S63+R63+Q63+P63+O63+N63+M63+L63+J63+3564290</f>
        <v>1368437929.6399999</v>
      </c>
      <c r="Y63" s="1915">
        <f t="shared" si="34"/>
        <v>0</v>
      </c>
    </row>
    <row r="64" spans="1:25" s="49" customFormat="1" ht="18" customHeight="1">
      <c r="A64" s="46" t="s">
        <v>23</v>
      </c>
      <c r="B64" s="91">
        <f>SUM(B65:B72)</f>
        <v>12211596</v>
      </c>
      <c r="C64" s="47">
        <f t="shared" ref="C64:K64" si="40">SUM(C65:C72)</f>
        <v>0</v>
      </c>
      <c r="D64" s="92">
        <f t="shared" si="40"/>
        <v>5402454</v>
      </c>
      <c r="E64" s="92">
        <f t="shared" si="40"/>
        <v>8279439.0600000005</v>
      </c>
      <c r="F64" s="93">
        <f t="shared" si="40"/>
        <v>12037550</v>
      </c>
      <c r="G64" s="93">
        <f>SUM(G65:G72)</f>
        <v>42871721</v>
      </c>
      <c r="H64" s="93">
        <f>SUM(H65:H72)</f>
        <v>44834429</v>
      </c>
      <c r="I64" s="93">
        <f t="shared" si="40"/>
        <v>141863655</v>
      </c>
      <c r="J64" s="93">
        <f t="shared" si="40"/>
        <v>377376021</v>
      </c>
      <c r="K64" s="1200">
        <f t="shared" si="40"/>
        <v>144139603</v>
      </c>
      <c r="L64" s="93">
        <f t="shared" ref="L64:U64" si="41">SUM(L65:L72)</f>
        <v>164878650</v>
      </c>
      <c r="M64" s="93">
        <f t="shared" si="41"/>
        <v>168108833.63999999</v>
      </c>
      <c r="N64" s="93">
        <f t="shared" si="41"/>
        <v>141885896</v>
      </c>
      <c r="O64" s="93">
        <f t="shared" si="41"/>
        <v>134398471</v>
      </c>
      <c r="P64" s="93">
        <f>SUM(P65:P72)</f>
        <v>112691598</v>
      </c>
      <c r="Q64" s="93">
        <f t="shared" si="41"/>
        <v>84634047</v>
      </c>
      <c r="R64" s="93">
        <f t="shared" ref="R64:T64" si="42">SUM(R65:R72)</f>
        <v>1999047</v>
      </c>
      <c r="S64" s="93">
        <f t="shared" si="42"/>
        <v>1859047</v>
      </c>
      <c r="T64" s="93">
        <f t="shared" si="42"/>
        <v>919047</v>
      </c>
      <c r="U64" s="94">
        <f t="shared" si="41"/>
        <v>1192314947.6399999</v>
      </c>
      <c r="V64" s="95">
        <f>SUM(V65:V72)</f>
        <v>630076110.63999999</v>
      </c>
      <c r="W64" s="30"/>
      <c r="X64" s="1914">
        <f>T64+S64+R64+Q64+P64+O64+N64+M64+L64+J64+3564290</f>
        <v>1192314947.6399999</v>
      </c>
      <c r="Y64" s="1915">
        <f t="shared" si="34"/>
        <v>0</v>
      </c>
    </row>
    <row r="65" spans="1:25" s="38" customFormat="1" ht="16.5" customHeight="1">
      <c r="A65" s="50" t="s">
        <v>44</v>
      </c>
      <c r="B65" s="96">
        <f>+'Tab. 6D - Oświata'!E80+'Tab. 6A -Drogi'!E538+'Tab. 6E - Administracja'!E227+'Tab. 6C - Ochrona zdrowia'!E15</f>
        <v>7239894</v>
      </c>
      <c r="C65" s="96">
        <f>+'Tab. 6D - Oświata'!F80+'Tab. 6A -Drogi'!F538+'Tab. 6E - Administracja'!F227+'Tab. 6C - Ochrona zdrowia'!F15</f>
        <v>0</v>
      </c>
      <c r="D65" s="96">
        <f>+'Tab. 6D - Oświata'!G80+'Tab. 6A -Drogi'!G538+'Tab. 6E - Administracja'!G227+'Tab. 6C - Ochrona zdrowia'!G15</f>
        <v>5300000</v>
      </c>
      <c r="E65" s="96">
        <f>+'Tab. 6D - Oświata'!H80+'Tab. 6A -Drogi'!H538+'Tab. 6E - Administracja'!H227+'Tab. 6C - Ochrona zdrowia'!H15</f>
        <v>1939894</v>
      </c>
      <c r="F65" s="96">
        <f>+'Tab. 6D - Oświata'!I80+'Tab. 6A -Drogi'!I538+'Tab. 6E - Administracja'!I227+'Tab. 6C - Ochrona zdrowia'!I15</f>
        <v>1403574</v>
      </c>
      <c r="G65" s="96">
        <f>+'Tab. 6D - Oświata'!J80+'Tab. 6A -Drogi'!J538+'Tab. 6E - Administracja'!J227+'Tab. 6C - Ochrona zdrowia'!J15</f>
        <v>18250428</v>
      </c>
      <c r="H65" s="96">
        <f>+'Tab. 6D - Oświata'!K80+'Tab. 6A -Drogi'!K538+'Tab. 6E - Administracja'!K227+'Tab. 6C - Ochrona zdrowia'!K15</f>
        <v>23280243</v>
      </c>
      <c r="I65" s="96">
        <f>+'Tab. 6D - Oświata'!L80+'Tab. 6A -Drogi'!L538+'Tab. 6E - Administracja'!L227+'Tab. 6C - Ochrona zdrowia'!L15</f>
        <v>107308633</v>
      </c>
      <c r="J65" s="96">
        <f>+'Tab. 6D - Oświata'!M80+'Tab. 6A -Drogi'!M538+'Tab. 6E - Administracja'!M227+'Tab. 6C - Ochrona zdrowia'!M15+'Tab.6I - Planow. przestrz.'!M72</f>
        <v>255852401</v>
      </c>
      <c r="K65" s="1201">
        <f>+'Tab. 6D - Oświata'!N80+'Tab. 6A -Drogi'!N538+'Tab. 6E - Administracja'!N227+'Tab. 6C - Ochrona zdrowia'!N15</f>
        <v>98455103</v>
      </c>
      <c r="L65" s="96">
        <f>+'Tab. 6D - Oświata'!O80+'Tab. 6A -Drogi'!O538+'Tab. 6E - Administracja'!O227+'Tab. 6C - Ochrona zdrowia'!O15+'Tab.6I - Planow. przestrz.'!O72</f>
        <v>94715161</v>
      </c>
      <c r="M65" s="96">
        <f>+'Tab. 6D - Oświata'!P80+'Tab. 6A -Drogi'!P538+'Tab. 6E - Administracja'!P227+'Tab. 6C - Ochrona zdrowia'!P15+'Tab.6I - Planow. przestrz.'!P72</f>
        <v>134687582.63999999</v>
      </c>
      <c r="N65" s="96">
        <f>+'Tab. 6D - Oświata'!Q80+'Tab. 6A -Drogi'!Q538+'Tab. 6E - Administracja'!Q227+'Tab. 6C - Ochrona zdrowia'!Q15+'Tab.6I - Planow. przestrz.'!Q72</f>
        <v>139285896</v>
      </c>
      <c r="O65" s="96">
        <f>+'Tab. 6D - Oświata'!R80+'Tab. 6A -Drogi'!R538+'Tab. 6E - Administracja'!R227+'Tab. 6C - Ochrona zdrowia'!R15+'Tab.6I - Planow. przestrz.'!R72</f>
        <v>131751471</v>
      </c>
      <c r="P65" s="96">
        <f>+'Tab. 6D - Oświata'!S80+'Tab. 6A -Drogi'!S538+'Tab. 6E - Administracja'!S227+'Tab. 6C - Ochrona zdrowia'!S15+'Tab.6I - Planow. przestrz.'!S72</f>
        <v>109986598</v>
      </c>
      <c r="Q65" s="96">
        <f>+'Tab. 6D - Oświata'!T80+'Tab. 6A -Drogi'!T538+'Tab. 6E - Administracja'!T227+'Tab. 6C - Ochrona zdrowia'!T15+'Tab.6I - Planow. przestrz.'!T72</f>
        <v>84634047</v>
      </c>
      <c r="R65" s="96">
        <f>+'Tab. 6D - Oświata'!U80+'Tab. 6A -Drogi'!U538+'Tab. 6E - Administracja'!U227+'Tab. 6C - Ochrona zdrowia'!U15+'Tab.6I - Planow. przestrz.'!U72</f>
        <v>1999047</v>
      </c>
      <c r="S65" s="96">
        <f>+'Tab. 6D - Oświata'!V80+'Tab. 6A -Drogi'!V538+'Tab. 6E - Administracja'!V227+'Tab. 6C - Ochrona zdrowia'!V15+'Tab.6I - Planow. przestrz.'!V72</f>
        <v>1859047</v>
      </c>
      <c r="T65" s="96">
        <f>+'Tab. 6D - Oświata'!W80+'Tab. 6A -Drogi'!W538+'Tab. 6E - Administracja'!W227+'Tab. 6C - Ochrona zdrowia'!W15+'Tab.6I - Planow. przestrz.'!W72</f>
        <v>919047</v>
      </c>
      <c r="U65" s="97">
        <f>J65+L65+M65+N65+O65+P65+Q65+R65+S65+T65+2514288+1050002</f>
        <v>959254587.63999999</v>
      </c>
      <c r="V65" s="29">
        <f>SUM(M65:T65)+2514288+1050002</f>
        <v>608687025.63999999</v>
      </c>
      <c r="W65" s="330"/>
      <c r="X65" s="1914">
        <f>T65+S65+R65+Q65+P65+O65+N65+M65+L65+J65+3564290</f>
        <v>959254587.63999999</v>
      </c>
      <c r="Y65" s="1915">
        <f t="shared" si="34"/>
        <v>0</v>
      </c>
    </row>
    <row r="66" spans="1:25" s="38" customFormat="1" ht="15.75" hidden="1" customHeight="1">
      <c r="A66" s="53" t="s">
        <v>28</v>
      </c>
      <c r="B66" s="73">
        <f>+'Tab. 6A -Drogi'!E541+'Tab. 6G - Roln i ochrona środ.'!E188</f>
        <v>0</v>
      </c>
      <c r="C66" s="73">
        <f>+'Tab. 6A -Drogi'!F541+'Tab. 6G - Roln i ochrona środ.'!F188</f>
        <v>0</v>
      </c>
      <c r="D66" s="73">
        <f>+'Tab. 6A -Drogi'!G541+'Tab. 6G - Roln i ochrona środ.'!G188</f>
        <v>0</v>
      </c>
      <c r="E66" s="73">
        <f>+'Tab. 6A -Drogi'!H541+'Tab. 6G - Roln i ochrona środ.'!H188</f>
        <v>0</v>
      </c>
      <c r="F66" s="73">
        <f>+'Tab. 6A -Drogi'!I541+'Tab. 6G - Roln i ochrona środ.'!I188</f>
        <v>0</v>
      </c>
      <c r="G66" s="73">
        <f>+'Tab. 6A -Drogi'!J541+'Tab. 6G - Roln i ochrona środ.'!J188</f>
        <v>0</v>
      </c>
      <c r="H66" s="96">
        <f>+'Tab. 6A -Drogi'!K541+'Tab. 6G - Roln i ochrona środ.'!K188</f>
        <v>0</v>
      </c>
      <c r="I66" s="96">
        <f>+'Tab. 6A -Drogi'!L541+'Tab. 6G - Roln i ochrona środ.'!L188</f>
        <v>0</v>
      </c>
      <c r="J66" s="96">
        <f>+'Tab. 6A -Drogi'!M541+'Tab. 6G - Roln i ochrona środ.'!M188</f>
        <v>0</v>
      </c>
      <c r="K66" s="1201">
        <f>+'Tab. 6A -Drogi'!N541+'Tab. 6G - Roln i ochrona środ.'!N188+'Tab. 6H - Kultura fiz. i turyst'!N127</f>
        <v>0</v>
      </c>
      <c r="L66" s="96">
        <f>+'Tab. 6A -Drogi'!O541+'Tab. 6G - Roln i ochrona środ.'!O188+'Tab. 6H - Kultura fiz. i turyst'!O127</f>
        <v>0</v>
      </c>
      <c r="M66" s="96">
        <f>+'Tab. 6A -Drogi'!P541+'Tab. 6G - Roln i ochrona środ.'!P188+'Tab. 6H - Kultura fiz. i turyst'!P127</f>
        <v>0</v>
      </c>
      <c r="N66" s="96">
        <f>+'Tab. 6A -Drogi'!Q541+'Tab. 6G - Roln i ochrona środ.'!Q188+'Tab. 6H - Kultura fiz. i turyst'!Q127</f>
        <v>0</v>
      </c>
      <c r="O66" s="96">
        <f>+'Tab. 6A -Drogi'!R541+'Tab. 6G - Roln i ochrona środ.'!R188+'Tab. 6H - Kultura fiz. i turyst'!R127</f>
        <v>0</v>
      </c>
      <c r="P66" s="96">
        <f>+'Tab. 6A -Drogi'!S541+'Tab. 6G - Roln i ochrona środ.'!S188+'Tab. 6H - Kultura fiz. i turyst'!S127</f>
        <v>0</v>
      </c>
      <c r="Q66" s="96">
        <f>+'Tab. 6A -Drogi'!T541+'Tab. 6G - Roln i ochrona środ.'!T188+'Tab. 6H - Kultura fiz. i turyst'!T127</f>
        <v>0</v>
      </c>
      <c r="R66" s="96">
        <f>+'Tab. 6A -Drogi'!U541+'Tab. 6G - Roln i ochrona środ.'!U188+'Tab. 6H - Kultura fiz. i turyst'!U127</f>
        <v>0</v>
      </c>
      <c r="S66" s="96">
        <f>+'Tab. 6A -Drogi'!V541+'Tab. 6G - Roln i ochrona środ.'!V188+'Tab. 6H - Kultura fiz. i turyst'!V127</f>
        <v>0</v>
      </c>
      <c r="T66" s="96">
        <f>+'Tab. 6A -Drogi'!W541+'Tab. 6G - Roln i ochrona środ.'!W188+'Tab. 6H - Kultura fiz. i turyst'!W127</f>
        <v>0</v>
      </c>
      <c r="U66" s="97">
        <f>J66+L66+M66+N66+O66+P66+Q66+R66+S66+T66</f>
        <v>0</v>
      </c>
      <c r="V66" s="29">
        <f>SUM(M66:T66)</f>
        <v>0</v>
      </c>
      <c r="W66" s="330"/>
      <c r="X66" s="1914">
        <f t="shared" si="35"/>
        <v>0</v>
      </c>
      <c r="Y66" s="1915">
        <f t="shared" si="34"/>
        <v>0</v>
      </c>
    </row>
    <row r="67" spans="1:25" s="38" customFormat="1" ht="15.75" customHeight="1">
      <c r="A67" s="53" t="s">
        <v>45</v>
      </c>
      <c r="B67" s="96">
        <f>+'Tab. 6F - Kultura'!E13+'Tab. 6C - Ochrona zdrowia'!E16</f>
        <v>1070089</v>
      </c>
      <c r="C67" s="96">
        <f>+'Tab. 6F - Kultura'!F13+'Tab. 6C - Ochrona zdrowia'!F16</f>
        <v>0</v>
      </c>
      <c r="D67" s="96">
        <f>+'Tab. 6F - Kultura'!G13+'Tab. 6C - Ochrona zdrowia'!G16</f>
        <v>75454</v>
      </c>
      <c r="E67" s="96">
        <f>+'Tab. 6F - Kultura'!H13+'Tab. 6C - Ochrona zdrowia'!H16</f>
        <v>2710879</v>
      </c>
      <c r="F67" s="96">
        <f>+'Tab. 6F - Kultura'!I13+'Tab. 6C - Ochrona zdrowia'!I16</f>
        <v>1319496</v>
      </c>
      <c r="G67" s="96">
        <f>+'Tab. 6F - Kultura'!J13+'Tab. 6C - Ochrona zdrowia'!J16</f>
        <v>3564869</v>
      </c>
      <c r="H67" s="96">
        <f>+'Tab. 6F - Kultura'!K13+'Tab. 6C - Ochrona zdrowia'!K16</f>
        <v>5102545</v>
      </c>
      <c r="I67" s="96">
        <f>+'Tab. 6F - Kultura'!L13+'Tab. 6C - Ochrona zdrowia'!L16</f>
        <v>25514982</v>
      </c>
      <c r="J67" s="96">
        <f>+'Tab. 6F - Kultura'!M13+'Tab. 6C - Ochrona zdrowia'!M16</f>
        <v>21436255</v>
      </c>
      <c r="K67" s="1201">
        <f>+'Tab. 6F - Kultura'!N13+'Tab. 6C - Ochrona zdrowia'!N16</f>
        <v>5043837</v>
      </c>
      <c r="L67" s="96">
        <f>+'Tab. 6F - Kultura'!O13+'Tab. 6C - Ochrona zdrowia'!O16</f>
        <v>12231654</v>
      </c>
      <c r="M67" s="96">
        <f>+'Tab. 6F - Kultura'!P13+'Tab. 6C - Ochrona zdrowia'!P16</f>
        <v>19984166</v>
      </c>
      <c r="N67" s="73">
        <f>+'Tab. 6F - Kultura'!Q13+'Tab. 6C - Ochrona zdrowia'!Q16</f>
        <v>0</v>
      </c>
      <c r="O67" s="73">
        <f>+'Tab. 6F - Kultura'!R13+'Tab. 6C - Ochrona zdrowia'!R16</f>
        <v>0</v>
      </c>
      <c r="P67" s="73">
        <f>+'Tab. 6F - Kultura'!S13+'Tab. 6C - Ochrona zdrowia'!S16</f>
        <v>0</v>
      </c>
      <c r="Q67" s="73">
        <f>+'Tab. 6F - Kultura'!T13+'Tab. 6C - Ochrona zdrowia'!T16</f>
        <v>0</v>
      </c>
      <c r="R67" s="73">
        <f>+'Tab. 6F - Kultura'!U13+'Tab. 6C - Ochrona zdrowia'!U16</f>
        <v>0</v>
      </c>
      <c r="S67" s="73">
        <f>+'Tab. 6F - Kultura'!V13+'Tab. 6C - Ochrona zdrowia'!V16</f>
        <v>0</v>
      </c>
      <c r="T67" s="73">
        <f>+'Tab. 6F - Kultura'!W13+'Tab. 6C - Ochrona zdrowia'!W16</f>
        <v>0</v>
      </c>
      <c r="U67" s="97">
        <f>J67+L67+M67+N67+O67+P67+Q67+R67+S67+T67</f>
        <v>53652075</v>
      </c>
      <c r="V67" s="945">
        <v>0</v>
      </c>
      <c r="W67" s="30"/>
      <c r="X67" s="1914">
        <f t="shared" si="35"/>
        <v>53652075</v>
      </c>
      <c r="Y67" s="1915">
        <f t="shared" si="34"/>
        <v>0</v>
      </c>
    </row>
    <row r="68" spans="1:25" s="38" customFormat="1" ht="15.75" customHeight="1">
      <c r="A68" s="50" t="s">
        <v>46</v>
      </c>
      <c r="B68" s="96">
        <f>+'Tab. 6F - Kultura'!E14+'Tab. 6C - Ochrona zdrowia'!E17+'Tab. 6D - Oświata'!E79</f>
        <v>3621827</v>
      </c>
      <c r="C68" s="96">
        <f>+'Tab. 6F - Kultura'!F14+'Tab. 6C - Ochrona zdrowia'!F17+'Tab. 6D - Oświata'!F79</f>
        <v>0</v>
      </c>
      <c r="D68" s="96">
        <f>+'Tab. 6F - Kultura'!G14+'Tab. 6C - Ochrona zdrowia'!G17+'Tab. 6D - Oświata'!G79</f>
        <v>27000</v>
      </c>
      <c r="E68" s="96">
        <f>+'Tab. 6F - Kultura'!H14+'Tab. 6C - Ochrona zdrowia'!H17+'Tab. 6D - Oświata'!H79</f>
        <v>3348880.0600000005</v>
      </c>
      <c r="F68" s="96">
        <f>+'Tab. 6F - Kultura'!I14+'Tab. 6C - Ochrona zdrowia'!I17+'Tab. 6D - Oświata'!I79</f>
        <v>6819986</v>
      </c>
      <c r="G68" s="96">
        <f>+'Tab. 6F - Kultura'!J14+'Tab. 6C - Ochrona zdrowia'!J17+'Tab. 6D - Oświata'!J79</f>
        <v>10846424</v>
      </c>
      <c r="H68" s="96">
        <f>+'Tab. 6F - Kultura'!K14+'Tab. 6C - Ochrona zdrowia'!K17+'Tab. 6D - Oświata'!K79</f>
        <v>12471739</v>
      </c>
      <c r="I68" s="96">
        <f>+'Tab. 6F - Kultura'!L14+'Tab. 6C - Ochrona zdrowia'!L17+'Tab. 6D - Oświata'!L79+'Tab. 6H - Kultura fiz. i turyst'!L135</f>
        <v>4429076</v>
      </c>
      <c r="J68" s="96">
        <f>+'Tab. 6F - Kultura'!M14+'Tab. 6C - Ochrona zdrowia'!M17+'Tab. 6D - Oświata'!M79+'Tab. 6H - Kultura fiz. i turyst'!M135</f>
        <v>65727829</v>
      </c>
      <c r="K68" s="1201">
        <f>+'Tab. 6F - Kultura'!N14+'Tab. 6C - Ochrona zdrowia'!N17+'Tab. 6D - Oświata'!N79+'Tab. 6H - Kultura fiz. i turyst'!N135</f>
        <v>27656273</v>
      </c>
      <c r="L68" s="96">
        <f>+'Tab. 6F - Kultura'!O14+'Tab. 6C - Ochrona zdrowia'!O17+'Tab. 6D - Oświata'!O79+'Tab. 6H - Kultura fiz. i turyst'!O135</f>
        <v>33450035</v>
      </c>
      <c r="M68" s="96">
        <f>+'Tab. 6F - Kultura'!P14+'Tab. 6C - Ochrona zdrowia'!P17+'Tab. 6D - Oświata'!P79+'Tab. 6H - Kultura fiz. i turyst'!P135</f>
        <v>5039601</v>
      </c>
      <c r="N68" s="96">
        <f>+'Tab. 6F - Kultura'!Q14+'Tab. 6C - Ochrona zdrowia'!Q17+'Tab. 6D - Oświata'!Q79+'Tab. 6H - Kultura fiz. i turyst'!Q135</f>
        <v>2600000</v>
      </c>
      <c r="O68" s="96">
        <f>+'Tab. 6F - Kultura'!R14+'Tab. 6C - Ochrona zdrowia'!R17+'Tab. 6D - Oświata'!R79+'Tab. 6H - Kultura fiz. i turyst'!R135</f>
        <v>2647000</v>
      </c>
      <c r="P68" s="96">
        <f>+'Tab. 6F - Kultura'!S14+'Tab. 6C - Ochrona zdrowia'!S17+'Tab. 6D - Oświata'!S79+'Tab. 6H - Kultura fiz. i turyst'!S135</f>
        <v>2705000</v>
      </c>
      <c r="Q68" s="73">
        <f>+'Tab. 6F - Kultura'!T14+'Tab. 6C - Ochrona zdrowia'!T17+'Tab. 6D - Oświata'!T79+'Tab. 6H - Kultura fiz. i turyst'!T135</f>
        <v>0</v>
      </c>
      <c r="R68" s="73">
        <f>+'Tab. 6F - Kultura'!U14+'Tab. 6C - Ochrona zdrowia'!U17+'Tab. 6D - Oświata'!U79+'Tab. 6H - Kultura fiz. i turyst'!U135</f>
        <v>0</v>
      </c>
      <c r="S68" s="73">
        <f>+'Tab. 6F - Kultura'!V14+'Tab. 6C - Ochrona zdrowia'!V17+'Tab. 6D - Oświata'!V79+'Tab. 6H - Kultura fiz. i turyst'!V135</f>
        <v>0</v>
      </c>
      <c r="T68" s="73">
        <f>+'Tab. 6F - Kultura'!W14+'Tab. 6C - Ochrona zdrowia'!W17+'Tab. 6D - Oświata'!W79+'Tab. 6H - Kultura fiz. i turyst'!W135</f>
        <v>0</v>
      </c>
      <c r="U68" s="97">
        <f t="shared" ref="U68:U72" si="43">J68+L68+M68+N68+O68+P68+Q68+R68+S68+T68</f>
        <v>112169465</v>
      </c>
      <c r="V68" s="29">
        <f>SUM(M68:T68)</f>
        <v>12991601</v>
      </c>
      <c r="W68" s="330"/>
      <c r="X68" s="1914">
        <f t="shared" si="35"/>
        <v>112169465</v>
      </c>
      <c r="Y68" s="1915">
        <f t="shared" si="34"/>
        <v>0</v>
      </c>
    </row>
    <row r="69" spans="1:25" s="38" customFormat="1" ht="15.75" customHeight="1">
      <c r="A69" s="53" t="s">
        <v>27</v>
      </c>
      <c r="B69" s="96">
        <f>+'Tab. 6A -Drogi'!E540+'Tab. 6C - Ochrona zdrowia'!E20</f>
        <v>279786</v>
      </c>
      <c r="C69" s="96">
        <f>+'Tab. 6A -Drogi'!F540+'Tab. 6C - Ochrona zdrowia'!F20</f>
        <v>0</v>
      </c>
      <c r="D69" s="96">
        <f>+'Tab. 6A -Drogi'!G540+'Tab. 6C - Ochrona zdrowia'!G20</f>
        <v>0</v>
      </c>
      <c r="E69" s="96">
        <f>+'Tab. 6A -Drogi'!H540+'Tab. 6C - Ochrona zdrowia'!H20</f>
        <v>279786</v>
      </c>
      <c r="F69" s="96">
        <f>+'Tab. 6A -Drogi'!I540+'Tab. 6C - Ochrona zdrowia'!I20</f>
        <v>2494494</v>
      </c>
      <c r="G69" s="96">
        <f>+'Tab. 6A -Drogi'!J540+'Tab. 6C - Ochrona zdrowia'!J20</f>
        <v>2145000</v>
      </c>
      <c r="H69" s="96">
        <f>+'Tab. 6A -Drogi'!K540+'Tab. 6C - Ochrona zdrowia'!K20</f>
        <v>2124947</v>
      </c>
      <c r="I69" s="96">
        <f>+'Tab. 6A -Drogi'!L540+'Tab. 6C - Ochrona zdrowia'!L20</f>
        <v>728771</v>
      </c>
      <c r="J69" s="96">
        <f>+'Tab. 6A -Drogi'!M540+'Tab. 6C - Ochrona zdrowia'!M20</f>
        <v>10459478</v>
      </c>
      <c r="K69" s="1201">
        <f>+'Tab. 6A -Drogi'!N540+'Tab. 6C - Ochrona zdrowia'!N20</f>
        <v>2686480</v>
      </c>
      <c r="L69" s="96">
        <f>+'Tab. 6A -Drogi'!O540+'Tab. 6C - Ochrona zdrowia'!O20</f>
        <v>1651313</v>
      </c>
      <c r="M69" s="96">
        <f>+'Tab. 6A -Drogi'!P540+'Tab. 6C - Ochrona zdrowia'!P20</f>
        <v>1628414</v>
      </c>
      <c r="N69" s="73">
        <f>+'Tab. 6A -Drogi'!Q540+'Tab. 6C - Ochrona zdrowia'!Q20</f>
        <v>0</v>
      </c>
      <c r="O69" s="73">
        <f>+'Tab. 6A -Drogi'!R540+'Tab. 6C - Ochrona zdrowia'!R20</f>
        <v>0</v>
      </c>
      <c r="P69" s="73">
        <f>+'Tab. 6A -Drogi'!S540+'Tab. 6C - Ochrona zdrowia'!S20</f>
        <v>0</v>
      </c>
      <c r="Q69" s="73">
        <f>+'Tab. 6A -Drogi'!T540+'Tab. 6C - Ochrona zdrowia'!T20</f>
        <v>0</v>
      </c>
      <c r="R69" s="73">
        <f>+'Tab. 6A -Drogi'!U540+'Tab. 6C - Ochrona zdrowia'!U20</f>
        <v>0</v>
      </c>
      <c r="S69" s="73">
        <f>+'Tab. 6A -Drogi'!V540+'Tab. 6C - Ochrona zdrowia'!V20</f>
        <v>0</v>
      </c>
      <c r="T69" s="73">
        <f>+'Tab. 6A -Drogi'!W540+'Tab. 6C - Ochrona zdrowia'!W20</f>
        <v>0</v>
      </c>
      <c r="U69" s="97">
        <f t="shared" si="43"/>
        <v>13739205</v>
      </c>
      <c r="V69" s="29">
        <f>SUM(M69:T69)</f>
        <v>1628414</v>
      </c>
      <c r="W69" s="330"/>
      <c r="X69" s="1914">
        <f t="shared" si="35"/>
        <v>13739205</v>
      </c>
      <c r="Y69" s="1915">
        <f t="shared" si="34"/>
        <v>0</v>
      </c>
    </row>
    <row r="70" spans="1:25" s="2610" customFormat="1" ht="15.75" customHeight="1">
      <c r="A70" s="2611" t="s">
        <v>25</v>
      </c>
      <c r="B70" s="2612">
        <f>+'Tab. 6A -Drogi'!E539+'Tab. 6C - Ochrona zdrowia'!E18</f>
        <v>0</v>
      </c>
      <c r="C70" s="2612">
        <f>+'Tab. 6A -Drogi'!F539+'Tab. 6C - Ochrona zdrowia'!F18</f>
        <v>0</v>
      </c>
      <c r="D70" s="2612">
        <f>+'Tab. 6A -Drogi'!G539+'Tab. 6C - Ochrona zdrowia'!G18</f>
        <v>0</v>
      </c>
      <c r="E70" s="2612">
        <f>+'Tab. 6A -Drogi'!H539+'Tab. 6C - Ochrona zdrowia'!H18</f>
        <v>0</v>
      </c>
      <c r="F70" s="2612">
        <f>+'Tab. 6A -Drogi'!I539+'Tab. 6C - Ochrona zdrowia'!I18</f>
        <v>0</v>
      </c>
      <c r="G70" s="2613">
        <f>+'Tab. 6A -Drogi'!J539+'Tab. 6C - Ochrona zdrowia'!J18</f>
        <v>8065000</v>
      </c>
      <c r="H70" s="2613">
        <f>+'Tab. 6A -Drogi'!K539+'Tab. 6C - Ochrona zdrowia'!K18</f>
        <v>1854955</v>
      </c>
      <c r="I70" s="2613">
        <f>+'Tab. 6A -Drogi'!L539+'Tab. 6C - Ochrona zdrowia'!L18</f>
        <v>3882193</v>
      </c>
      <c r="J70" s="2613">
        <f>+'Tab. 6A -Drogi'!M539+'Tab. 6C - Ochrona zdrowia'!M18</f>
        <v>23900058</v>
      </c>
      <c r="K70" s="2614">
        <f>+'Tab. 6A -Drogi'!N539+'Tab. 6C - Ochrona zdrowia'!N18</f>
        <v>10097910</v>
      </c>
      <c r="L70" s="2613">
        <f>+'Tab. 6A -Drogi'!O539+'Tab. 6C - Ochrona zdrowia'!O18</f>
        <v>22830487</v>
      </c>
      <c r="M70" s="2613">
        <f>+'Tab. 6A -Drogi'!P539+'Tab. 6C - Ochrona zdrowia'!P18</f>
        <v>6769070</v>
      </c>
      <c r="N70" s="2612">
        <f>+'Tab. 6A -Drogi'!Q539+'Tab. 6C - Ochrona zdrowia'!Q18</f>
        <v>0</v>
      </c>
      <c r="O70" s="2612">
        <f>+'Tab. 6A -Drogi'!R539+'Tab. 6C - Ochrona zdrowia'!R18</f>
        <v>0</v>
      </c>
      <c r="P70" s="2612">
        <f>+'Tab. 6A -Drogi'!S539+'Tab. 6C - Ochrona zdrowia'!S18</f>
        <v>0</v>
      </c>
      <c r="Q70" s="2612">
        <f>+'Tab. 6A -Drogi'!T539+'Tab. 6C - Ochrona zdrowia'!T18</f>
        <v>0</v>
      </c>
      <c r="R70" s="2612">
        <f>+'Tab. 6A -Drogi'!U539+'Tab. 6C - Ochrona zdrowia'!U18</f>
        <v>0</v>
      </c>
      <c r="S70" s="2612">
        <f>+'Tab. 6A -Drogi'!V539+'Tab. 6C - Ochrona zdrowia'!V18</f>
        <v>0</v>
      </c>
      <c r="T70" s="2612">
        <f>+'Tab. 6A -Drogi'!W539+'Tab. 6C - Ochrona zdrowia'!W18</f>
        <v>0</v>
      </c>
      <c r="U70" s="2615">
        <f t="shared" si="43"/>
        <v>53499615</v>
      </c>
      <c r="V70" s="2616">
        <f>SUM(M70:T70)</f>
        <v>6769070</v>
      </c>
      <c r="W70" s="843"/>
      <c r="X70" s="2608">
        <f t="shared" si="35"/>
        <v>53499615</v>
      </c>
      <c r="Y70" s="2609">
        <f t="shared" si="34"/>
        <v>0</v>
      </c>
    </row>
    <row r="71" spans="1:25" s="2626" customFormat="1" ht="14.25" hidden="1" customHeight="1">
      <c r="A71" s="2617" t="s">
        <v>47</v>
      </c>
      <c r="B71" s="2618">
        <f>+'Tab. 6D - Oświata'!E78</f>
        <v>0</v>
      </c>
      <c r="C71" s="2618">
        <f>+'Tab. 6D - Oświata'!F78</f>
        <v>0</v>
      </c>
      <c r="D71" s="2618">
        <f>+'Tab. 6D - Oświata'!G78</f>
        <v>0</v>
      </c>
      <c r="E71" s="2618">
        <f>+'Tab. 6D - Oświata'!H78</f>
        <v>0</v>
      </c>
      <c r="F71" s="2618">
        <f>+'Tab. 6D - Oświata'!I78</f>
        <v>0</v>
      </c>
      <c r="G71" s="2618">
        <f>+'Tab. 6D - Oświata'!J78</f>
        <v>0</v>
      </c>
      <c r="H71" s="2618">
        <f>+'Tab. 6D - Oświata'!K78</f>
        <v>0</v>
      </c>
      <c r="I71" s="2619">
        <f>+'Tab. 6D - Oświata'!L78</f>
        <v>0</v>
      </c>
      <c r="J71" s="2619">
        <v>0</v>
      </c>
      <c r="K71" s="2620">
        <f>+'Tab. 6D - Oświata'!N78</f>
        <v>0</v>
      </c>
      <c r="L71" s="2619">
        <f>+'Tab. 6D - Oświata'!O78</f>
        <v>0</v>
      </c>
      <c r="M71" s="2619">
        <f>+'Tab. 6C - Ochrona zdrowia'!P19</f>
        <v>0</v>
      </c>
      <c r="N71" s="2618">
        <f>+'Tab. 6C - Ochrona zdrowia'!Q19</f>
        <v>0</v>
      </c>
      <c r="O71" s="2618">
        <f>+'Tab. 6D - Oświata'!R78</f>
        <v>0</v>
      </c>
      <c r="P71" s="2618">
        <f>+'Tab. 6D - Oświata'!S78</f>
        <v>0</v>
      </c>
      <c r="Q71" s="2618">
        <f>+'Tab. 6D - Oświata'!T78</f>
        <v>0</v>
      </c>
      <c r="R71" s="2618">
        <f>+'Tab. 6D - Oświata'!U78</f>
        <v>0</v>
      </c>
      <c r="S71" s="2618">
        <f>+'Tab. 6D - Oświata'!V78</f>
        <v>0</v>
      </c>
      <c r="T71" s="2618">
        <f>+'Tab. 6D - Oświata'!W78</f>
        <v>0</v>
      </c>
      <c r="U71" s="2621">
        <f>J71+L71+M71+N71+O71+P71+Q71+R71+S71+T71</f>
        <v>0</v>
      </c>
      <c r="V71" s="2622">
        <v>0</v>
      </c>
      <c r="W71" s="2623"/>
      <c r="X71" s="2624">
        <f t="shared" si="35"/>
        <v>0</v>
      </c>
      <c r="Y71" s="2625">
        <f t="shared" si="34"/>
        <v>0</v>
      </c>
    </row>
    <row r="72" spans="1:25" s="38" customFormat="1" ht="15.75" hidden="1" customHeight="1">
      <c r="A72" s="53" t="s">
        <v>26</v>
      </c>
      <c r="B72" s="73">
        <f>+'Tab. 6G - Roln i ochrona środ.'!E187</f>
        <v>0</v>
      </c>
      <c r="C72" s="73">
        <f>+'Tab. 6G - Roln i ochrona środ.'!F187</f>
        <v>0</v>
      </c>
      <c r="D72" s="73">
        <f>+'Tab. 6G - Roln i ochrona środ.'!G187</f>
        <v>0</v>
      </c>
      <c r="E72" s="73">
        <f>+'Tab. 6G - Roln i ochrona środ.'!H187</f>
        <v>0</v>
      </c>
      <c r="F72" s="73">
        <f>+'Tab. 6G - Roln i ochrona środ.'!I187</f>
        <v>0</v>
      </c>
      <c r="G72" s="73">
        <f>+'Tab. 6G - Roln i ochrona środ.'!J187</f>
        <v>0</v>
      </c>
      <c r="H72" s="96">
        <f>+'Tab. 6G - Roln i ochrona środ.'!K187</f>
        <v>0</v>
      </c>
      <c r="I72" s="73">
        <f>+'Tab. 6G - Roln i ochrona środ.'!L187</f>
        <v>0</v>
      </c>
      <c r="J72" s="96">
        <f>+'Tab. 6G - Roln i ochrona środ.'!M187+'Tab. 6E - Administracja'!M244</f>
        <v>0</v>
      </c>
      <c r="K72" s="96">
        <f>+'Tab. 6G - Roln i ochrona środ.'!N187+'Tab. 6E - Administracja'!N244</f>
        <v>200000</v>
      </c>
      <c r="L72" s="96">
        <f>+'Tab. 6G - Roln i ochrona środ.'!O187+'Tab. 6E - Administracja'!O244</f>
        <v>0</v>
      </c>
      <c r="M72" s="96">
        <f>+'Tab. 6E - Administracja'!P228</f>
        <v>0</v>
      </c>
      <c r="N72" s="73">
        <f>+'Tab. 6E - Administracja'!Q228</f>
        <v>0</v>
      </c>
      <c r="O72" s="73">
        <f>+'Tab. 6E - Administracja'!R228</f>
        <v>0</v>
      </c>
      <c r="P72" s="73">
        <f>+'Tab. 6E - Administracja'!S228</f>
        <v>0</v>
      </c>
      <c r="Q72" s="73">
        <f>+'Tab. 6E - Administracja'!T228</f>
        <v>0</v>
      </c>
      <c r="R72" s="73">
        <f>+'Tab. 6E - Administracja'!U228</f>
        <v>0</v>
      </c>
      <c r="S72" s="73">
        <f>+'Tab. 6E - Administracja'!V228</f>
        <v>0</v>
      </c>
      <c r="T72" s="73">
        <f>+'Tab. 6E - Administracja'!W228</f>
        <v>0</v>
      </c>
      <c r="U72" s="97">
        <f t="shared" si="43"/>
        <v>0</v>
      </c>
      <c r="V72" s="29">
        <f>SUM(M72:T72)</f>
        <v>0</v>
      </c>
      <c r="W72" s="330"/>
      <c r="X72" s="1914">
        <f t="shared" si="35"/>
        <v>0</v>
      </c>
      <c r="Y72" s="1915">
        <f t="shared" si="34"/>
        <v>0</v>
      </c>
    </row>
    <row r="73" spans="1:25" s="2610" customFormat="1" ht="18" customHeight="1">
      <c r="A73" s="2600" t="s">
        <v>30</v>
      </c>
      <c r="B73" s="2601">
        <f t="shared" ref="B73:T73" si="44">SUM(B74:B74)</f>
        <v>0</v>
      </c>
      <c r="C73" s="2601">
        <f t="shared" si="44"/>
        <v>0</v>
      </c>
      <c r="D73" s="2601">
        <f t="shared" si="44"/>
        <v>0</v>
      </c>
      <c r="E73" s="2601">
        <f t="shared" si="44"/>
        <v>0</v>
      </c>
      <c r="F73" s="2602">
        <f t="shared" si="44"/>
        <v>15578755</v>
      </c>
      <c r="G73" s="2602">
        <f t="shared" si="44"/>
        <v>8230447</v>
      </c>
      <c r="H73" s="2602">
        <f t="shared" si="44"/>
        <v>5960146</v>
      </c>
      <c r="I73" s="2602">
        <f t="shared" si="44"/>
        <v>6139130</v>
      </c>
      <c r="J73" s="2602">
        <f t="shared" si="44"/>
        <v>60250454</v>
      </c>
      <c r="K73" s="2603">
        <f>+K74</f>
        <v>27208135</v>
      </c>
      <c r="L73" s="2602">
        <f>+L74</f>
        <v>91890785</v>
      </c>
      <c r="M73" s="2602">
        <f t="shared" si="44"/>
        <v>23981743</v>
      </c>
      <c r="N73" s="2604">
        <f t="shared" si="44"/>
        <v>0</v>
      </c>
      <c r="O73" s="2604">
        <f t="shared" si="44"/>
        <v>0</v>
      </c>
      <c r="P73" s="2604">
        <f t="shared" si="44"/>
        <v>0</v>
      </c>
      <c r="Q73" s="2604">
        <f t="shared" si="44"/>
        <v>0</v>
      </c>
      <c r="R73" s="2604">
        <f t="shared" si="44"/>
        <v>0</v>
      </c>
      <c r="S73" s="2604">
        <f t="shared" si="44"/>
        <v>0</v>
      </c>
      <c r="T73" s="2604">
        <f t="shared" si="44"/>
        <v>0</v>
      </c>
      <c r="U73" s="2605">
        <f t="shared" ref="U73" si="45">+U74</f>
        <v>176122982</v>
      </c>
      <c r="V73" s="2606">
        <v>0</v>
      </c>
      <c r="W73" s="2607"/>
      <c r="X73" s="2608">
        <f t="shared" si="35"/>
        <v>176122982</v>
      </c>
      <c r="Y73" s="2609">
        <f t="shared" si="34"/>
        <v>0</v>
      </c>
    </row>
    <row r="74" spans="1:25" s="38" customFormat="1" ht="16.5" customHeight="1">
      <c r="A74" s="53" t="s">
        <v>48</v>
      </c>
      <c r="B74" s="96">
        <f>+'Tab. 6D - Oświata'!E82+'Tab. 6F - Kultura'!E16+'Tab. 6C - Ochrona zdrowia'!E22</f>
        <v>0</v>
      </c>
      <c r="C74" s="96">
        <f>+'Tab. 6D - Oświata'!F82+'Tab. 6F - Kultura'!F16+'Tab. 6C - Ochrona zdrowia'!F22</f>
        <v>0</v>
      </c>
      <c r="D74" s="96">
        <f>+'Tab. 6D - Oświata'!G82+'Tab. 6F - Kultura'!G16+'Tab. 6C - Ochrona zdrowia'!G22</f>
        <v>0</v>
      </c>
      <c r="E74" s="96">
        <f>+'Tab. 6D - Oświata'!H82+'Tab. 6F - Kultura'!H16+'Tab. 6C - Ochrona zdrowia'!H22</f>
        <v>0</v>
      </c>
      <c r="F74" s="96">
        <f>+'Tab. 6D - Oświata'!I82+'Tab. 6F - Kultura'!I16+'Tab. 6C - Ochrona zdrowia'!I22</f>
        <v>15578755</v>
      </c>
      <c r="G74" s="96">
        <f>+'Tab. 6D - Oświata'!J82+'Tab. 6F - Kultura'!J16+'Tab. 6C - Ochrona zdrowia'!J22</f>
        <v>8230447</v>
      </c>
      <c r="H74" s="96">
        <f>+'Tab. 6D - Oświata'!K82+'Tab. 6F - Kultura'!K16+'Tab. 6C - Ochrona zdrowia'!K22</f>
        <v>5960146</v>
      </c>
      <c r="I74" s="96">
        <f>+'Tab. 6D - Oświata'!L82+'Tab. 6F - Kultura'!L16+'Tab. 6C - Ochrona zdrowia'!L22</f>
        <v>6139130</v>
      </c>
      <c r="J74" s="96">
        <f>+'Tab. 6D - Oświata'!M82+'Tab. 6F - Kultura'!M16+'Tab. 6C - Ochrona zdrowia'!M22</f>
        <v>60250454</v>
      </c>
      <c r="K74" s="1201">
        <f>+'Tab. 6D - Oświata'!N82+'Tab. 6F - Kultura'!N16+'Tab. 6C - Ochrona zdrowia'!N22</f>
        <v>27208135</v>
      </c>
      <c r="L74" s="96">
        <f>+'Tab. 6D - Oświata'!O82+'Tab. 6F - Kultura'!O16+'Tab. 6C - Ochrona zdrowia'!O22</f>
        <v>91890785</v>
      </c>
      <c r="M74" s="96">
        <f>+'Tab. 6D - Oświata'!P82+'Tab. 6F - Kultura'!P16+'Tab. 6C - Ochrona zdrowia'!P22</f>
        <v>23981743</v>
      </c>
      <c r="N74" s="73">
        <f>+'Tab. 6D - Oświata'!Q82+'Tab. 6F - Kultura'!Q16+'Tab. 6C - Ochrona zdrowia'!Q22</f>
        <v>0</v>
      </c>
      <c r="O74" s="73">
        <f>+'Tab. 6D - Oświata'!R82+'Tab. 6F - Kultura'!R16+'Tab. 6C - Ochrona zdrowia'!R22</f>
        <v>0</v>
      </c>
      <c r="P74" s="73">
        <f>+'Tab. 6D - Oświata'!S82+'Tab. 6F - Kultura'!S16+'Tab. 6C - Ochrona zdrowia'!S22</f>
        <v>0</v>
      </c>
      <c r="Q74" s="73">
        <f>+'Tab. 6D - Oświata'!T82+'Tab. 6F - Kultura'!T16+'Tab. 6C - Ochrona zdrowia'!T22</f>
        <v>0</v>
      </c>
      <c r="R74" s="73">
        <f>+'Tab. 6D - Oświata'!U82+'Tab. 6F - Kultura'!U16+'Tab. 6C - Ochrona zdrowia'!U22</f>
        <v>0</v>
      </c>
      <c r="S74" s="73">
        <f>+'Tab. 6D - Oświata'!V82+'Tab. 6F - Kultura'!V16+'Tab. 6C - Ochrona zdrowia'!V22</f>
        <v>0</v>
      </c>
      <c r="T74" s="73">
        <f>+'Tab. 6D - Oświata'!W82+'Tab. 6F - Kultura'!W16+'Tab. 6C - Ochrona zdrowia'!W22</f>
        <v>0</v>
      </c>
      <c r="U74" s="97">
        <f>J74+L74+M74+N74+O74+P74+Q74+R74+S74+T74</f>
        <v>176122982</v>
      </c>
      <c r="V74" s="945">
        <v>0</v>
      </c>
      <c r="W74" s="30"/>
      <c r="X74" s="1914">
        <f t="shared" si="35"/>
        <v>176122982</v>
      </c>
      <c r="Y74" s="1915">
        <f t="shared" si="34"/>
        <v>0</v>
      </c>
    </row>
    <row r="75" spans="1:25" s="45" customFormat="1" ht="18" customHeight="1">
      <c r="A75" s="39" t="s">
        <v>34</v>
      </c>
      <c r="B75" s="100">
        <f t="shared" ref="B75:U75" si="46">+B76+B82</f>
        <v>279786</v>
      </c>
      <c r="C75" s="101">
        <f t="shared" si="46"/>
        <v>0</v>
      </c>
      <c r="D75" s="101">
        <f t="shared" si="46"/>
        <v>0</v>
      </c>
      <c r="E75" s="101">
        <f t="shared" si="46"/>
        <v>279786</v>
      </c>
      <c r="F75" s="102">
        <f t="shared" si="46"/>
        <v>18175186</v>
      </c>
      <c r="G75" s="102">
        <f t="shared" si="46"/>
        <v>18632875</v>
      </c>
      <c r="H75" s="102">
        <f t="shared" si="46"/>
        <v>13069251</v>
      </c>
      <c r="I75" s="102">
        <f>+I76+I82</f>
        <v>11503436</v>
      </c>
      <c r="J75" s="102">
        <f>+J76+J82</f>
        <v>101214217</v>
      </c>
      <c r="K75" s="1202">
        <f>+K76+K82</f>
        <v>42619842</v>
      </c>
      <c r="L75" s="102">
        <f t="shared" si="46"/>
        <v>135397328</v>
      </c>
      <c r="M75" s="102">
        <f t="shared" si="46"/>
        <v>54639703</v>
      </c>
      <c r="N75" s="102">
        <f t="shared" ref="N75:O75" si="47">+N76+N82</f>
        <v>12000000</v>
      </c>
      <c r="O75" s="102">
        <f t="shared" si="47"/>
        <v>12000000</v>
      </c>
      <c r="P75" s="102">
        <f t="shared" ref="P75:Q75" si="48">+P76+P82</f>
        <v>12000000</v>
      </c>
      <c r="Q75" s="102">
        <f t="shared" si="48"/>
        <v>12000000</v>
      </c>
      <c r="R75" s="103">
        <f t="shared" ref="R75:T75" si="49">+R76+R82</f>
        <v>0</v>
      </c>
      <c r="S75" s="103">
        <f t="shared" si="49"/>
        <v>0</v>
      </c>
      <c r="T75" s="103">
        <f t="shared" si="49"/>
        <v>0</v>
      </c>
      <c r="U75" s="104">
        <f t="shared" si="46"/>
        <v>339251248</v>
      </c>
      <c r="V75" s="2925" t="s">
        <v>35</v>
      </c>
      <c r="W75" s="43"/>
    </row>
    <row r="76" spans="1:25" s="38" customFormat="1" ht="15" customHeight="1">
      <c r="A76" s="61" t="s">
        <v>36</v>
      </c>
      <c r="B76" s="69">
        <f t="shared" ref="B76:M76" si="50">SUM(B77:B81)</f>
        <v>279786</v>
      </c>
      <c r="C76" s="69">
        <f t="shared" si="50"/>
        <v>0</v>
      </c>
      <c r="D76" s="69">
        <f t="shared" si="50"/>
        <v>0</v>
      </c>
      <c r="E76" s="69">
        <f t="shared" si="50"/>
        <v>279786</v>
      </c>
      <c r="F76" s="69">
        <f t="shared" si="50"/>
        <v>2596431</v>
      </c>
      <c r="G76" s="69">
        <f t="shared" si="50"/>
        <v>10430330</v>
      </c>
      <c r="H76" s="69">
        <f t="shared" si="50"/>
        <v>5272066</v>
      </c>
      <c r="I76" s="69">
        <f>SUM(I77:I81)</f>
        <v>6523228</v>
      </c>
      <c r="J76" s="69">
        <f>SUM(J77:J81)</f>
        <v>41140460</v>
      </c>
      <c r="K76" s="1192">
        <f>SUM(K77:K81)</f>
        <v>16238619</v>
      </c>
      <c r="L76" s="69">
        <f t="shared" si="50"/>
        <v>47032328</v>
      </c>
      <c r="M76" s="69">
        <f t="shared" si="50"/>
        <v>26955478</v>
      </c>
      <c r="N76" s="69">
        <f t="shared" ref="N76:O76" si="51">SUM(N77:N81)</f>
        <v>12000000</v>
      </c>
      <c r="O76" s="69">
        <f t="shared" si="51"/>
        <v>12000000</v>
      </c>
      <c r="P76" s="69">
        <f t="shared" ref="P76:Q76" si="52">SUM(P77:P81)</f>
        <v>12000000</v>
      </c>
      <c r="Q76" s="69">
        <f t="shared" si="52"/>
        <v>12000000</v>
      </c>
      <c r="R76" s="98">
        <f t="shared" ref="R76:T76" si="53">SUM(R77:R81)</f>
        <v>0</v>
      </c>
      <c r="S76" s="106">
        <f t="shared" si="53"/>
        <v>0</v>
      </c>
      <c r="T76" s="106">
        <f t="shared" si="53"/>
        <v>0</v>
      </c>
      <c r="U76" s="99">
        <f>SUM(U77:U81)</f>
        <v>163128266</v>
      </c>
      <c r="V76" s="2923"/>
      <c r="W76" s="30" t="s">
        <v>340</v>
      </c>
    </row>
    <row r="77" spans="1:25" s="38" customFormat="1" ht="15" customHeight="1">
      <c r="A77" s="53" t="s">
        <v>25</v>
      </c>
      <c r="B77" s="105">
        <f>+'Tab. 6A -Drogi'!E544+'Tab. 6C - Ochrona zdrowia'!E25</f>
        <v>0</v>
      </c>
      <c r="C77" s="105">
        <f>+'Tab. 6A -Drogi'!F544+'Tab. 6C - Ochrona zdrowia'!F25</f>
        <v>0</v>
      </c>
      <c r="D77" s="105">
        <f>+'Tab. 6A -Drogi'!G544+'Tab. 6C - Ochrona zdrowia'!G25</f>
        <v>0</v>
      </c>
      <c r="E77" s="105">
        <f>+'Tab. 6A -Drogi'!H544+'Tab. 6C - Ochrona zdrowia'!H25</f>
        <v>0</v>
      </c>
      <c r="F77" s="105">
        <f>+'Tab. 6A -Drogi'!I544+'Tab. 6C - Ochrona zdrowia'!I25</f>
        <v>0</v>
      </c>
      <c r="G77" s="71">
        <f>+'Tab. 6A -Drogi'!J544+'Tab. 6C - Ochrona zdrowia'!J25</f>
        <v>8065000</v>
      </c>
      <c r="H77" s="71">
        <f>+'Tab. 6A -Drogi'!K544+'Tab. 6C - Ochrona zdrowia'!K25</f>
        <v>1854955</v>
      </c>
      <c r="I77" s="71">
        <f>+'Tab. 6A -Drogi'!L544+'Tab. 6C - Ochrona zdrowia'!L25</f>
        <v>3882193</v>
      </c>
      <c r="J77" s="71">
        <f>+'Tab. 6C - Ochrona zdrowia'!M25</f>
        <v>23900058</v>
      </c>
      <c r="K77" s="1188">
        <f>+'Tab. 6C - Ochrona zdrowia'!N25</f>
        <v>10097910</v>
      </c>
      <c r="L77" s="71">
        <f>+'Tab. 6C - Ochrona zdrowia'!O25+'Tab. 6A -Drogi'!O545</f>
        <v>22830487</v>
      </c>
      <c r="M77" s="71">
        <f>+'Tab. 6C - Ochrona zdrowia'!P25+'Tab. 6A -Drogi'!P545</f>
        <v>6769070</v>
      </c>
      <c r="N77" s="105">
        <f>+'Tab. 6C - Ochrona zdrowia'!Q25+'Tab. 6A -Drogi'!Q545</f>
        <v>0</v>
      </c>
      <c r="O77" s="105">
        <f>+'Tab. 6C - Ochrona zdrowia'!R25+'Tab. 6A -Drogi'!R545</f>
        <v>0</v>
      </c>
      <c r="P77" s="105">
        <f>+'Tab. 6C - Ochrona zdrowia'!S25+'Tab. 6A -Drogi'!S545</f>
        <v>0</v>
      </c>
      <c r="Q77" s="105">
        <f>+'Tab. 6C - Ochrona zdrowia'!T25+'Tab. 6A -Drogi'!T545</f>
        <v>0</v>
      </c>
      <c r="R77" s="105"/>
      <c r="S77" s="1169"/>
      <c r="T77" s="1169"/>
      <c r="U77" s="1208">
        <f>J77+L77+M77+N77+O77+P77+Q77+R77+S77+T77</f>
        <v>53499615</v>
      </c>
      <c r="V77" s="2923"/>
      <c r="W77" s="30">
        <f>U77-U70</f>
        <v>0</v>
      </c>
    </row>
    <row r="78" spans="1:25" s="38" customFormat="1" ht="15" customHeight="1">
      <c r="A78" s="53" t="s">
        <v>27</v>
      </c>
      <c r="B78" s="71">
        <f>+'Tab. 6A -Drogi'!E546+'Tab. 6C - Ochrona zdrowia'!E26</f>
        <v>279786</v>
      </c>
      <c r="C78" s="71">
        <f>+'Tab. 6A -Drogi'!F546+'Tab. 6C - Ochrona zdrowia'!F26</f>
        <v>0</v>
      </c>
      <c r="D78" s="71">
        <f>+'Tab. 6A -Drogi'!G546+'Tab. 6C - Ochrona zdrowia'!G26</f>
        <v>0</v>
      </c>
      <c r="E78" s="71">
        <f>+'Tab. 6A -Drogi'!H546+'Tab. 6C - Ochrona zdrowia'!H26</f>
        <v>279786</v>
      </c>
      <c r="F78" s="71">
        <f>+'Tab. 6A -Drogi'!I546+'Tab. 6C - Ochrona zdrowia'!I26</f>
        <v>2494494</v>
      </c>
      <c r="G78" s="71">
        <f>+'Tab. 6A -Drogi'!J546+'Tab. 6C - Ochrona zdrowia'!J26</f>
        <v>2145000</v>
      </c>
      <c r="H78" s="71">
        <f>+'Tab. 6A -Drogi'!K546+'Tab. 6C - Ochrona zdrowia'!K26</f>
        <v>2124947</v>
      </c>
      <c r="I78" s="71">
        <f>+'Tab. 6A -Drogi'!L546+'Tab. 6C - Ochrona zdrowia'!L26</f>
        <v>728771</v>
      </c>
      <c r="J78" s="71">
        <f>+'Tab. 6A -Drogi'!M546+'Tab. 6C - Ochrona zdrowia'!M26</f>
        <v>10459478</v>
      </c>
      <c r="K78" s="1188">
        <f>+'Tab. 6A -Drogi'!N546+'Tab. 6C - Ochrona zdrowia'!N26</f>
        <v>2686480</v>
      </c>
      <c r="L78" s="71">
        <f>+'Tab. 6A -Drogi'!O546+'Tab. 6C - Ochrona zdrowia'!O26</f>
        <v>1651313</v>
      </c>
      <c r="M78" s="71">
        <f>+'Tab. 6A -Drogi'!P546+'Tab. 6C - Ochrona zdrowia'!P26</f>
        <v>1628414</v>
      </c>
      <c r="N78" s="105">
        <f>+'Tab. 6A -Drogi'!Q546+'Tab. 6C - Ochrona zdrowia'!Q26</f>
        <v>0</v>
      </c>
      <c r="O78" s="105">
        <f>+'Tab. 6A -Drogi'!R546+'Tab. 6C - Ochrona zdrowia'!R26</f>
        <v>0</v>
      </c>
      <c r="P78" s="105">
        <f>+'Tab. 6A -Drogi'!S546+'Tab. 6C - Ochrona zdrowia'!S26</f>
        <v>0</v>
      </c>
      <c r="Q78" s="105">
        <f>+'Tab. 6A -Drogi'!T546+'Tab. 6C - Ochrona zdrowia'!T26</f>
        <v>0</v>
      </c>
      <c r="R78" s="105"/>
      <c r="S78" s="1169"/>
      <c r="T78" s="1169"/>
      <c r="U78" s="1208">
        <f>J78+L78+M78+N78+O78+P78+Q78+R78+S78+T78</f>
        <v>13739205</v>
      </c>
      <c r="V78" s="2923"/>
      <c r="W78" s="30">
        <f>U78-U69</f>
        <v>0</v>
      </c>
    </row>
    <row r="79" spans="1:25" s="38" customFormat="1" ht="15" hidden="1" customHeight="1">
      <c r="A79" s="53" t="s">
        <v>28</v>
      </c>
      <c r="B79" s="105">
        <f>+'Tab. 6A -Drogi'!E547+'Tab. 6G - Roln i ochrona środ.'!E194</f>
        <v>0</v>
      </c>
      <c r="C79" s="71">
        <f>+'Tab. 6A -Drogi'!F547+'Tab. 6G - Roln i ochrona środ.'!F194</f>
        <v>0</v>
      </c>
      <c r="D79" s="71">
        <f>+'Tab. 6A -Drogi'!G547+'Tab. 6G - Roln i ochrona środ.'!G194</f>
        <v>0</v>
      </c>
      <c r="E79" s="71">
        <f>+'Tab. 6A -Drogi'!H547+'Tab. 6G - Roln i ochrona środ.'!H194</f>
        <v>0</v>
      </c>
      <c r="F79" s="105">
        <f>+'Tab. 6A -Drogi'!I547+'Tab. 6G - Roln i ochrona środ.'!I194</f>
        <v>0</v>
      </c>
      <c r="G79" s="105">
        <f>+'Tab. 6A -Drogi'!J547+'Tab. 6G - Roln i ochrona środ.'!J194</f>
        <v>0</v>
      </c>
      <c r="H79" s="71">
        <f>+'Tab. 6A -Drogi'!K547+'Tab. 6G - Roln i ochrona środ.'!K194</f>
        <v>0</v>
      </c>
      <c r="I79" s="71">
        <f>+'Tab. 6A -Drogi'!L547+'Tab. 6G - Roln i ochrona środ.'!L194</f>
        <v>0</v>
      </c>
      <c r="J79" s="71">
        <f>+'Tab. 6A -Drogi'!M547+'Tab. 6G - Roln i ochrona środ.'!M194</f>
        <v>0</v>
      </c>
      <c r="K79" s="1188">
        <f>+'Tab. 6A -Drogi'!N547+'Tab. 6G - Roln i ochrona środ.'!N194+'Tab. 6H - Kultura fiz. i turyst'!N131</f>
        <v>0</v>
      </c>
      <c r="L79" s="71">
        <f>+'Tab. 6A -Drogi'!O547+'Tab. 6G - Roln i ochrona środ.'!O194+'Tab. 6H - Kultura fiz. i turyst'!O131</f>
        <v>0</v>
      </c>
      <c r="M79" s="71">
        <f>+'Tab. 6A -Drogi'!P547+'Tab. 6G - Roln i ochrona środ.'!P194+'Tab. 6H - Kultura fiz. i turyst'!P131</f>
        <v>0</v>
      </c>
      <c r="N79" s="105">
        <f>+'Tab. 6A -Drogi'!Q547+'Tab. 6G - Roln i ochrona środ.'!Q194+'Tab. 6H - Kultura fiz. i turyst'!Q131</f>
        <v>0</v>
      </c>
      <c r="O79" s="105">
        <f>+'Tab. 6A -Drogi'!R547+'Tab. 6G - Roln i ochrona środ.'!R194+'Tab. 6H - Kultura fiz. i turyst'!R131</f>
        <v>0</v>
      </c>
      <c r="P79" s="105">
        <f>+'Tab. 6A -Drogi'!S547+'Tab. 6G - Roln i ochrona środ.'!S194+'Tab. 6H - Kultura fiz. i turyst'!S131</f>
        <v>0</v>
      </c>
      <c r="Q79" s="105">
        <f>+'Tab. 6A -Drogi'!T547+'Tab. 6G - Roln i ochrona środ.'!T194+'Tab. 6H - Kultura fiz. i turyst'!T131</f>
        <v>0</v>
      </c>
      <c r="R79" s="105"/>
      <c r="S79" s="1169"/>
      <c r="T79" s="1169"/>
      <c r="U79" s="1208">
        <f>J79+L79+M79+N79+O79+P79+Q79+R79+S79+T79</f>
        <v>0</v>
      </c>
      <c r="V79" s="2923"/>
      <c r="W79" s="30">
        <f>U79-U66</f>
        <v>0</v>
      </c>
    </row>
    <row r="80" spans="1:25" s="38" customFormat="1" ht="27" customHeight="1">
      <c r="A80" s="50" t="s">
        <v>300</v>
      </c>
      <c r="B80" s="54">
        <f>+'Tab. 6F - Kultura'!E19+'Tab. 6D - Oświata'!E86</f>
        <v>0</v>
      </c>
      <c r="C80" s="51">
        <f>+'Tab. 6F - Kultura'!F19+'Tab. 6D - Oświata'!F86</f>
        <v>0</v>
      </c>
      <c r="D80" s="51">
        <f>+'Tab. 6F - Kultura'!G19+'Tab. 6D - Oświata'!G86</f>
        <v>0</v>
      </c>
      <c r="E80" s="51">
        <f>+'Tab. 6F - Kultura'!H19+'Tab. 6D - Oświata'!H86</f>
        <v>0</v>
      </c>
      <c r="F80" s="51">
        <f>+'Tab. 6F - Kultura'!I19+'Tab. 6D - Oświata'!I86</f>
        <v>101937</v>
      </c>
      <c r="G80" s="51">
        <f>+'Tab. 6F - Kultura'!J19+'Tab. 6D - Oświata'!J86</f>
        <v>220330</v>
      </c>
      <c r="H80" s="51">
        <f>+'Tab. 6F - Kultura'!K19+'Tab. 6D - Oświata'!K86</f>
        <v>1292164</v>
      </c>
      <c r="I80" s="51">
        <f>+'Tab. 6F - Kultura'!L19+'Tab. 6D - Oświata'!L86</f>
        <v>1912264</v>
      </c>
      <c r="J80" s="51">
        <f>+'Tab. 6F - Kultura'!M19+'Tab. 6D - Oświata'!M86</f>
        <v>6780924</v>
      </c>
      <c r="K80" s="1188">
        <f>+'Tab. 6F - Kultura'!N19+'Tab. 6D - Oświata'!N86</f>
        <v>3254229</v>
      </c>
      <c r="L80" s="51">
        <f>+'Tab. 6F - Kultura'!O19+'Tab. 6D - Oświata'!O86+'Tab. 6A -Drogi'!O544</f>
        <v>22550528</v>
      </c>
      <c r="M80" s="51">
        <f>+'Tab. 6F - Kultura'!P19+'Tab. 6D - Oświata'!P86+'Tab. 6A -Drogi'!P544</f>
        <v>18557994</v>
      </c>
      <c r="N80" s="51">
        <f>+'Tab. 6F - Kultura'!Q19+'Tab. 6D - Oświata'!Q86+'Tab. 6A -Drogi'!Q544</f>
        <v>12000000</v>
      </c>
      <c r="O80" s="51">
        <f>+'Tab. 6F - Kultura'!R19+'Tab. 6D - Oświata'!R86+'Tab. 6A -Drogi'!R544</f>
        <v>12000000</v>
      </c>
      <c r="P80" s="51">
        <f>+'Tab. 6F - Kultura'!S19+'Tab. 6D - Oświata'!S86+'Tab. 6A -Drogi'!S544</f>
        <v>12000000</v>
      </c>
      <c r="Q80" s="51">
        <f>+'Tab. 6F - Kultura'!T19+'Tab. 6D - Oświata'!T86+'Tab. 6A -Drogi'!T544</f>
        <v>12000000</v>
      </c>
      <c r="R80" s="54"/>
      <c r="S80" s="73"/>
      <c r="T80" s="73"/>
      <c r="U80" s="1208">
        <f>J80+L80+M80+N80+O80+P80+Q80+R80+S80+T80</f>
        <v>95889446</v>
      </c>
      <c r="V80" s="2923"/>
      <c r="W80" s="30"/>
    </row>
    <row r="81" spans="1:24" s="38" customFormat="1" ht="15" hidden="1" customHeight="1">
      <c r="A81" s="53" t="s">
        <v>26</v>
      </c>
      <c r="B81" s="105">
        <f>+'Tab. 6G - Roln i ochrona środ.'!E193</f>
        <v>0</v>
      </c>
      <c r="C81" s="71">
        <f>+'Tab. 6G - Roln i ochrona środ.'!F193</f>
        <v>0</v>
      </c>
      <c r="D81" s="71">
        <f>+'Tab. 6G - Roln i ochrona środ.'!G193</f>
        <v>0</v>
      </c>
      <c r="E81" s="71">
        <f>+'Tab. 6G - Roln i ochrona środ.'!H193</f>
        <v>0</v>
      </c>
      <c r="F81" s="105">
        <f>+'Tab. 6G - Roln i ochrona środ.'!I193</f>
        <v>0</v>
      </c>
      <c r="G81" s="105">
        <f>+'Tab. 6G - Roln i ochrona środ.'!J193</f>
        <v>0</v>
      </c>
      <c r="H81" s="71">
        <f>+'Tab. 6G - Roln i ochrona środ.'!K193</f>
        <v>0</v>
      </c>
      <c r="I81" s="105">
        <f>+'Tab. 6G - Roln i ochrona środ.'!L193</f>
        <v>0</v>
      </c>
      <c r="J81" s="71">
        <f>+'Tab. 6G - Roln i ochrona środ.'!M193+'Tab. 6E - Administracja'!M247</f>
        <v>0</v>
      </c>
      <c r="K81" s="71">
        <f>+'Tab. 6G - Roln i ochrona środ.'!N193+'Tab. 6E - Administracja'!N247</f>
        <v>200000</v>
      </c>
      <c r="L81" s="71">
        <f>+'Tab. 6G - Roln i ochrona środ.'!O193+'Tab. 6E - Administracja'!O247</f>
        <v>0</v>
      </c>
      <c r="M81" s="105">
        <f>+'Tab. 6G - Roln i ochrona środ.'!P193</f>
        <v>0</v>
      </c>
      <c r="N81" s="105">
        <f>+'Tab. 6G - Roln i ochrona środ.'!Q193</f>
        <v>0</v>
      </c>
      <c r="O81" s="105">
        <f>+'Tab. 6G - Roln i ochrona środ.'!R193</f>
        <v>0</v>
      </c>
      <c r="P81" s="105">
        <f>+'Tab. 6G - Roln i ochrona środ.'!S193</f>
        <v>0</v>
      </c>
      <c r="Q81" s="105">
        <f>+'Tab. 6G - Roln i ochrona środ.'!T193</f>
        <v>0</v>
      </c>
      <c r="R81" s="105"/>
      <c r="S81" s="1169"/>
      <c r="T81" s="1169"/>
      <c r="U81" s="1208">
        <f>J81+L81+M81+N81+O81+P81+Q81+R81+S81+T81</f>
        <v>0</v>
      </c>
      <c r="V81" s="2923"/>
      <c r="W81" s="30">
        <f>U81-U72</f>
        <v>0</v>
      </c>
    </row>
    <row r="82" spans="1:24" s="38" customFormat="1" ht="14.25" customHeight="1">
      <c r="A82" s="61" t="s">
        <v>30</v>
      </c>
      <c r="B82" s="98">
        <f t="shared" ref="B82:Q82" si="54">SUM(B83:B83)</f>
        <v>0</v>
      </c>
      <c r="C82" s="74">
        <f t="shared" si="54"/>
        <v>0</v>
      </c>
      <c r="D82" s="74">
        <f t="shared" si="54"/>
        <v>0</v>
      </c>
      <c r="E82" s="74">
        <f t="shared" si="54"/>
        <v>0</v>
      </c>
      <c r="F82" s="74">
        <f t="shared" si="54"/>
        <v>15578755</v>
      </c>
      <c r="G82" s="74">
        <f t="shared" si="54"/>
        <v>8202545</v>
      </c>
      <c r="H82" s="74">
        <f t="shared" si="54"/>
        <v>7797185</v>
      </c>
      <c r="I82" s="74">
        <f t="shared" si="54"/>
        <v>4980208</v>
      </c>
      <c r="J82" s="74">
        <f t="shared" si="54"/>
        <v>60073757</v>
      </c>
      <c r="K82" s="1195">
        <f>+K83</f>
        <v>26381223</v>
      </c>
      <c r="L82" s="74">
        <f>+L83</f>
        <v>88365000</v>
      </c>
      <c r="M82" s="74">
        <f t="shared" si="54"/>
        <v>27684225</v>
      </c>
      <c r="N82" s="106">
        <f t="shared" si="54"/>
        <v>0</v>
      </c>
      <c r="O82" s="106">
        <f t="shared" si="54"/>
        <v>0</v>
      </c>
      <c r="P82" s="106">
        <f t="shared" si="54"/>
        <v>0</v>
      </c>
      <c r="Q82" s="106">
        <f t="shared" si="54"/>
        <v>0</v>
      </c>
      <c r="R82" s="98"/>
      <c r="S82" s="106"/>
      <c r="T82" s="106"/>
      <c r="U82" s="1209">
        <f>+U83</f>
        <v>176122982</v>
      </c>
      <c r="V82" s="2923"/>
      <c r="W82" s="30"/>
      <c r="X82" s="38" t="s">
        <v>49</v>
      </c>
    </row>
    <row r="83" spans="1:24" s="38" customFormat="1" ht="15.75" customHeight="1" thickBot="1">
      <c r="A83" s="78" t="s">
        <v>48</v>
      </c>
      <c r="B83" s="1158">
        <f>+'Tab. 6D - Oświata'!E88+'Tab. 6F - Kultura'!E21+'Tab. 6C - Ochrona zdrowia'!E28</f>
        <v>0</v>
      </c>
      <c r="C83" s="1159">
        <f>+'Tab. 6D - Oświata'!F88+'Tab. 6F - Kultura'!F21+'Tab. 6C - Ochrona zdrowia'!F28</f>
        <v>0</v>
      </c>
      <c r="D83" s="1159">
        <f>+'Tab. 6D - Oświata'!G88+'Tab. 6F - Kultura'!G21+'Tab. 6C - Ochrona zdrowia'!G28</f>
        <v>0</v>
      </c>
      <c r="E83" s="1159">
        <f>+'Tab. 6D - Oświata'!H88+'Tab. 6F - Kultura'!H21+'Tab. 6C - Ochrona zdrowia'!H28</f>
        <v>0</v>
      </c>
      <c r="F83" s="1159">
        <f>+'Tab. 6D - Oświata'!I88+'Tab. 6F - Kultura'!I21+'Tab. 6C - Ochrona zdrowia'!I28</f>
        <v>15578755</v>
      </c>
      <c r="G83" s="1159">
        <f>+'Tab. 6D - Oświata'!J88+'Tab. 6F - Kultura'!J21+'Tab. 6C - Ochrona zdrowia'!J28</f>
        <v>8202545</v>
      </c>
      <c r="H83" s="1159">
        <f>+'Tab. 6D - Oświata'!K88+'Tab. 6F - Kultura'!K21+'Tab. 6C - Ochrona zdrowia'!K28</f>
        <v>7797185</v>
      </c>
      <c r="I83" s="1159">
        <f>+'Tab. 6D - Oświata'!L88+'Tab. 6F - Kultura'!L21+'Tab. 6C - Ochrona zdrowia'!L28</f>
        <v>4980208</v>
      </c>
      <c r="J83" s="1159">
        <f>+'Tab. 6D - Oświata'!M88+'Tab. 6F - Kultura'!M21+'Tab. 6C - Ochrona zdrowia'!M28</f>
        <v>60073757</v>
      </c>
      <c r="K83" s="1203">
        <f>+'Tab. 6D - Oświata'!N88+'Tab. 6F - Kultura'!N21+'Tab. 6C - Ochrona zdrowia'!N28</f>
        <v>26381223</v>
      </c>
      <c r="L83" s="1159">
        <f>+'Tab. 6D - Oświata'!O88+'Tab. 6F - Kultura'!O21+'Tab. 6C - Ochrona zdrowia'!O28</f>
        <v>88365000</v>
      </c>
      <c r="M83" s="1159">
        <f>+'Tab. 6D - Oświata'!P88+'Tab. 6F - Kultura'!P21+'Tab. 6C - Ochrona zdrowia'!P28</f>
        <v>27684225</v>
      </c>
      <c r="N83" s="1158">
        <f>+'Tab. 6D - Oświata'!Q88+'Tab. 6F - Kultura'!Q21+'Tab. 6C - Ochrona zdrowia'!Q28</f>
        <v>0</v>
      </c>
      <c r="O83" s="1158">
        <f>+'Tab. 6D - Oświata'!R88+'Tab. 6F - Kultura'!R21+'Tab. 6C - Ochrona zdrowia'!R28</f>
        <v>0</v>
      </c>
      <c r="P83" s="1158">
        <f>+'Tab. 6D - Oświata'!S88+'Tab. 6F - Kultura'!S21+'Tab. 6C - Ochrona zdrowia'!S28</f>
        <v>0</v>
      </c>
      <c r="Q83" s="1158">
        <f>+'Tab. 6D - Oświata'!T88+'Tab. 6F - Kultura'!T21+'Tab. 6C - Ochrona zdrowia'!T28</f>
        <v>0</v>
      </c>
      <c r="R83" s="1170"/>
      <c r="S83" s="1171"/>
      <c r="T83" s="1171"/>
      <c r="U83" s="1160">
        <f>J83+L83+M83+N83+O83+P83+Q83+R83+S83+T83</f>
        <v>176122982</v>
      </c>
      <c r="V83" s="2926"/>
      <c r="W83" s="30"/>
      <c r="X83" s="52"/>
    </row>
    <row r="84" spans="1:24" s="38" customFormat="1" ht="9.75" customHeight="1" thickBot="1">
      <c r="A84" s="79"/>
      <c r="B84" s="36"/>
      <c r="C84" s="36"/>
      <c r="D84" s="36"/>
      <c r="E84" s="36"/>
      <c r="F84" s="80"/>
      <c r="G84" s="36"/>
      <c r="H84" s="36"/>
      <c r="I84" s="36"/>
      <c r="J84" s="36"/>
      <c r="K84" s="1185"/>
      <c r="L84" s="36"/>
      <c r="M84" s="36"/>
      <c r="N84" s="36"/>
      <c r="O84" s="36"/>
      <c r="P84" s="36"/>
      <c r="Q84" s="36"/>
      <c r="R84" s="88"/>
      <c r="S84" s="80"/>
      <c r="T84" s="80"/>
      <c r="U84" s="37"/>
      <c r="V84" s="37"/>
      <c r="W84" s="30"/>
    </row>
    <row r="85" spans="1:24" s="45" customFormat="1" ht="18" customHeight="1" thickBot="1">
      <c r="A85" s="107" t="s">
        <v>39</v>
      </c>
      <c r="B85" s="108">
        <f t="shared" ref="B85:O85" si="55">+B63-B71-B73-B67</f>
        <v>11141507</v>
      </c>
      <c r="C85" s="109">
        <f t="shared" si="55"/>
        <v>0</v>
      </c>
      <c r="D85" s="109">
        <f t="shared" si="55"/>
        <v>5327000</v>
      </c>
      <c r="E85" s="109">
        <f t="shared" si="55"/>
        <v>5568560.0600000005</v>
      </c>
      <c r="F85" s="108">
        <f t="shared" si="55"/>
        <v>10718054</v>
      </c>
      <c r="G85" s="108">
        <f t="shared" si="55"/>
        <v>39306852</v>
      </c>
      <c r="H85" s="108">
        <f t="shared" si="55"/>
        <v>39731884</v>
      </c>
      <c r="I85" s="108">
        <f t="shared" si="55"/>
        <v>116348673</v>
      </c>
      <c r="J85" s="108">
        <f>+J63-J71-J73-J67</f>
        <v>355939766</v>
      </c>
      <c r="K85" s="1197">
        <f>+K63-K71-K73-K67</f>
        <v>139095766</v>
      </c>
      <c r="L85" s="108">
        <f>+L63-L71-L73-L67</f>
        <v>152646996</v>
      </c>
      <c r="M85" s="108">
        <f>+M63-M71-M73-M67</f>
        <v>148124667.63999999</v>
      </c>
      <c r="N85" s="108">
        <f t="shared" si="55"/>
        <v>141885896</v>
      </c>
      <c r="O85" s="110">
        <f t="shared" si="55"/>
        <v>134398471</v>
      </c>
      <c r="P85" s="110">
        <f t="shared" ref="P85:Q85" si="56">+P63-P71-P73-P67</f>
        <v>112691598</v>
      </c>
      <c r="Q85" s="110">
        <f t="shared" si="56"/>
        <v>84634047</v>
      </c>
      <c r="R85" s="110">
        <f t="shared" ref="R85:T85" si="57">+R63-R71-R73-R67</f>
        <v>1999047</v>
      </c>
      <c r="S85" s="108">
        <f t="shared" si="57"/>
        <v>1859047</v>
      </c>
      <c r="T85" s="108">
        <f t="shared" si="57"/>
        <v>919047</v>
      </c>
      <c r="U85" s="111">
        <f>SUM(L85:T85)+J85+2514288+1050002</f>
        <v>1138662872.6399999</v>
      </c>
      <c r="V85" s="112">
        <f>M85+N85+O85+P85+Q85+R85+S85+T85+2514288+1050002</f>
        <v>630076110.63999999</v>
      </c>
      <c r="W85" s="43">
        <f>M85+N85+O85+P85+Q85+R85+S85+T85+W86-V85</f>
        <v>0</v>
      </c>
      <c r="X85" s="44">
        <f>U65+U66+U68+U69+U70+U72-U85</f>
        <v>0</v>
      </c>
    </row>
    <row r="86" spans="1:24" s="45" customFormat="1" ht="18" customHeight="1" thickBot="1">
      <c r="A86" s="107" t="s">
        <v>40</v>
      </c>
      <c r="B86" s="113">
        <f t="shared" ref="B86:I86" si="58">+B75-B82</f>
        <v>279786</v>
      </c>
      <c r="C86" s="114">
        <f t="shared" si="58"/>
        <v>0</v>
      </c>
      <c r="D86" s="114">
        <f t="shared" si="58"/>
        <v>0</v>
      </c>
      <c r="E86" s="114">
        <f t="shared" si="58"/>
        <v>279786</v>
      </c>
      <c r="F86" s="113">
        <f t="shared" si="58"/>
        <v>2596431</v>
      </c>
      <c r="G86" s="113">
        <f t="shared" si="58"/>
        <v>10430330</v>
      </c>
      <c r="H86" s="113">
        <f t="shared" si="58"/>
        <v>5272066</v>
      </c>
      <c r="I86" s="113">
        <f t="shared" si="58"/>
        <v>6523228</v>
      </c>
      <c r="J86" s="113">
        <f t="shared" ref="J86" si="59">+J75-J82</f>
        <v>41140460</v>
      </c>
      <c r="K86" s="1198">
        <f>+K75-K83</f>
        <v>16238619</v>
      </c>
      <c r="L86" s="113">
        <f>+L75-L83</f>
        <v>47032328</v>
      </c>
      <c r="M86" s="113">
        <f>+M75-M82</f>
        <v>26955478</v>
      </c>
      <c r="N86" s="113">
        <f>+N75-N82</f>
        <v>12000000</v>
      </c>
      <c r="O86" s="115">
        <f>+O75-O82</f>
        <v>12000000</v>
      </c>
      <c r="P86" s="115">
        <f t="shared" ref="P86:Q86" si="60">+P75-P82</f>
        <v>12000000</v>
      </c>
      <c r="Q86" s="115">
        <f t="shared" si="60"/>
        <v>12000000</v>
      </c>
      <c r="R86" s="115">
        <f t="shared" ref="R86:T86" si="61">+R75-R82</f>
        <v>0</v>
      </c>
      <c r="S86" s="113">
        <f t="shared" si="61"/>
        <v>0</v>
      </c>
      <c r="T86" s="113">
        <f t="shared" si="61"/>
        <v>0</v>
      </c>
      <c r="U86" s="111">
        <f>SUM(L86:T86)+J86</f>
        <v>163128266</v>
      </c>
      <c r="V86" s="116" t="s">
        <v>35</v>
      </c>
      <c r="W86" s="43">
        <f>'Tab. 6C - Ochrona zdrowia'!Z120+'Tab. 6C - Ochrona zdrowia'!Z130</f>
        <v>3564290</v>
      </c>
      <c r="X86" s="45" t="s">
        <v>345</v>
      </c>
    </row>
    <row r="87" spans="1:24" s="120" customFormat="1" ht="15" customHeight="1" thickBot="1">
      <c r="A87" s="117"/>
      <c r="B87" s="118">
        <f t="shared" ref="B87:I87" si="62">+B65+B66+B68+B69+B70+B72-B59</f>
        <v>0</v>
      </c>
      <c r="C87" s="118">
        <f t="shared" si="62"/>
        <v>0</v>
      </c>
      <c r="D87" s="118">
        <f t="shared" si="62"/>
        <v>0</v>
      </c>
      <c r="E87" s="118">
        <f t="shared" si="62"/>
        <v>0</v>
      </c>
      <c r="F87" s="118">
        <f t="shared" si="62"/>
        <v>0</v>
      </c>
      <c r="G87" s="118">
        <f t="shared" si="62"/>
        <v>0</v>
      </c>
      <c r="H87" s="118">
        <f t="shared" si="62"/>
        <v>0</v>
      </c>
      <c r="I87" s="118">
        <f t="shared" si="62"/>
        <v>0</v>
      </c>
      <c r="J87" s="118"/>
      <c r="K87" s="1204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9"/>
    </row>
    <row r="88" spans="1:24" s="120" customFormat="1" ht="18" customHeight="1" thickBot="1">
      <c r="A88" s="121" t="s">
        <v>50</v>
      </c>
      <c r="B88" s="122">
        <f>B89+B90</f>
        <v>12025288</v>
      </c>
      <c r="C88" s="122">
        <f t="shared" ref="C88:U88" si="63">C89+C90</f>
        <v>49287</v>
      </c>
      <c r="D88" s="122">
        <f t="shared" si="63"/>
        <v>5456117</v>
      </c>
      <c r="E88" s="122">
        <f t="shared" si="63"/>
        <v>5577389.0600000005</v>
      </c>
      <c r="F88" s="122">
        <f t="shared" si="63"/>
        <v>13718666.300000001</v>
      </c>
      <c r="G88" s="122">
        <f t="shared" si="63"/>
        <v>69165917.299999997</v>
      </c>
      <c r="H88" s="122">
        <f t="shared" si="63"/>
        <v>108170875</v>
      </c>
      <c r="I88" s="122">
        <f>I89+I90</f>
        <v>233676470</v>
      </c>
      <c r="J88" s="122">
        <f>J89+J90</f>
        <v>751148631</v>
      </c>
      <c r="K88" s="1205">
        <f t="shared" si="63"/>
        <v>315124189</v>
      </c>
      <c r="L88" s="122">
        <f>L89+L90</f>
        <v>276514041</v>
      </c>
      <c r="M88" s="122">
        <f t="shared" si="63"/>
        <v>308137970.63999999</v>
      </c>
      <c r="N88" s="122">
        <f t="shared" si="63"/>
        <v>561459021</v>
      </c>
      <c r="O88" s="122">
        <f t="shared" si="63"/>
        <v>410929222</v>
      </c>
      <c r="P88" s="122">
        <f>P89+P90</f>
        <v>196498251</v>
      </c>
      <c r="Q88" s="122">
        <f t="shared" ref="Q88" si="64">Q89+Q90</f>
        <v>140249766</v>
      </c>
      <c r="R88" s="122">
        <f t="shared" ref="R88:T88" si="65">R89+R90</f>
        <v>41375591</v>
      </c>
      <c r="S88" s="122">
        <f t="shared" si="65"/>
        <v>38702795</v>
      </c>
      <c r="T88" s="122">
        <f t="shared" si="65"/>
        <v>36567475</v>
      </c>
      <c r="U88" s="123">
        <f t="shared" si="63"/>
        <v>2765147053.6399999</v>
      </c>
      <c r="V88" s="124">
        <f t="shared" ref="V88" si="66">V89+V90</f>
        <v>1737484381.6399999</v>
      </c>
      <c r="W88" s="119"/>
    </row>
    <row r="89" spans="1:24" s="120" customFormat="1" ht="18" customHeight="1" thickTop="1">
      <c r="A89" s="125" t="s">
        <v>51</v>
      </c>
      <c r="B89" s="126">
        <f t="shared" ref="B89:V89" si="67">B13+B60</f>
        <v>441028</v>
      </c>
      <c r="C89" s="126">
        <f t="shared" si="67"/>
        <v>0</v>
      </c>
      <c r="D89" s="126">
        <f t="shared" si="67"/>
        <v>0</v>
      </c>
      <c r="E89" s="126">
        <f t="shared" si="67"/>
        <v>0</v>
      </c>
      <c r="F89" s="126">
        <f t="shared" si="67"/>
        <v>364771.3</v>
      </c>
      <c r="G89" s="126">
        <f t="shared" si="67"/>
        <v>15889153.300000001</v>
      </c>
      <c r="H89" s="126">
        <f t="shared" si="67"/>
        <v>17640998</v>
      </c>
      <c r="I89" s="126">
        <f t="shared" si="67"/>
        <v>103309070</v>
      </c>
      <c r="J89" s="126">
        <f t="shared" si="67"/>
        <v>235029030</v>
      </c>
      <c r="K89" s="1206">
        <f t="shared" si="67"/>
        <v>97999288</v>
      </c>
      <c r="L89" s="126">
        <f t="shared" si="67"/>
        <v>105027828</v>
      </c>
      <c r="M89" s="126">
        <f t="shared" si="67"/>
        <v>171204884.63999999</v>
      </c>
      <c r="N89" s="126">
        <f t="shared" si="67"/>
        <v>183092383</v>
      </c>
      <c r="O89" s="126">
        <f t="shared" si="67"/>
        <v>173803742</v>
      </c>
      <c r="P89" s="126">
        <f>P13+P60</f>
        <v>148063226</v>
      </c>
      <c r="Q89" s="126">
        <f t="shared" si="67"/>
        <v>123627041</v>
      </c>
      <c r="R89" s="126">
        <f t="shared" si="67"/>
        <v>41208566</v>
      </c>
      <c r="S89" s="126">
        <f t="shared" si="67"/>
        <v>38535770</v>
      </c>
      <c r="T89" s="126">
        <f t="shared" si="67"/>
        <v>36400450</v>
      </c>
      <c r="U89" s="127">
        <f t="shared" si="67"/>
        <v>1259557210.6399999</v>
      </c>
      <c r="V89" s="128">
        <f t="shared" si="67"/>
        <v>919500352.63999999</v>
      </c>
      <c r="W89" s="119"/>
    </row>
    <row r="90" spans="1:24" s="120" customFormat="1" ht="18" customHeight="1">
      <c r="A90" s="125" t="s">
        <v>52</v>
      </c>
      <c r="B90" s="126">
        <f t="shared" ref="B90:V90" si="68">B14+B61</f>
        <v>11584260</v>
      </c>
      <c r="C90" s="126">
        <f t="shared" si="68"/>
        <v>49287</v>
      </c>
      <c r="D90" s="126">
        <f t="shared" si="68"/>
        <v>5456117</v>
      </c>
      <c r="E90" s="126">
        <f t="shared" si="68"/>
        <v>5577389.0600000005</v>
      </c>
      <c r="F90" s="126">
        <f t="shared" si="68"/>
        <v>13353895</v>
      </c>
      <c r="G90" s="126">
        <f t="shared" si="68"/>
        <v>53276764</v>
      </c>
      <c r="H90" s="126">
        <f t="shared" si="68"/>
        <v>90529877</v>
      </c>
      <c r="I90" s="126">
        <f t="shared" si="68"/>
        <v>130367400</v>
      </c>
      <c r="J90" s="126">
        <f t="shared" si="68"/>
        <v>516119601</v>
      </c>
      <c r="K90" s="1206">
        <f t="shared" si="68"/>
        <v>217124901</v>
      </c>
      <c r="L90" s="126">
        <f t="shared" si="68"/>
        <v>171486213</v>
      </c>
      <c r="M90" s="126">
        <f t="shared" si="68"/>
        <v>136933086</v>
      </c>
      <c r="N90" s="126">
        <f t="shared" si="68"/>
        <v>378366638</v>
      </c>
      <c r="O90" s="126">
        <f t="shared" si="68"/>
        <v>237125480</v>
      </c>
      <c r="P90" s="126">
        <f t="shared" si="68"/>
        <v>48435025</v>
      </c>
      <c r="Q90" s="126">
        <f t="shared" si="68"/>
        <v>16622725</v>
      </c>
      <c r="R90" s="126">
        <f t="shared" si="68"/>
        <v>167025</v>
      </c>
      <c r="S90" s="126">
        <f t="shared" si="68"/>
        <v>167025</v>
      </c>
      <c r="T90" s="126">
        <f t="shared" si="68"/>
        <v>167025</v>
      </c>
      <c r="U90" s="127">
        <f t="shared" si="68"/>
        <v>1505589843</v>
      </c>
      <c r="V90" s="128">
        <f t="shared" si="68"/>
        <v>817984029</v>
      </c>
      <c r="W90" s="119"/>
    </row>
    <row r="91" spans="1:24" s="120" customFormat="1" ht="18" customHeight="1" thickBot="1">
      <c r="A91" s="129" t="s">
        <v>53</v>
      </c>
      <c r="B91" s="130">
        <f t="shared" ref="B91:O91" si="69">B49+B86</f>
        <v>283660</v>
      </c>
      <c r="C91" s="130">
        <f t="shared" si="69"/>
        <v>0</v>
      </c>
      <c r="D91" s="130">
        <f t="shared" si="69"/>
        <v>2563346</v>
      </c>
      <c r="E91" s="130">
        <f t="shared" si="69"/>
        <v>8589820</v>
      </c>
      <c r="F91" s="130">
        <f t="shared" si="69"/>
        <v>3076892</v>
      </c>
      <c r="G91" s="130">
        <f t="shared" si="69"/>
        <v>35761249</v>
      </c>
      <c r="H91" s="130">
        <f t="shared" si="69"/>
        <v>73348257</v>
      </c>
      <c r="I91" s="130">
        <f t="shared" si="69"/>
        <v>94462773</v>
      </c>
      <c r="J91" s="130">
        <f>J49+J86</f>
        <v>380066361</v>
      </c>
      <c r="K91" s="1207">
        <f t="shared" si="69"/>
        <v>173643007</v>
      </c>
      <c r="L91" s="130">
        <f t="shared" si="69"/>
        <v>167680778</v>
      </c>
      <c r="M91" s="130">
        <f t="shared" si="69"/>
        <v>201529269</v>
      </c>
      <c r="N91" s="130">
        <f t="shared" si="69"/>
        <v>370993127</v>
      </c>
      <c r="O91" s="130">
        <f t="shared" si="69"/>
        <v>259694651</v>
      </c>
      <c r="P91" s="130">
        <f t="shared" ref="P91:Q91" si="70">P49+P86</f>
        <v>93029324</v>
      </c>
      <c r="Q91" s="130">
        <f t="shared" si="70"/>
        <v>63431139</v>
      </c>
      <c r="R91" s="130">
        <f t="shared" ref="R91:T91" si="71">R49+R86</f>
        <v>33426087</v>
      </c>
      <c r="S91" s="130">
        <f t="shared" si="71"/>
        <v>32960960</v>
      </c>
      <c r="T91" s="130">
        <f t="shared" si="71"/>
        <v>31702952</v>
      </c>
      <c r="U91" s="130">
        <f>U49+U86</f>
        <v>1634514648</v>
      </c>
      <c r="V91" s="131" t="s">
        <v>35</v>
      </c>
      <c r="W91" s="119">
        <f>'Tab. 6A -Drogi'!D23+'Tab. 6A -Drogi'!D542+'Tab. 6B Polit społ i rozwój prz'!D18+'Tab. 6C - Ochrona zdrowia'!D24+'Tab. 6D - Oświata'!D18+'Tab. 6E - Administracja'!D21+'Tab. 6E - Administracja'!D229+'Tab. 6F - Kultura'!D19+'Tab. 6G - Roln i ochrona środ.'!D23+'Tab. 6G - Roln i ochrona środ.'!D189+'Tab. 6H - Kultura fiz. i turyst'!D17+'Tab.6I - Planow. przestrz.'!D19</f>
        <v>1634514648</v>
      </c>
      <c r="X91" s="120" t="s">
        <v>341</v>
      </c>
    </row>
    <row r="92" spans="1:24" s="120" customFormat="1" ht="18.75" customHeight="1" thickTop="1">
      <c r="A92" s="125" t="s">
        <v>54</v>
      </c>
      <c r="B92" s="126" t="e">
        <f>B98+B102</f>
        <v>#REF!</v>
      </c>
      <c r="C92" s="126" t="e">
        <f t="shared" ref="C92:O93" si="72">C98+C102</f>
        <v>#REF!</v>
      </c>
      <c r="D92" s="126" t="e">
        <f t="shared" si="72"/>
        <v>#REF!</v>
      </c>
      <c r="E92" s="126" t="e">
        <f t="shared" si="72"/>
        <v>#REF!</v>
      </c>
      <c r="F92" s="126" t="e">
        <f t="shared" si="72"/>
        <v>#REF!</v>
      </c>
      <c r="G92" s="126" t="e">
        <f t="shared" si="72"/>
        <v>#REF!</v>
      </c>
      <c r="H92" s="126" t="e">
        <f>H98+H102</f>
        <v>#REF!</v>
      </c>
      <c r="I92" s="126" t="e">
        <f t="shared" si="72"/>
        <v>#REF!</v>
      </c>
      <c r="J92" s="126">
        <f>J98+J102</f>
        <v>3596328</v>
      </c>
      <c r="K92" s="1206" t="e">
        <f>K98+K102</f>
        <v>#REF!</v>
      </c>
      <c r="L92" s="126">
        <f>L98+L102</f>
        <v>23745707</v>
      </c>
      <c r="M92" s="126">
        <f t="shared" si="72"/>
        <v>52517819</v>
      </c>
      <c r="N92" s="126">
        <f t="shared" si="72"/>
        <v>82075424</v>
      </c>
      <c r="O92" s="126">
        <f t="shared" si="72"/>
        <v>90141630</v>
      </c>
      <c r="P92" s="126">
        <f t="shared" ref="P92:Q92" si="73">P98+P102</f>
        <v>48745607</v>
      </c>
      <c r="Q92" s="126">
        <f t="shared" si="73"/>
        <v>46152056</v>
      </c>
      <c r="R92" s="126">
        <f t="shared" ref="R92:T92" si="74">R98+R102</f>
        <v>33259062</v>
      </c>
      <c r="S92" s="126">
        <f t="shared" si="74"/>
        <v>32793935</v>
      </c>
      <c r="T92" s="126">
        <f t="shared" si="74"/>
        <v>31535927</v>
      </c>
      <c r="U92" s="126">
        <f>U98+U102</f>
        <v>444563495</v>
      </c>
      <c r="V92" s="133" t="s">
        <v>35</v>
      </c>
      <c r="W92" s="1061">
        <f>U91-W91</f>
        <v>0</v>
      </c>
      <c r="X92" s="2274"/>
    </row>
    <row r="93" spans="1:24" s="120" customFormat="1" ht="16.5" customHeight="1" thickBot="1">
      <c r="A93" s="1292" t="s">
        <v>55</v>
      </c>
      <c r="B93" s="1293" t="e">
        <f>B99+B103</f>
        <v>#REF!</v>
      </c>
      <c r="C93" s="1293" t="e">
        <f t="shared" si="72"/>
        <v>#REF!</v>
      </c>
      <c r="D93" s="1293" t="e">
        <f t="shared" si="72"/>
        <v>#REF!</v>
      </c>
      <c r="E93" s="1293" t="e">
        <f t="shared" si="72"/>
        <v>#REF!</v>
      </c>
      <c r="F93" s="1293" t="e">
        <f t="shared" si="72"/>
        <v>#REF!</v>
      </c>
      <c r="G93" s="1293" t="e">
        <f t="shared" si="72"/>
        <v>#REF!</v>
      </c>
      <c r="H93" s="1293" t="e">
        <f>H99+H103</f>
        <v>#REF!</v>
      </c>
      <c r="I93" s="1293" t="e">
        <f>I99+I103</f>
        <v>#REF!</v>
      </c>
      <c r="J93" s="1293">
        <f>J99+J103</f>
        <v>376470033</v>
      </c>
      <c r="K93" s="1294" t="e">
        <f t="shared" si="72"/>
        <v>#REF!</v>
      </c>
      <c r="L93" s="1293">
        <f t="shared" si="72"/>
        <v>143935071</v>
      </c>
      <c r="M93" s="1293">
        <f t="shared" si="72"/>
        <v>149011450</v>
      </c>
      <c r="N93" s="1293">
        <f t="shared" si="72"/>
        <v>288917703</v>
      </c>
      <c r="O93" s="1293">
        <f t="shared" si="72"/>
        <v>169553021</v>
      </c>
      <c r="P93" s="1293">
        <f t="shared" ref="P93:Q93" si="75">P99+P103</f>
        <v>44283717</v>
      </c>
      <c r="Q93" s="1293">
        <f t="shared" si="75"/>
        <v>17279083</v>
      </c>
      <c r="R93" s="1293">
        <f t="shared" ref="R93:T93" si="76">R99+R103</f>
        <v>167025</v>
      </c>
      <c r="S93" s="1293">
        <f t="shared" si="76"/>
        <v>167025</v>
      </c>
      <c r="T93" s="1293">
        <f t="shared" si="76"/>
        <v>167025</v>
      </c>
      <c r="U93" s="1293">
        <f>U99+U103</f>
        <v>1189951153</v>
      </c>
      <c r="V93" s="1295" t="s">
        <v>35</v>
      </c>
      <c r="W93" s="1061">
        <f>W91-U97-U101</f>
        <v>0</v>
      </c>
    </row>
    <row r="94" spans="1:24" s="120" customFormat="1" ht="18" customHeight="1">
      <c r="A94" s="134" t="s">
        <v>56</v>
      </c>
      <c r="B94" s="135" t="e">
        <f>B92+B93-B91</f>
        <v>#REF!</v>
      </c>
      <c r="C94" s="135" t="e">
        <f t="shared" ref="C94:T94" si="77">C92+C93-C91</f>
        <v>#REF!</v>
      </c>
      <c r="D94" s="135" t="e">
        <f t="shared" si="77"/>
        <v>#REF!</v>
      </c>
      <c r="E94" s="135" t="e">
        <f t="shared" si="77"/>
        <v>#REF!</v>
      </c>
      <c r="F94" s="135" t="e">
        <f t="shared" si="77"/>
        <v>#REF!</v>
      </c>
      <c r="G94" s="135" t="e">
        <f t="shared" si="77"/>
        <v>#REF!</v>
      </c>
      <c r="H94" s="135" t="e">
        <f>H92+H93-H91</f>
        <v>#REF!</v>
      </c>
      <c r="I94" s="135" t="e">
        <f>I92+I93-I91</f>
        <v>#REF!</v>
      </c>
      <c r="J94" s="135">
        <f>J92+J93-J91</f>
        <v>0</v>
      </c>
      <c r="K94" s="135" t="e">
        <f t="shared" si="77"/>
        <v>#REF!</v>
      </c>
      <c r="L94" s="135">
        <f>L92+L93-L91</f>
        <v>0</v>
      </c>
      <c r="M94" s="135">
        <f>M92+M93-M91</f>
        <v>0</v>
      </c>
      <c r="N94" s="135">
        <f t="shared" si="77"/>
        <v>0</v>
      </c>
      <c r="O94" s="135">
        <f t="shared" si="77"/>
        <v>0</v>
      </c>
      <c r="P94" s="135">
        <f t="shared" si="77"/>
        <v>0</v>
      </c>
      <c r="Q94" s="135">
        <f t="shared" si="77"/>
        <v>0</v>
      </c>
      <c r="R94" s="135">
        <f t="shared" si="77"/>
        <v>0</v>
      </c>
      <c r="S94" s="135">
        <f t="shared" si="77"/>
        <v>0</v>
      </c>
      <c r="T94" s="135">
        <f t="shared" si="77"/>
        <v>0</v>
      </c>
      <c r="U94" s="135">
        <f>U92+U93-U91</f>
        <v>0</v>
      </c>
      <c r="V94" s="119"/>
      <c r="W94" s="119"/>
      <c r="X94" s="2274"/>
    </row>
    <row r="95" spans="1:24" s="120" customFormat="1" ht="11.25" customHeight="1">
      <c r="A95" s="136"/>
      <c r="B95" s="135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19"/>
      <c r="W95" s="119"/>
    </row>
    <row r="96" spans="1:24" s="120" customFormat="1" ht="18" customHeight="1" thickBot="1">
      <c r="A96" s="137" t="s">
        <v>57</v>
      </c>
      <c r="B96" s="138" t="e">
        <f t="shared" ref="B96:O96" si="78">B32-B97</f>
        <v>#REF!</v>
      </c>
      <c r="C96" s="138" t="e">
        <f t="shared" si="78"/>
        <v>#REF!</v>
      </c>
      <c r="D96" s="138" t="e">
        <f t="shared" si="78"/>
        <v>#REF!</v>
      </c>
      <c r="E96" s="138" t="e">
        <f t="shared" si="78"/>
        <v>#REF!</v>
      </c>
      <c r="F96" s="138" t="e">
        <f t="shared" si="78"/>
        <v>#REF!</v>
      </c>
      <c r="G96" s="138" t="e">
        <f t="shared" si="78"/>
        <v>#REF!</v>
      </c>
      <c r="H96" s="138" t="e">
        <f t="shared" si="78"/>
        <v>#REF!</v>
      </c>
      <c r="I96" s="138" t="e">
        <f t="shared" si="78"/>
        <v>#REF!</v>
      </c>
      <c r="J96" s="138">
        <f t="shared" ref="J96" si="79">J32-J97</f>
        <v>0</v>
      </c>
      <c r="K96" s="138" t="e">
        <f t="shared" si="78"/>
        <v>#REF!</v>
      </c>
      <c r="L96" s="138">
        <f t="shared" si="78"/>
        <v>0</v>
      </c>
      <c r="M96" s="138">
        <f t="shared" si="78"/>
        <v>0</v>
      </c>
      <c r="N96" s="138">
        <f t="shared" si="78"/>
        <v>0</v>
      </c>
      <c r="O96" s="138">
        <f t="shared" si="78"/>
        <v>0</v>
      </c>
      <c r="P96" s="138">
        <f t="shared" ref="P96:T96" si="80">P32-P97</f>
        <v>0</v>
      </c>
      <c r="Q96" s="138">
        <f t="shared" si="80"/>
        <v>0</v>
      </c>
      <c r="R96" s="138">
        <f t="shared" si="80"/>
        <v>0</v>
      </c>
      <c r="S96" s="138">
        <f t="shared" si="80"/>
        <v>0</v>
      </c>
      <c r="T96" s="138">
        <f t="shared" si="80"/>
        <v>0</v>
      </c>
      <c r="U96" s="138">
        <f>+U97+U101</f>
        <v>1634514648</v>
      </c>
      <c r="V96" s="119"/>
      <c r="W96" s="119"/>
    </row>
    <row r="97" spans="1:23" s="120" customFormat="1" ht="18" customHeight="1" thickBot="1">
      <c r="A97" s="139" t="s">
        <v>58</v>
      </c>
      <c r="B97" s="140" t="e">
        <f t="shared" ref="B97:U97" si="81">B98+B99</f>
        <v>#REF!</v>
      </c>
      <c r="C97" s="140" t="e">
        <f t="shared" si="81"/>
        <v>#REF!</v>
      </c>
      <c r="D97" s="140" t="e">
        <f t="shared" si="81"/>
        <v>#REF!</v>
      </c>
      <c r="E97" s="140" t="e">
        <f t="shared" si="81"/>
        <v>#REF!</v>
      </c>
      <c r="F97" s="140" t="e">
        <f t="shared" si="81"/>
        <v>#REF!</v>
      </c>
      <c r="G97" s="140" t="e">
        <f t="shared" si="81"/>
        <v>#REF!</v>
      </c>
      <c r="H97" s="140" t="e">
        <f t="shared" si="81"/>
        <v>#REF!</v>
      </c>
      <c r="I97" s="140" t="e">
        <f t="shared" si="81"/>
        <v>#REF!</v>
      </c>
      <c r="J97" s="140">
        <f t="shared" si="81"/>
        <v>338925901</v>
      </c>
      <c r="K97" s="140" t="e">
        <f t="shared" si="81"/>
        <v>#REF!</v>
      </c>
      <c r="L97" s="140">
        <f t="shared" si="81"/>
        <v>120648450</v>
      </c>
      <c r="M97" s="140">
        <f t="shared" si="81"/>
        <v>174573791</v>
      </c>
      <c r="N97" s="140">
        <f t="shared" si="81"/>
        <v>358993127</v>
      </c>
      <c r="O97" s="140">
        <f t="shared" si="81"/>
        <v>247694651</v>
      </c>
      <c r="P97" s="140">
        <f t="shared" ref="P97:Q97" si="82">P98+P99</f>
        <v>81029324</v>
      </c>
      <c r="Q97" s="140">
        <f t="shared" si="82"/>
        <v>51431139</v>
      </c>
      <c r="R97" s="140">
        <f t="shared" ref="R97:T97" si="83">R98+R99</f>
        <v>33426087</v>
      </c>
      <c r="S97" s="140">
        <f t="shared" si="83"/>
        <v>32960960</v>
      </c>
      <c r="T97" s="140">
        <f t="shared" si="83"/>
        <v>31702952</v>
      </c>
      <c r="U97" s="141">
        <f t="shared" si="81"/>
        <v>1471386382</v>
      </c>
      <c r="V97" s="119"/>
      <c r="W97" s="119"/>
    </row>
    <row r="98" spans="1:23" s="120" customFormat="1" ht="20.25" customHeight="1" thickTop="1">
      <c r="A98" s="142" t="s">
        <v>59</v>
      </c>
      <c r="B98" s="143" t="e">
        <f>'Tab. 6B Polit społ i rozwój prz'!E18-'Tab. 6B Polit społ i rozwój prz'!E143+'Tab. 6D - Oświata'!E18+'Tab. 6E - Administracja'!E33+'Tab. 6E - Administracja'!#REF!+'Tab. 6E - Administracja'!E77+'Tab. 6G - Roln i ochrona środ.'!E44+'Tab. 6G - Roln i ochrona środ.'!E111+'Tab. 6H - Kultura fiz. i turyst'!E17-'Tab. 6H - Kultura fiz. i turyst'!E36-'Tab. 6H - Kultura fiz. i turyst'!E68+'Tab.6I - Planow. przestrz.'!E31+'Tab.6I - Planow. przestrz.'!E40+'Tab. 6E - Administracja'!E55</f>
        <v>#REF!</v>
      </c>
      <c r="C98" s="143" t="e">
        <f>'Tab. 6B Polit społ i rozwój prz'!F18-'Tab. 6B Polit społ i rozwój prz'!F143+'Tab. 6D - Oświata'!F18+'Tab. 6E - Administracja'!F33+'Tab. 6E - Administracja'!#REF!+'Tab. 6E - Administracja'!F77+'Tab. 6G - Roln i ochrona środ.'!F44+'Tab. 6G - Roln i ochrona środ.'!F111+'Tab. 6H - Kultura fiz. i turyst'!F17-'Tab. 6H - Kultura fiz. i turyst'!F36-'Tab. 6H - Kultura fiz. i turyst'!F68+'Tab.6I - Planow. przestrz.'!F31+'Tab.6I - Planow. przestrz.'!F40+'Tab. 6E - Administracja'!F55</f>
        <v>#REF!</v>
      </c>
      <c r="D98" s="143" t="e">
        <f>'Tab. 6B Polit społ i rozwój prz'!G18-'Tab. 6B Polit społ i rozwój prz'!G143+'Tab. 6D - Oświata'!G18+'Tab. 6E - Administracja'!G33+'Tab. 6E - Administracja'!#REF!+'Tab. 6E - Administracja'!G77+'Tab. 6G - Roln i ochrona środ.'!G44+'Tab. 6G - Roln i ochrona środ.'!G111+'Tab. 6H - Kultura fiz. i turyst'!G17-'Tab. 6H - Kultura fiz. i turyst'!G36-'Tab. 6H - Kultura fiz. i turyst'!G68+'Tab.6I - Planow. przestrz.'!G31+'Tab.6I - Planow. przestrz.'!G40+'Tab. 6E - Administracja'!G55</f>
        <v>#REF!</v>
      </c>
      <c r="E98" s="143" t="e">
        <f>'Tab. 6B Polit społ i rozwój prz'!H18-'Tab. 6B Polit społ i rozwój prz'!H143+'Tab. 6D - Oświata'!H18+'Tab. 6E - Administracja'!H33+'Tab. 6E - Administracja'!#REF!+'Tab. 6E - Administracja'!H77+'Tab. 6G - Roln i ochrona środ.'!H44+'Tab. 6G - Roln i ochrona środ.'!H111+'Tab. 6H - Kultura fiz. i turyst'!H17-'Tab. 6H - Kultura fiz. i turyst'!H36-'Tab. 6H - Kultura fiz. i turyst'!H68+'Tab.6I - Planow. przestrz.'!H31+'Tab.6I - Planow. przestrz.'!H40+'Tab. 6E - Administracja'!H55</f>
        <v>#REF!</v>
      </c>
      <c r="F98" s="143" t="e">
        <f>'Tab. 6B Polit społ i rozwój prz'!I18-'Tab. 6B Polit społ i rozwój prz'!I143+'Tab. 6D - Oświata'!I18+'Tab. 6E - Administracja'!I33+'Tab. 6E - Administracja'!#REF!+'Tab. 6E - Administracja'!I77+'Tab. 6G - Roln i ochrona środ.'!I44+'Tab. 6G - Roln i ochrona środ.'!I111+'Tab. 6H - Kultura fiz. i turyst'!I17-'Tab. 6H - Kultura fiz. i turyst'!I36-'Tab. 6H - Kultura fiz. i turyst'!I68+'Tab.6I - Planow. przestrz.'!I31+'Tab.6I - Planow. przestrz.'!I40+'Tab. 6E - Administracja'!I55</f>
        <v>#REF!</v>
      </c>
      <c r="G98" s="143" t="e">
        <f>'Tab. 6B Polit społ i rozwój prz'!J18-'Tab. 6B Polit społ i rozwój prz'!J143+'Tab. 6D - Oświata'!J18+'Tab. 6E - Administracja'!J33+'Tab. 6E - Administracja'!#REF!+'Tab. 6E - Administracja'!J77+'Tab. 6G - Roln i ochrona środ.'!J44+'Tab. 6G - Roln i ochrona środ.'!J111+'Tab. 6H - Kultura fiz. i turyst'!J17-'Tab. 6H - Kultura fiz. i turyst'!J36-'Tab. 6H - Kultura fiz. i turyst'!J68+'Tab.6I - Planow. przestrz.'!J31+'Tab.6I - Planow. przestrz.'!J40+'Tab. 6E - Administracja'!J55</f>
        <v>#REF!</v>
      </c>
      <c r="H98" s="143" t="e">
        <f>'Tab. 6B Polit społ i rozwój prz'!K18-'Tab. 6B Polit społ i rozwój prz'!K143+'Tab. 6D - Oświata'!K18+'Tab. 6E - Administracja'!K33+'Tab. 6E - Administracja'!#REF!+'Tab. 6E - Administracja'!K77+'Tab. 6G - Roln i ochrona środ.'!K44+'Tab. 6G - Roln i ochrona środ.'!K111+'Tab. 6H - Kultura fiz. i turyst'!K17-'Tab. 6H - Kultura fiz. i turyst'!K36-'Tab. 6H - Kultura fiz. i turyst'!K68+'Tab.6I - Planow. przestrz.'!K31+'Tab.6I - Planow. przestrz.'!K40+'Tab. 6E - Administracja'!K55</f>
        <v>#REF!</v>
      </c>
      <c r="I98" s="143" t="e">
        <f>'Tab. 6B Polit społ i rozwój prz'!L18-'Tab. 6B Polit społ i rozwój prz'!L143+'Tab. 6D - Oświata'!L18+'Tab. 6E - Administracja'!L33+'Tab. 6E - Administracja'!#REF!+'Tab. 6E - Administracja'!L77+'Tab. 6G - Roln i ochrona środ.'!L44+'Tab. 6G - Roln i ochrona środ.'!L111+'Tab. 6H - Kultura fiz. i turyst'!L17-'Tab. 6H - Kultura fiz. i turyst'!L36-'Tab. 6H - Kultura fiz. i turyst'!L68+'Tab.6I - Planow. przestrz.'!L31+'Tab.6I - Planow. przestrz.'!L40+'Tab. 6E - Administracja'!L55</f>
        <v>#REF!</v>
      </c>
      <c r="J98" s="143">
        <f>'Tab. 6B Polit społ i rozwój prz'!M18-'Tab. 6B Polit społ i rozwój prz'!M143+'Tab. 6D - Oświata'!M18+'Tab. 6E - Administracja'!M33+'Tab. 6E - Administracja'!M77+'Tab. 6G - Roln i ochrona środ.'!M44+'Tab. 6G - Roln i ochrona środ.'!M111+'Tab. 6H - Kultura fiz. i turyst'!M17-'Tab. 6H - Kultura fiz. i turyst'!M36-'Tab. 6H - Kultura fiz. i turyst'!M68+'Tab.6I - Planow. przestrz.'!M31+'Tab.6I - Planow. przestrz.'!M40+'Tab. 6E - Administracja'!M55-1</f>
        <v>2181077</v>
      </c>
      <c r="K98" s="143" t="e">
        <f>'Tab. 6B Polit społ i rozwój prz'!N18-'Tab. 6B Polit społ i rozwój prz'!N143+'Tab. 6D - Oświata'!N18+'Tab. 6E - Administracja'!N33+'Tab. 6E - Administracja'!#REF!+'Tab. 6E - Administracja'!N77+'Tab. 6G - Roln i ochrona środ.'!N44+'Tab. 6G - Roln i ochrona środ.'!N111+'Tab. 6G - Roln i ochrona środ.'!N144+'Tab. 6H - Kultura fiz. i turyst'!N17-'Tab. 6H - Kultura fiz. i turyst'!N36-'Tab. 6H - Kultura fiz. i turyst'!N68+'Tab.6I - Planow. przestrz.'!N31+'Tab.6I - Planow. przestrz.'!N40+'Tab. 6E - Administracja'!N55</f>
        <v>#REF!</v>
      </c>
      <c r="L98" s="143">
        <f>'Tab. 6B Polit społ i rozwój prz'!O18-'Tab. 6B Polit społ i rozwój prz'!O143-'Tab. 6B Polit społ i rozwój prz'!O167+'Tab. 6D - Oświata'!O18+'Tab. 6E - Administracja'!O33+'Tab. 6E - Administracja'!O77+'Tab. 6G - Roln i ochrona środ.'!O44+'Tab. 6G - Roln i ochrona środ.'!O111+'Tab. 6G - Roln i ochrona środ.'!O144+'Tab. 6H - Kultura fiz. i turyst'!O17-'Tab. 6H - Kultura fiz. i turyst'!O36-'Tab. 6H - Kultura fiz. i turyst'!O68+'Tab.6I - Planow. przestrz.'!O31+'Tab.6I - Planow. przestrz.'!O40+'Tab. 6E - Administracja'!O55+'Tab. 6E - Administracja'!O112</f>
        <v>4486632</v>
      </c>
      <c r="M98" s="143">
        <f>'Tab. 6B Polit społ i rozwój prz'!P18-'Tab. 6B Polit społ i rozwój prz'!P143-'Tab. 6B Polit społ i rozwój prz'!P167+'Tab. 6D - Oświata'!P18+'Tab. 6E - Administracja'!P33+'Tab. 6E - Administracja'!P77+'Tab. 6G - Roln i ochrona środ.'!P44+'Tab. 6G - Roln i ochrona środ.'!P111+'Tab. 6G - Roln i ochrona środ.'!P144+'Tab. 6H - Kultura fiz. i turyst'!P17-'Tab. 6H - Kultura fiz. i turyst'!P36-'Tab. 6H - Kultura fiz. i turyst'!P68+'Tab.6I - Planow. przestrz.'!P31+'Tab.6I - Planow. przestrz.'!P40+'Tab. 6E - Administracja'!P55+'Tab. 6E - Administracja'!P112+'Tab. 6A -Drogi'!P468+'Tab. 6E - Administracja'!P159+'Tab. 6E - Administracja'!P188+'Tab. 6E - Administracja'!P216</f>
        <v>40389405</v>
      </c>
      <c r="N98" s="143">
        <f>'Tab. 6B Polit społ i rozwój prz'!Q18-'Tab. 6B Polit społ i rozwój prz'!Q143-'Tab. 6B Polit społ i rozwój prz'!Q167+'Tab. 6D - Oświata'!Q18+'Tab. 6E - Administracja'!Q33+'Tab. 6E - Administracja'!Q77+'Tab. 6G - Roln i ochrona środ.'!Q44+'Tab. 6G - Roln i ochrona środ.'!Q111+'Tab. 6G - Roln i ochrona środ.'!Q144+'Tab. 6H - Kultura fiz. i turyst'!Q17-'Tab. 6H - Kultura fiz. i turyst'!Q36-'Tab. 6H - Kultura fiz. i turyst'!Q68+'Tab.6I - Planow. przestrz.'!Q31+'Tab.6I - Planow. przestrz.'!Q40+'Tab. 6E - Administracja'!Q55+'Tab. 6E - Administracja'!Q112+'Tab. 6A -Drogi'!Q468+'Tab. 6E - Administracja'!Q159+'Tab. 6E - Administracja'!Q188+'Tab. 6E - Administracja'!Q216+'Tab.6I - Planow. przestrz.'!Q61</f>
        <v>70075424</v>
      </c>
      <c r="O98" s="143">
        <f>'Tab. 6B Polit społ i rozwój prz'!R18-'Tab. 6B Polit społ i rozwój prz'!R143-'Tab. 6B Polit społ i rozwój prz'!R167+'Tab. 6D - Oświata'!R18+'Tab. 6E - Administracja'!R33+'Tab. 6E - Administracja'!R77+'Tab. 6G - Roln i ochrona środ.'!R44+'Tab. 6G - Roln i ochrona środ.'!R111+'Tab. 6G - Roln i ochrona środ.'!R144+'Tab. 6H - Kultura fiz. i turyst'!R17-'Tab. 6H - Kultura fiz. i turyst'!R36-'Tab. 6H - Kultura fiz. i turyst'!R68+'Tab.6I - Planow. przestrz.'!R31+'Tab.6I - Planow. przestrz.'!R40+'Tab. 6E - Administracja'!R55+'Tab. 6E - Administracja'!R112+'Tab. 6A -Drogi'!R468+'Tab. 6E - Administracja'!R159+'Tab. 6E - Administracja'!R188+'Tab. 6E - Administracja'!R216+'Tab.6I - Planow. przestrz.'!R61</f>
        <v>78141630</v>
      </c>
      <c r="P98" s="143">
        <f>'Tab. 6B Polit społ i rozwój prz'!S18-'Tab. 6B Polit społ i rozwój prz'!S143-'Tab. 6B Polit społ i rozwój prz'!S167+'Tab. 6D - Oświata'!S18+'Tab. 6E - Administracja'!S33+'Tab. 6E - Administracja'!S77+'Tab. 6G - Roln i ochrona środ.'!S44+'Tab. 6G - Roln i ochrona środ.'!S111+'Tab. 6G - Roln i ochrona środ.'!S144+'Tab. 6H - Kultura fiz. i turyst'!S17-'Tab. 6H - Kultura fiz. i turyst'!S36-'Tab. 6H - Kultura fiz. i turyst'!S68+'Tab.6I - Planow. przestrz.'!S31+'Tab.6I - Planow. przestrz.'!S40+'Tab. 6E - Administracja'!S55+'Tab. 6E - Administracja'!S112+'Tab. 6A -Drogi'!S468+'Tab. 6E - Administracja'!S159+'Tab. 6E - Administracja'!S188+'Tab. 6E - Administracja'!S216+'Tab.6I - Planow. przestrz.'!S61</f>
        <v>36745607</v>
      </c>
      <c r="Q98" s="143">
        <f>'Tab. 6B Polit społ i rozwój prz'!T18-'Tab. 6B Polit społ i rozwój prz'!T143-'Tab. 6B Polit społ i rozwój prz'!T167+'Tab. 6D - Oświata'!T18+'Tab. 6E - Administracja'!T33+'Tab. 6E - Administracja'!T77+'Tab. 6G - Roln i ochrona środ.'!T44+'Tab. 6G - Roln i ochrona środ.'!T111+'Tab. 6G - Roln i ochrona środ.'!T144+'Tab. 6H - Kultura fiz. i turyst'!T17-'Tab. 6H - Kultura fiz. i turyst'!T36-'Tab. 6H - Kultura fiz. i turyst'!T68+'Tab.6I - Planow. przestrz.'!T31+'Tab.6I - Planow. przestrz.'!T40+'Tab. 6E - Administracja'!T55+'Tab. 6E - Administracja'!T112+'Tab. 6A -Drogi'!T468+'Tab. 6E - Administracja'!T159+'Tab. 6E - Administracja'!T188+'Tab. 6E - Administracja'!T216+'Tab.6I - Planow. przestrz.'!T61</f>
        <v>34152056</v>
      </c>
      <c r="R98" s="143">
        <f>'Tab. 6B Polit społ i rozwój prz'!U18-'Tab. 6B Polit społ i rozwój prz'!U143-'Tab. 6B Polit społ i rozwój prz'!U167+'Tab. 6D - Oświata'!U18+'Tab. 6E - Administracja'!U33+'Tab. 6E - Administracja'!U77+'Tab. 6G - Roln i ochrona środ.'!U44+'Tab. 6G - Roln i ochrona środ.'!U111+'Tab. 6G - Roln i ochrona środ.'!U144+'Tab. 6H - Kultura fiz. i turyst'!U17-'Tab. 6H - Kultura fiz. i turyst'!U36-'Tab. 6H - Kultura fiz. i turyst'!U68+'Tab.6I - Planow. przestrz.'!U31+'Tab.6I - Planow. przestrz.'!U40+'Tab. 6E - Administracja'!U55+'Tab. 6E - Administracja'!U112+'Tab. 6A -Drogi'!U468+'Tab. 6E - Administracja'!U159+'Tab. 6E - Administracja'!U188+'Tab. 6E - Administracja'!U216+'Tab.6I - Planow. przestrz.'!U61</f>
        <v>33259062</v>
      </c>
      <c r="S98" s="143">
        <f>'Tab. 6B Polit społ i rozwój prz'!V18-'Tab. 6B Polit społ i rozwój prz'!V143-'Tab. 6B Polit społ i rozwój prz'!V167+'Tab. 6D - Oświata'!V18+'Tab. 6E - Administracja'!V33+'Tab. 6E - Administracja'!V77+'Tab. 6G - Roln i ochrona środ.'!V44+'Tab. 6G - Roln i ochrona środ.'!V111+'Tab. 6G - Roln i ochrona środ.'!V144+'Tab. 6H - Kultura fiz. i turyst'!V17-'Tab. 6H - Kultura fiz. i turyst'!V36-'Tab. 6H - Kultura fiz. i turyst'!V68+'Tab.6I - Planow. przestrz.'!V31+'Tab.6I - Planow. przestrz.'!V40+'Tab. 6E - Administracja'!V55+'Tab. 6E - Administracja'!V112+'Tab. 6A -Drogi'!V468+'Tab. 6E - Administracja'!V159+'Tab. 6E - Administracja'!V188+'Tab. 6E - Administracja'!V216+'Tab.6I - Planow. przestrz.'!V61</f>
        <v>32793935</v>
      </c>
      <c r="T98" s="143">
        <f>'Tab. 6B Polit społ i rozwój prz'!W18-'Tab. 6B Polit społ i rozwój prz'!W143-'Tab. 6B Polit społ i rozwój prz'!W167+'Tab. 6D - Oświata'!W18+'Tab. 6E - Administracja'!W33+'Tab. 6E - Administracja'!W77+'Tab. 6G - Roln i ochrona środ.'!W44+'Tab. 6G - Roln i ochrona środ.'!W111+'Tab. 6G - Roln i ochrona środ.'!W144+'Tab. 6H - Kultura fiz. i turyst'!W17-'Tab. 6H - Kultura fiz. i turyst'!W36-'Tab. 6H - Kultura fiz. i turyst'!W68+'Tab.6I - Planow. przestrz.'!W31+'Tab.6I - Planow. przestrz.'!W40+'Tab. 6E - Administracja'!W55+'Tab. 6E - Administracja'!W112+'Tab. 6A -Drogi'!W468+'Tab. 6E - Administracja'!W159+'Tab. 6E - Administracja'!W188+'Tab. 6E - Administracja'!W216+'Tab.6I - Planow. przestrz.'!W61</f>
        <v>31535927</v>
      </c>
      <c r="U98" s="144">
        <f>J98+L98+M98+N98+O98+P98+Q98+R98+S98+T98</f>
        <v>363760755</v>
      </c>
      <c r="V98" s="119"/>
      <c r="W98" s="119"/>
    </row>
    <row r="99" spans="1:23" s="120" customFormat="1" ht="18" customHeight="1">
      <c r="A99" s="142" t="s">
        <v>55</v>
      </c>
      <c r="B99" s="143" t="e">
        <f>'Tab. 6A -Drogi'!E23+'Tab. 6B Polit społ i rozwój prz'!E143+'Tab. 6E - Administracja'!E44+'Tab. 6E - Administracja'!#REF!+'Tab. 6E - Administracja'!E88+'Tab. 6G - Roln i ochrona środ.'!E23-'Tab. 6G - Roln i ochrona środ.'!E44-'Tab. 6G - Roln i ochrona środ.'!E111+'Tab. 6H - Kultura fiz. i turyst'!E36+'Tab. 6H - Kultura fiz. i turyst'!E68+'Tab.6I - Planow. przestrz.'!E49+'Tab. 6E - Administracja'!E66</f>
        <v>#REF!</v>
      </c>
      <c r="C99" s="143" t="e">
        <f>'Tab. 6A -Drogi'!F23+'Tab. 6B Polit społ i rozwój prz'!F143+'Tab. 6E - Administracja'!F44+'Tab. 6E - Administracja'!#REF!+'Tab. 6E - Administracja'!F88+'Tab. 6G - Roln i ochrona środ.'!F23-'Tab. 6G - Roln i ochrona środ.'!F44-'Tab. 6G - Roln i ochrona środ.'!F111+'Tab. 6H - Kultura fiz. i turyst'!F36+'Tab. 6H - Kultura fiz. i turyst'!F68+'Tab.6I - Planow. przestrz.'!F49+'Tab. 6E - Administracja'!F66</f>
        <v>#REF!</v>
      </c>
      <c r="D99" s="143" t="e">
        <f>'Tab. 6A -Drogi'!G23+'Tab. 6B Polit społ i rozwój prz'!G143+'Tab. 6E - Administracja'!G44+'Tab. 6E - Administracja'!#REF!+'Tab. 6E - Administracja'!G88+'Tab. 6G - Roln i ochrona środ.'!G23-'Tab. 6G - Roln i ochrona środ.'!G44-'Tab. 6G - Roln i ochrona środ.'!G111+'Tab. 6H - Kultura fiz. i turyst'!G36+'Tab. 6H - Kultura fiz. i turyst'!G68+'Tab.6I - Planow. przestrz.'!G49+'Tab. 6E - Administracja'!G66</f>
        <v>#REF!</v>
      </c>
      <c r="E99" s="143" t="e">
        <f>'Tab. 6A -Drogi'!H23+'Tab. 6B Polit społ i rozwój prz'!H143+'Tab. 6E - Administracja'!H44+'Tab. 6E - Administracja'!#REF!+'Tab. 6E - Administracja'!H88+'Tab. 6G - Roln i ochrona środ.'!H23-'Tab. 6G - Roln i ochrona środ.'!H44-'Tab. 6G - Roln i ochrona środ.'!H111+'Tab. 6H - Kultura fiz. i turyst'!H36+'Tab. 6H - Kultura fiz. i turyst'!H68+'Tab.6I - Planow. przestrz.'!H49+'Tab. 6E - Administracja'!H66</f>
        <v>#REF!</v>
      </c>
      <c r="F99" s="143" t="e">
        <f>'Tab. 6A -Drogi'!I23+'Tab. 6B Polit społ i rozwój prz'!I143+'Tab. 6E - Administracja'!I44+'Tab. 6E - Administracja'!#REF!+'Tab. 6E - Administracja'!I88+'Tab. 6G - Roln i ochrona środ.'!I23-'Tab. 6G - Roln i ochrona środ.'!I44-'Tab. 6G - Roln i ochrona środ.'!I111+'Tab. 6H - Kultura fiz. i turyst'!I36+'Tab. 6H - Kultura fiz. i turyst'!I68+'Tab.6I - Planow. przestrz.'!I49+'Tab. 6E - Administracja'!I66</f>
        <v>#REF!</v>
      </c>
      <c r="G99" s="143" t="e">
        <f>'Tab. 6A -Drogi'!J23+'Tab. 6B Polit społ i rozwój prz'!J143+'Tab. 6E - Administracja'!J44+'Tab. 6E - Administracja'!#REF!+'Tab. 6E - Administracja'!J88+'Tab. 6G - Roln i ochrona środ.'!J23-'Tab. 6G - Roln i ochrona środ.'!J44-'Tab. 6G - Roln i ochrona środ.'!J111+'Tab. 6H - Kultura fiz. i turyst'!J36+'Tab. 6H - Kultura fiz. i turyst'!J68+'Tab.6I - Planow. przestrz.'!J49+'Tab. 6E - Administracja'!J66</f>
        <v>#REF!</v>
      </c>
      <c r="H99" s="143" t="e">
        <f>'Tab. 6A -Drogi'!K23+'Tab. 6B Polit społ i rozwój prz'!K143+'Tab. 6E - Administracja'!K44+'Tab. 6E - Administracja'!#REF!+'Tab. 6E - Administracja'!K88+'Tab. 6G - Roln i ochrona środ.'!K23-'Tab. 6G - Roln i ochrona środ.'!K44-'Tab. 6G - Roln i ochrona środ.'!K111+'Tab. 6H - Kultura fiz. i turyst'!K36+'Tab. 6H - Kultura fiz. i turyst'!K68+'Tab.6I - Planow. przestrz.'!K49+'Tab. 6E - Administracja'!K66</f>
        <v>#REF!</v>
      </c>
      <c r="I99" s="143" t="e">
        <f>'Tab. 6A -Drogi'!L23+'Tab. 6B Polit społ i rozwój prz'!L143+'Tab. 6E - Administracja'!L44+'Tab. 6E - Administracja'!#REF!+'Tab. 6E - Administracja'!L88+'Tab. 6G - Roln i ochrona środ.'!L23-'Tab. 6G - Roln i ochrona środ.'!L44-'Tab. 6G - Roln i ochrona środ.'!L111+'Tab. 6H - Kultura fiz. i turyst'!L36+'Tab. 6H - Kultura fiz. i turyst'!L68+'Tab.6I - Planow. przestrz.'!L49+'Tab. 6E - Administracja'!L66</f>
        <v>#REF!</v>
      </c>
      <c r="J99" s="143">
        <f>'Tab. 6A -Drogi'!M23+'Tab. 6B Polit społ i rozwój prz'!M143+'Tab. 6E - Administracja'!M44+'Tab. 6E - Administracja'!M88+'Tab. 6G - Roln i ochrona środ.'!M23-'Tab. 6G - Roln i ochrona środ.'!M44-'Tab. 6G - Roln i ochrona środ.'!M111+'Tab. 6H - Kultura fiz. i turyst'!M36+'Tab. 6H - Kultura fiz. i turyst'!M68+'Tab.6I - Planow. przestrz.'!M49+'Tab. 6E - Administracja'!M66</f>
        <v>336744824</v>
      </c>
      <c r="K99" s="143" t="e">
        <f>'Tab. 6A -Drogi'!N23+'Tab. 6B Polit społ i rozwój prz'!N143+'Tab. 6E - Administracja'!N44+'Tab. 6E - Administracja'!#REF!+'Tab. 6E - Administracja'!N88+'Tab. 6G - Roln i ochrona środ.'!N23-'Tab. 6G - Roln i ochrona środ.'!N44-'Tab. 6G - Roln i ochrona środ.'!N111-'Tab. 6G - Roln i ochrona środ.'!N144+'Tab. 6H - Kultura fiz. i turyst'!N36+'Tab. 6H - Kultura fiz. i turyst'!N68+'Tab.6I - Planow. przestrz.'!N49+'Tab. 6E - Administracja'!N66</f>
        <v>#REF!</v>
      </c>
      <c r="L99" s="143">
        <f>'Tab. 6A -Drogi'!O23+'Tab. 6B Polit społ i rozwój prz'!O143+'Tab. 6B Polit społ i rozwój prz'!O167+'Tab. 6E - Administracja'!O44+'Tab. 6E - Administracja'!O88+'Tab. 6G - Roln i ochrona środ.'!O23-'Tab. 6G - Roln i ochrona środ.'!O44-'Tab. 6G - Roln i ochrona środ.'!O111-'Tab. 6G - Roln i ochrona środ.'!O144+'Tab. 6H - Kultura fiz. i turyst'!O36+'Tab. 6H - Kultura fiz. i turyst'!O68+'Tab.6I - Planow. przestrz.'!O49+'Tab. 6E - Administracja'!O66+'Tab. 6E - Administracja'!O130</f>
        <v>116161818</v>
      </c>
      <c r="M99" s="143">
        <f>'Tab. 6A -Drogi'!P23+'Tab. 6B Polit społ i rozwój prz'!P143+'Tab. 6B Polit społ i rozwój prz'!P167+'Tab. 6E - Administracja'!P44+'Tab. 6E - Administracja'!P88+'Tab. 6G - Roln i ochrona środ.'!P23-'Tab. 6G - Roln i ochrona środ.'!P44-'Tab. 6G - Roln i ochrona środ.'!P111-'Tab. 6G - Roln i ochrona środ.'!P144+'Tab. 6H - Kultura fiz. i turyst'!P36+'Tab. 6H - Kultura fiz. i turyst'!P68+'Tab.6I - Planow. przestrz.'!P49+'Tab. 6E - Administracja'!P66+'Tab. 6E - Administracja'!P130+'Tab. 6E - Administracja'!P174+'Tab. 6E - Administracja'!P201-'Tab. 6A -Drogi'!P468</f>
        <v>134184386</v>
      </c>
      <c r="N99" s="143">
        <f>'Tab. 6A -Drogi'!Q23+'Tab. 6B Polit społ i rozwój prz'!Q143+'Tab. 6B Polit społ i rozwój prz'!Q167+'Tab. 6E - Administracja'!Q44+'Tab. 6E - Administracja'!Q88+'Tab. 6G - Roln i ochrona środ.'!Q23-'Tab. 6G - Roln i ochrona środ.'!Q44-'Tab. 6G - Roln i ochrona środ.'!Q111-'Tab. 6G - Roln i ochrona środ.'!Q144+'Tab. 6H - Kultura fiz. i turyst'!Q36+'Tab. 6H - Kultura fiz. i turyst'!Q68+'Tab.6I - Planow. przestrz.'!Q49+'Tab. 6E - Administracja'!Q66+'Tab. 6E - Administracja'!Q130+'Tab. 6E - Administracja'!Q174+'Tab. 6E - Administracja'!Q201-'Tab. 6A -Drogi'!Q468</f>
        <v>288917703</v>
      </c>
      <c r="O99" s="143">
        <f>'Tab. 6A -Drogi'!R23+'Tab. 6B Polit społ i rozwój prz'!R143+'Tab. 6B Polit społ i rozwój prz'!R167+'Tab. 6E - Administracja'!R44+'Tab. 6E - Administracja'!R88+'Tab. 6G - Roln i ochrona środ.'!R23-'Tab. 6G - Roln i ochrona środ.'!R44-'Tab. 6G - Roln i ochrona środ.'!R111-'Tab. 6G - Roln i ochrona środ.'!R144+'Tab. 6H - Kultura fiz. i turyst'!R36+'Tab. 6H - Kultura fiz. i turyst'!R68+'Tab.6I - Planow. przestrz.'!R49+'Tab. 6E - Administracja'!R66+'Tab. 6E - Administracja'!R130+'Tab. 6E - Administracja'!R174+'Tab. 6E - Administracja'!R201-'Tab. 6A -Drogi'!R468</f>
        <v>169553021</v>
      </c>
      <c r="P99" s="143">
        <f>'Tab. 6A -Drogi'!S23+'Tab. 6B Polit społ i rozwój prz'!S143+'Tab. 6B Polit społ i rozwój prz'!S167+'Tab. 6E - Administracja'!S44+'Tab. 6E - Administracja'!S88+'Tab. 6G - Roln i ochrona środ.'!S23-'Tab. 6G - Roln i ochrona środ.'!S44-'Tab. 6G - Roln i ochrona środ.'!S111-'Tab. 6G - Roln i ochrona środ.'!S144+'Tab. 6H - Kultura fiz. i turyst'!S36+'Tab. 6H - Kultura fiz. i turyst'!S68+'Tab.6I - Planow. przestrz.'!S49+'Tab. 6E - Administracja'!S66+'Tab. 6E - Administracja'!S130+'Tab. 6E - Administracja'!S174+'Tab. 6E - Administracja'!S201-'Tab. 6A -Drogi'!S468</f>
        <v>44283717</v>
      </c>
      <c r="Q99" s="143">
        <f>'Tab. 6A -Drogi'!T23+'Tab. 6B Polit społ i rozwój prz'!T143+'Tab. 6B Polit społ i rozwój prz'!T167+'Tab. 6E - Administracja'!T44+'Tab. 6E - Administracja'!T88+'Tab. 6G - Roln i ochrona środ.'!T23-'Tab. 6G - Roln i ochrona środ.'!T44-'Tab. 6G - Roln i ochrona środ.'!T111-'Tab. 6G - Roln i ochrona środ.'!T144+'Tab. 6H - Kultura fiz. i turyst'!T36+'Tab. 6H - Kultura fiz. i turyst'!T68+'Tab.6I - Planow. przestrz.'!T49+'Tab. 6E - Administracja'!T66+'Tab. 6E - Administracja'!T130+'Tab. 6E - Administracja'!T174+'Tab. 6E - Administracja'!T201-'Tab. 6A -Drogi'!T468</f>
        <v>17279083</v>
      </c>
      <c r="R99" s="143">
        <f>'Tab. 6A -Drogi'!U23+'Tab. 6B Polit społ i rozwój prz'!U143+'Tab. 6B Polit społ i rozwój prz'!U167+'Tab. 6E - Administracja'!U44+'Tab. 6E - Administracja'!U88+'Tab. 6G - Roln i ochrona środ.'!U23-'Tab. 6G - Roln i ochrona środ.'!U44-'Tab. 6G - Roln i ochrona środ.'!U111-'Tab. 6G - Roln i ochrona środ.'!U144+'Tab. 6H - Kultura fiz. i turyst'!U36+'Tab. 6H - Kultura fiz. i turyst'!U68+'Tab.6I - Planow. przestrz.'!U49+'Tab. 6E - Administracja'!U66+'Tab. 6E - Administracja'!U130+'Tab. 6E - Administracja'!U174+'Tab. 6E - Administracja'!U201-'Tab. 6A -Drogi'!U468</f>
        <v>167025</v>
      </c>
      <c r="S99" s="143">
        <f>'Tab. 6A -Drogi'!V23+'Tab. 6B Polit społ i rozwój prz'!V143+'Tab. 6B Polit społ i rozwój prz'!V167+'Tab. 6E - Administracja'!V44+'Tab. 6E - Administracja'!V88+'Tab. 6G - Roln i ochrona środ.'!V23-'Tab. 6G - Roln i ochrona środ.'!V44-'Tab. 6G - Roln i ochrona środ.'!V111-'Tab. 6G - Roln i ochrona środ.'!V144+'Tab. 6H - Kultura fiz. i turyst'!V36+'Tab. 6H - Kultura fiz. i turyst'!V68+'Tab.6I - Planow. przestrz.'!V49+'Tab. 6E - Administracja'!V66+'Tab. 6E - Administracja'!V130+'Tab. 6E - Administracja'!V174+'Tab. 6E - Administracja'!V201-'Tab. 6A -Drogi'!V468</f>
        <v>167025</v>
      </c>
      <c r="T99" s="143">
        <f>'Tab. 6A -Drogi'!W23+'Tab. 6B Polit społ i rozwój prz'!W143+'Tab. 6B Polit społ i rozwój prz'!W167+'Tab. 6E - Administracja'!W44+'Tab. 6E - Administracja'!W88+'Tab. 6G - Roln i ochrona środ.'!W23-'Tab. 6G - Roln i ochrona środ.'!W44-'Tab. 6G - Roln i ochrona środ.'!W111-'Tab. 6G - Roln i ochrona środ.'!W144+'Tab. 6H - Kultura fiz. i turyst'!W36+'Tab. 6H - Kultura fiz. i turyst'!W68+'Tab.6I - Planow. przestrz.'!W49+'Tab. 6E - Administracja'!W66+'Tab. 6E - Administracja'!W130+'Tab. 6E - Administracja'!W174+'Tab. 6E - Administracja'!W201-'Tab. 6A -Drogi'!W468</f>
        <v>167025</v>
      </c>
      <c r="U99" s="144">
        <f>J99+L99+M99+N99+O99+P99+Q99+R99+S99+T99</f>
        <v>1107625627</v>
      </c>
      <c r="V99" s="119"/>
      <c r="W99" s="119"/>
    </row>
    <row r="100" spans="1:23" s="120" customFormat="1" ht="24" customHeight="1" thickBot="1">
      <c r="A100" s="137" t="s">
        <v>60</v>
      </c>
      <c r="B100" s="138">
        <f t="shared" ref="B100:G100" si="84">B86-B101</f>
        <v>0</v>
      </c>
      <c r="C100" s="138">
        <f t="shared" si="84"/>
        <v>0</v>
      </c>
      <c r="D100" s="138">
        <f t="shared" si="84"/>
        <v>0</v>
      </c>
      <c r="E100" s="138">
        <f t="shared" si="84"/>
        <v>0</v>
      </c>
      <c r="F100" s="138">
        <f t="shared" si="84"/>
        <v>0</v>
      </c>
      <c r="G100" s="138">
        <f t="shared" si="84"/>
        <v>0</v>
      </c>
      <c r="H100" s="138">
        <f>H86-H101</f>
        <v>0</v>
      </c>
      <c r="I100" s="138">
        <f t="shared" ref="I100:U100" si="85">I86-I101</f>
        <v>0</v>
      </c>
      <c r="J100" s="138">
        <f t="shared" si="85"/>
        <v>0</v>
      </c>
      <c r="K100" s="138">
        <f t="shared" si="85"/>
        <v>0</v>
      </c>
      <c r="L100" s="138">
        <f t="shared" si="85"/>
        <v>0</v>
      </c>
      <c r="M100" s="138">
        <f>M86-M101</f>
        <v>0</v>
      </c>
      <c r="N100" s="138">
        <f t="shared" si="85"/>
        <v>0</v>
      </c>
      <c r="O100" s="138">
        <f t="shared" si="85"/>
        <v>0</v>
      </c>
      <c r="P100" s="138">
        <f t="shared" si="85"/>
        <v>0</v>
      </c>
      <c r="Q100" s="138">
        <f t="shared" si="85"/>
        <v>0</v>
      </c>
      <c r="R100" s="138">
        <f t="shared" si="85"/>
        <v>0</v>
      </c>
      <c r="S100" s="138">
        <f t="shared" si="85"/>
        <v>0</v>
      </c>
      <c r="T100" s="138">
        <f t="shared" si="85"/>
        <v>0</v>
      </c>
      <c r="U100" s="138">
        <f t="shared" si="85"/>
        <v>0</v>
      </c>
      <c r="V100" s="119"/>
      <c r="W100" s="119"/>
    </row>
    <row r="101" spans="1:23" s="120" customFormat="1" ht="19.5" customHeight="1" thickBot="1">
      <c r="A101" s="139" t="s">
        <v>58</v>
      </c>
      <c r="B101" s="140">
        <f t="shared" ref="B101:G101" si="86">B102+B103</f>
        <v>279786</v>
      </c>
      <c r="C101" s="140">
        <f t="shared" si="86"/>
        <v>0</v>
      </c>
      <c r="D101" s="140">
        <f t="shared" si="86"/>
        <v>0</v>
      </c>
      <c r="E101" s="140">
        <f t="shared" si="86"/>
        <v>279786</v>
      </c>
      <c r="F101" s="140">
        <f t="shared" si="86"/>
        <v>2596431</v>
      </c>
      <c r="G101" s="140">
        <f t="shared" si="86"/>
        <v>10430330</v>
      </c>
      <c r="H101" s="140">
        <f>H102+H103</f>
        <v>5272066</v>
      </c>
      <c r="I101" s="140">
        <f t="shared" ref="I101:U101" si="87">I102+I103</f>
        <v>6523228</v>
      </c>
      <c r="J101" s="140">
        <f t="shared" ref="J101" si="88">J102+J103</f>
        <v>41140460</v>
      </c>
      <c r="K101" s="140">
        <f t="shared" si="87"/>
        <v>16238619</v>
      </c>
      <c r="L101" s="140">
        <f t="shared" si="87"/>
        <v>47032328</v>
      </c>
      <c r="M101" s="140">
        <f t="shared" si="87"/>
        <v>26955478</v>
      </c>
      <c r="N101" s="140">
        <f t="shared" si="87"/>
        <v>12000000</v>
      </c>
      <c r="O101" s="140">
        <f t="shared" si="87"/>
        <v>12000000</v>
      </c>
      <c r="P101" s="140">
        <f t="shared" si="87"/>
        <v>12000000</v>
      </c>
      <c r="Q101" s="140">
        <f t="shared" si="87"/>
        <v>12000000</v>
      </c>
      <c r="R101" s="140">
        <f t="shared" si="87"/>
        <v>0</v>
      </c>
      <c r="S101" s="140">
        <f t="shared" ref="S101:T101" si="89">S102+S103</f>
        <v>0</v>
      </c>
      <c r="T101" s="140">
        <f t="shared" si="89"/>
        <v>0</v>
      </c>
      <c r="U101" s="141">
        <f t="shared" si="87"/>
        <v>163128266</v>
      </c>
      <c r="V101" s="119"/>
      <c r="W101" s="119"/>
    </row>
    <row r="102" spans="1:23" s="120" customFormat="1" ht="18" customHeight="1" thickTop="1">
      <c r="A102" s="142" t="s">
        <v>59</v>
      </c>
      <c r="B102" s="143">
        <f>'Tab. 6A -Drogi'!E612</f>
        <v>0</v>
      </c>
      <c r="C102" s="143">
        <f>'Tab. 6A -Drogi'!F612</f>
        <v>0</v>
      </c>
      <c r="D102" s="143">
        <f>'Tab. 6A -Drogi'!G612</f>
        <v>0</v>
      </c>
      <c r="E102" s="143">
        <f>'Tab. 6A -Drogi'!H612</f>
        <v>0</v>
      </c>
      <c r="F102" s="143">
        <f>'Tab. 6A -Drogi'!I612</f>
        <v>0</v>
      </c>
      <c r="G102" s="143">
        <f>'Tab. 6A -Drogi'!J612</f>
        <v>0</v>
      </c>
      <c r="H102" s="143">
        <f>'Tab. 6A -Drogi'!K612</f>
        <v>0</v>
      </c>
      <c r="I102" s="143">
        <f>'Tab. 6A -Drogi'!L612</f>
        <v>205627</v>
      </c>
      <c r="J102" s="143">
        <f>'Tab. 6A -Drogi'!M612+'Tab. 6E - Administracja'!M245</f>
        <v>1415251</v>
      </c>
      <c r="K102" s="143">
        <f>'Tab. 6A -Drogi'!N612+'Tab. 6E - Administracja'!N245</f>
        <v>1409624</v>
      </c>
      <c r="L102" s="143">
        <f>'Tab. 6A -Drogi'!O612+'Tab. 6E - Administracja'!O245+'Tab. 6A -Drogi'!O625+'Tab. 6A -Drogi'!O633</f>
        <v>19259075</v>
      </c>
      <c r="M102" s="143">
        <f>'Tab. 6A -Drogi'!P612+'Tab. 6E - Administracja'!P245+'Tab. 6A -Drogi'!P625+'Tab. 6A -Drogi'!P633</f>
        <v>12128414</v>
      </c>
      <c r="N102" s="143">
        <f>'Tab. 6A -Drogi'!Q612+'Tab. 6E - Administracja'!Q245+'Tab. 6A -Drogi'!Q625+'Tab. 6A -Drogi'!Q633</f>
        <v>12000000</v>
      </c>
      <c r="O102" s="143">
        <f>'Tab. 6A -Drogi'!R612+'Tab. 6E - Administracja'!R245+'Tab. 6A -Drogi'!R625+'Tab. 6A -Drogi'!R633</f>
        <v>12000000</v>
      </c>
      <c r="P102" s="143">
        <f>'Tab. 6A -Drogi'!S612+'Tab. 6E - Administracja'!S245+'Tab. 6A -Drogi'!S625+'Tab. 6A -Drogi'!S633</f>
        <v>12000000</v>
      </c>
      <c r="Q102" s="143">
        <f>'Tab. 6A -Drogi'!T612+'Tab. 6E - Administracja'!T245+'Tab. 6A -Drogi'!T625+'Tab. 6A -Drogi'!T633</f>
        <v>12000000</v>
      </c>
      <c r="R102" s="143">
        <f>'Tab. 6A -Drogi'!U612+'Tab. 6E - Administracja'!U245+'Tab. 6A -Drogi'!U625+'Tab. 6A -Drogi'!U633</f>
        <v>0</v>
      </c>
      <c r="S102" s="143">
        <f>'Tab. 6A -Drogi'!V612+'Tab. 6E - Administracja'!V245+'Tab. 6A -Drogi'!V625+'Tab. 6A -Drogi'!V633</f>
        <v>0</v>
      </c>
      <c r="T102" s="143">
        <f>'Tab. 6A -Drogi'!W612+'Tab. 6E - Administracja'!W245+'Tab. 6A -Drogi'!W625+'Tab. 6A -Drogi'!W633</f>
        <v>0</v>
      </c>
      <c r="U102" s="144">
        <f>J102+L102+M102+N102+O102+P102+Q102+R102+S102+T102</f>
        <v>80802740</v>
      </c>
      <c r="V102" s="119"/>
      <c r="W102" s="119"/>
    </row>
    <row r="103" spans="1:23" s="120" customFormat="1" ht="18" customHeight="1">
      <c r="A103" s="142" t="s">
        <v>55</v>
      </c>
      <c r="B103" s="143">
        <f>'Tab. 6A -Drogi'!E542-'Tab. 6A -Drogi'!E612+'Tab. 6C - Ochrona zdrowia'!E24+'Tab. 6D - Oświata'!E86+'Tab. 6F - Kultura'!E18+'Tab. 6G - Roln i ochrona środ.'!E196</f>
        <v>279786</v>
      </c>
      <c r="C103" s="143">
        <f>'Tab. 6A -Drogi'!F542-'Tab. 6A -Drogi'!F612+'Tab. 6C - Ochrona zdrowia'!F24+'Tab. 6D - Oświata'!F86+'Tab. 6F - Kultura'!F18+'Tab. 6G - Roln i ochrona środ.'!F196</f>
        <v>0</v>
      </c>
      <c r="D103" s="143">
        <f>'Tab. 6A -Drogi'!G542-'Tab. 6A -Drogi'!G612+'Tab. 6C - Ochrona zdrowia'!G24+'Tab. 6D - Oświata'!G86+'Tab. 6F - Kultura'!G18+'Tab. 6G - Roln i ochrona środ.'!G196</f>
        <v>0</v>
      </c>
      <c r="E103" s="143">
        <f>'Tab. 6A -Drogi'!H542-'Tab. 6A -Drogi'!H612+'Tab. 6C - Ochrona zdrowia'!H24+'Tab. 6D - Oświata'!H86+'Tab. 6F - Kultura'!H18+'Tab. 6G - Roln i ochrona środ.'!H196</f>
        <v>279786</v>
      </c>
      <c r="F103" s="143">
        <f>'Tab. 6A -Drogi'!I542-'Tab. 6A -Drogi'!I612+'Tab. 6C - Ochrona zdrowia'!I24+'Tab. 6D - Oświata'!I86+'Tab. 6F - Kultura'!I18+'Tab. 6G - Roln i ochrona środ.'!I196</f>
        <v>2596431</v>
      </c>
      <c r="G103" s="143">
        <f>'Tab. 6A -Drogi'!J542-'Tab. 6A -Drogi'!J612+'Tab. 6C - Ochrona zdrowia'!J24+'Tab. 6D - Oświata'!J86+'Tab. 6F - Kultura'!J18+'Tab. 6G - Roln i ochrona środ.'!J196</f>
        <v>10430330</v>
      </c>
      <c r="H103" s="143">
        <f>'Tab. 6A -Drogi'!K542-'Tab. 6A -Drogi'!K612+'Tab. 6C - Ochrona zdrowia'!K24+'Tab. 6D - Oświata'!K86+'Tab. 6F - Kultura'!K18+'Tab. 6G - Roln i ochrona środ.'!K189</f>
        <v>5272066</v>
      </c>
      <c r="I103" s="143">
        <f>'Tab. 6A -Drogi'!L542-'Tab. 6A -Drogi'!L612+'Tab. 6C - Ochrona zdrowia'!L24+'Tab. 6D - Oświata'!L86+'Tab. 6F - Kultura'!L18+'Tab. 6G - Roln i ochrona środ.'!L189</f>
        <v>6317601</v>
      </c>
      <c r="J103" s="143">
        <f>'Tab. 6A -Drogi'!M542-'Tab. 6A -Drogi'!M612+'Tab. 6C - Ochrona zdrowia'!M24+'Tab. 6D - Oświata'!M86+'Tab. 6F - Kultura'!M18+'Tab. 6G - Roln i ochrona środ.'!M189</f>
        <v>39725209</v>
      </c>
      <c r="K103" s="143">
        <f>'Tab. 6A -Drogi'!N581+'Tab. 6C - Ochrona zdrowia'!N24+'Tab. 6D - Oświata'!N86+'Tab. 6F - Kultura'!N18+'Tab. 6G - Roln i ochrona środ.'!N189</f>
        <v>14828995</v>
      </c>
      <c r="L103" s="143">
        <f>'Tab. 6A -Drogi'!O542-'Tab. 6A -Drogi'!O612-'Tab. 6A -Drogi'!O625-'Tab. 6A -Drogi'!O633+'Tab. 6C - Ochrona zdrowia'!O24+'Tab. 6D - Oświata'!O86+'Tab. 6F - Kultura'!O18+'Tab. 6G - Roln i ochrona środ.'!O189</f>
        <v>27773253</v>
      </c>
      <c r="M103" s="143">
        <f>'Tab. 6A -Drogi'!P542-'Tab. 6A -Drogi'!P612-'Tab. 6A -Drogi'!P625-'Tab. 6A -Drogi'!P633+'Tab. 6C - Ochrona zdrowia'!P24+'Tab. 6D - Oświata'!P86+'Tab. 6F - Kultura'!P18+'Tab. 6G - Roln i ochrona środ.'!P189</f>
        <v>14827064</v>
      </c>
      <c r="N103" s="143">
        <f>'Tab. 6A -Drogi'!Q542-'Tab. 6A -Drogi'!Q612-'Tab. 6A -Drogi'!Q625-'Tab. 6A -Drogi'!Q633+'Tab. 6C - Ochrona zdrowia'!Q24+'Tab. 6D - Oświata'!Q86+'Tab. 6F - Kultura'!Q18+'Tab. 6G - Roln i ochrona środ.'!Q189</f>
        <v>0</v>
      </c>
      <c r="O103" s="143">
        <f>'Tab. 6A -Drogi'!R542-'Tab. 6A -Drogi'!R612-'Tab. 6A -Drogi'!R625-'Tab. 6A -Drogi'!R633+'Tab. 6C - Ochrona zdrowia'!R24+'Tab. 6D - Oświata'!R86+'Tab. 6F - Kultura'!R18+'Tab. 6G - Roln i ochrona środ.'!R189</f>
        <v>0</v>
      </c>
      <c r="P103" s="143">
        <f>'Tab. 6A -Drogi'!S542-'Tab. 6A -Drogi'!S612-'Tab. 6A -Drogi'!S625-'Tab. 6A -Drogi'!S633+'Tab. 6C - Ochrona zdrowia'!S24+'Tab. 6D - Oświata'!S86+'Tab. 6F - Kultura'!S18+'Tab. 6G - Roln i ochrona środ.'!S189</f>
        <v>0</v>
      </c>
      <c r="Q103" s="143">
        <f>'Tab. 6A -Drogi'!T542-'Tab. 6A -Drogi'!T612-'Tab. 6A -Drogi'!T625-'Tab. 6A -Drogi'!T633+'Tab. 6C - Ochrona zdrowia'!T24+'Tab. 6D - Oświata'!T86+'Tab. 6F - Kultura'!T18+'Tab. 6G - Roln i ochrona środ.'!T189</f>
        <v>0</v>
      </c>
      <c r="R103" s="143">
        <f>'Tab. 6A -Drogi'!U542-'Tab. 6A -Drogi'!U612-'Tab. 6A -Drogi'!U625-'Tab. 6A -Drogi'!U633+'Tab. 6C - Ochrona zdrowia'!U24+'Tab. 6D - Oświata'!U86+'Tab. 6F - Kultura'!U18+'Tab. 6G - Roln i ochrona środ.'!U189</f>
        <v>0</v>
      </c>
      <c r="S103" s="143">
        <f>'Tab. 6A -Drogi'!V542-'Tab. 6A -Drogi'!V612-'Tab. 6A -Drogi'!V625-'Tab. 6A -Drogi'!V633+'Tab. 6C - Ochrona zdrowia'!V24+'Tab. 6D - Oświata'!V86+'Tab. 6F - Kultura'!V18+'Tab. 6G - Roln i ochrona środ.'!V189</f>
        <v>0</v>
      </c>
      <c r="T103" s="143">
        <f>'Tab. 6A -Drogi'!W542-'Tab. 6A -Drogi'!W612-'Tab. 6A -Drogi'!W625-'Tab. 6A -Drogi'!W633+'Tab. 6C - Ochrona zdrowia'!W24+'Tab. 6D - Oświata'!W86+'Tab. 6F - Kultura'!W18+'Tab. 6G - Roln i ochrona środ.'!W189</f>
        <v>0</v>
      </c>
      <c r="U103" s="144">
        <f>J103+L103+M103+N103+O103+P103+Q103+R103+S103+T103</f>
        <v>82325526</v>
      </c>
      <c r="V103" s="119"/>
      <c r="W103" s="119"/>
    </row>
    <row r="104" spans="1:23" s="120" customFormat="1" ht="18" customHeight="1">
      <c r="A104" s="136"/>
      <c r="B104" s="135"/>
      <c r="C104" s="135"/>
      <c r="D104" s="135"/>
      <c r="E104" s="135"/>
      <c r="F104" s="135"/>
      <c r="G104" s="135"/>
      <c r="H104" s="135"/>
      <c r="I104" s="135"/>
      <c r="J104" s="135">
        <f>J101+J97-J91</f>
        <v>0</v>
      </c>
      <c r="K104" s="135" t="e">
        <f t="shared" ref="K104:T104" si="90">K101+K97-K91</f>
        <v>#REF!</v>
      </c>
      <c r="L104" s="135">
        <f t="shared" si="90"/>
        <v>0</v>
      </c>
      <c r="M104" s="135">
        <f>M101+M97-M91</f>
        <v>0</v>
      </c>
      <c r="N104" s="135">
        <f t="shared" si="90"/>
        <v>0</v>
      </c>
      <c r="O104" s="135">
        <f t="shared" si="90"/>
        <v>0</v>
      </c>
      <c r="P104" s="135">
        <f t="shared" si="90"/>
        <v>0</v>
      </c>
      <c r="Q104" s="135">
        <f t="shared" si="90"/>
        <v>0</v>
      </c>
      <c r="R104" s="135">
        <f t="shared" si="90"/>
        <v>0</v>
      </c>
      <c r="S104" s="135">
        <f t="shared" si="90"/>
        <v>0</v>
      </c>
      <c r="T104" s="135">
        <f t="shared" si="90"/>
        <v>0</v>
      </c>
      <c r="U104" s="135"/>
      <c r="V104" s="119"/>
      <c r="W104" s="119"/>
    </row>
    <row r="105" spans="1:23" s="120" customFormat="1" ht="18" customHeight="1" thickBot="1">
      <c r="A105" s="145"/>
      <c r="B105" s="146"/>
      <c r="C105" s="146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19"/>
      <c r="W105" s="119"/>
    </row>
    <row r="106" spans="1:23" s="120" customFormat="1" ht="18" customHeight="1">
      <c r="A106" s="117"/>
      <c r="B106" s="118"/>
      <c r="C106" s="147"/>
      <c r="D106" s="147"/>
      <c r="E106" s="147"/>
      <c r="F106" s="118"/>
      <c r="G106" s="118"/>
      <c r="H106" s="118"/>
      <c r="I106" s="118"/>
      <c r="J106" s="1032">
        <f>+J85-J59</f>
        <v>0</v>
      </c>
      <c r="K106" s="1032">
        <f t="shared" ref="K106:T106" si="91">+K85-K59</f>
        <v>0</v>
      </c>
      <c r="L106" s="1032">
        <f>+L85-L59</f>
        <v>0</v>
      </c>
      <c r="M106" s="1032">
        <f t="shared" si="91"/>
        <v>0</v>
      </c>
      <c r="N106" s="1032">
        <f t="shared" si="91"/>
        <v>0</v>
      </c>
      <c r="O106" s="1032">
        <f>+O85-O59</f>
        <v>0</v>
      </c>
      <c r="P106" s="1032">
        <f t="shared" si="91"/>
        <v>0</v>
      </c>
      <c r="Q106" s="1032">
        <f t="shared" si="91"/>
        <v>0</v>
      </c>
      <c r="R106" s="1032">
        <f t="shared" si="91"/>
        <v>0</v>
      </c>
      <c r="S106" s="1032">
        <f t="shared" si="91"/>
        <v>0</v>
      </c>
      <c r="T106" s="1032">
        <f t="shared" si="91"/>
        <v>0</v>
      </c>
      <c r="U106" s="1032">
        <f>+U85-U59</f>
        <v>0</v>
      </c>
      <c r="V106" s="1032"/>
      <c r="W106" s="119"/>
    </row>
    <row r="107" spans="1:23" s="120" customFormat="1" ht="18" customHeight="1" thickBot="1">
      <c r="A107" s="117"/>
      <c r="B107" s="118">
        <f t="shared" ref="B107:U107" si="92">B12+B59</f>
        <v>12025288</v>
      </c>
      <c r="C107" s="118">
        <f t="shared" si="92"/>
        <v>49287</v>
      </c>
      <c r="D107" s="118">
        <f t="shared" si="92"/>
        <v>5456117</v>
      </c>
      <c r="E107" s="118">
        <f t="shared" si="92"/>
        <v>5577389.0600000005</v>
      </c>
      <c r="F107" s="118">
        <f t="shared" si="92"/>
        <v>13718666.300000001</v>
      </c>
      <c r="G107" s="118">
        <f t="shared" si="92"/>
        <v>69165917.299999997</v>
      </c>
      <c r="H107" s="118">
        <f t="shared" si="92"/>
        <v>108170875</v>
      </c>
      <c r="I107" s="118">
        <f t="shared" si="92"/>
        <v>233676470</v>
      </c>
      <c r="J107" s="118">
        <f t="shared" si="92"/>
        <v>751148631</v>
      </c>
      <c r="K107" s="118">
        <f t="shared" si="92"/>
        <v>315124189</v>
      </c>
      <c r="L107" s="118">
        <f t="shared" si="92"/>
        <v>276514041</v>
      </c>
      <c r="M107" s="118">
        <f t="shared" si="92"/>
        <v>308137970.63999999</v>
      </c>
      <c r="N107" s="118">
        <f t="shared" si="92"/>
        <v>561459021</v>
      </c>
      <c r="O107" s="118">
        <f t="shared" si="92"/>
        <v>410929222</v>
      </c>
      <c r="P107" s="118">
        <f t="shared" si="92"/>
        <v>196498251</v>
      </c>
      <c r="Q107" s="118">
        <f t="shared" si="92"/>
        <v>140249766</v>
      </c>
      <c r="R107" s="118">
        <f t="shared" si="92"/>
        <v>41375591</v>
      </c>
      <c r="S107" s="118">
        <f t="shared" si="92"/>
        <v>38702795</v>
      </c>
      <c r="T107" s="118">
        <f t="shared" si="92"/>
        <v>36567475</v>
      </c>
      <c r="U107" s="118">
        <f t="shared" si="92"/>
        <v>2765147053.6399999</v>
      </c>
      <c r="V107" s="118"/>
      <c r="W107" s="119"/>
    </row>
    <row r="108" spans="1:23" s="120" customFormat="1" ht="16.5" customHeight="1" thickBot="1">
      <c r="A108" s="117"/>
      <c r="B108" s="912" t="s">
        <v>6</v>
      </c>
      <c r="C108" s="913" t="s">
        <v>7</v>
      </c>
      <c r="D108" s="913" t="s">
        <v>8</v>
      </c>
      <c r="E108" s="913" t="s">
        <v>9</v>
      </c>
      <c r="F108" s="912" t="s">
        <v>10</v>
      </c>
      <c r="G108" s="912" t="s">
        <v>11</v>
      </c>
      <c r="H108" s="912" t="s">
        <v>12</v>
      </c>
      <c r="I108" s="912" t="s">
        <v>13</v>
      </c>
      <c r="J108" s="1012" t="s">
        <v>371</v>
      </c>
      <c r="K108" s="831" t="s">
        <v>14</v>
      </c>
      <c r="L108" s="152" t="s">
        <v>15</v>
      </c>
      <c r="M108" s="153" t="s">
        <v>16</v>
      </c>
      <c r="N108" s="151" t="s">
        <v>17</v>
      </c>
      <c r="O108" s="151" t="s">
        <v>18</v>
      </c>
      <c r="P108" s="151" t="s">
        <v>290</v>
      </c>
      <c r="Q108" s="151" t="s">
        <v>295</v>
      </c>
      <c r="R108" s="151" t="s">
        <v>373</v>
      </c>
      <c r="S108" s="151" t="s">
        <v>374</v>
      </c>
      <c r="T108" s="151" t="s">
        <v>372</v>
      </c>
      <c r="U108" s="154" t="s">
        <v>61</v>
      </c>
      <c r="V108" s="154" t="s">
        <v>356</v>
      </c>
      <c r="W108" s="119"/>
    </row>
    <row r="109" spans="1:23" s="120" customFormat="1" ht="18" hidden="1" customHeight="1">
      <c r="A109" s="117"/>
      <c r="B109" s="118"/>
      <c r="C109" s="147"/>
      <c r="D109" s="147"/>
      <c r="E109" s="147"/>
      <c r="F109" s="118"/>
      <c r="G109" s="118"/>
      <c r="H109" s="118"/>
      <c r="I109" s="118"/>
      <c r="J109" s="118"/>
      <c r="K109" s="118"/>
      <c r="L109" s="966"/>
      <c r="M109" s="118"/>
      <c r="N109" s="118"/>
      <c r="O109" s="118"/>
      <c r="P109" s="118"/>
      <c r="Q109" s="118"/>
      <c r="R109" s="118"/>
      <c r="S109" s="118"/>
      <c r="T109" s="118"/>
      <c r="U109" s="118"/>
      <c r="V109" s="132"/>
      <c r="W109" s="119"/>
    </row>
    <row r="110" spans="1:23" s="120" customFormat="1" ht="18" hidden="1" customHeight="1">
      <c r="A110" s="117"/>
      <c r="B110" s="118"/>
      <c r="C110" s="147"/>
      <c r="D110" s="147"/>
      <c r="E110" s="147"/>
      <c r="F110" s="118"/>
      <c r="G110" s="118"/>
      <c r="H110" s="118"/>
      <c r="I110" s="118"/>
      <c r="J110" s="118"/>
      <c r="K110" s="118"/>
      <c r="L110" s="966"/>
      <c r="M110" s="118"/>
      <c r="N110" s="118"/>
      <c r="O110" s="118"/>
      <c r="P110" s="118"/>
      <c r="Q110" s="118"/>
      <c r="R110" s="118"/>
      <c r="S110" s="118"/>
      <c r="T110" s="118"/>
      <c r="U110" s="118"/>
      <c r="V110" s="132"/>
      <c r="W110" s="119"/>
    </row>
    <row r="111" spans="1:23" s="38" customFormat="1" ht="12.75" hidden="1" customHeight="1">
      <c r="A111" s="79"/>
      <c r="B111" s="36"/>
      <c r="C111" s="36"/>
      <c r="D111" s="36"/>
      <c r="E111" s="36"/>
      <c r="F111" s="36"/>
      <c r="G111" s="36"/>
      <c r="H111" s="36"/>
      <c r="I111" s="36">
        <f>+I13+I60</f>
        <v>103309070</v>
      </c>
      <c r="J111" s="36"/>
      <c r="K111" s="36">
        <f t="shared" ref="K111:O112" si="93">+K13+K60</f>
        <v>97999288</v>
      </c>
      <c r="L111" s="967">
        <f t="shared" si="93"/>
        <v>105027828</v>
      </c>
      <c r="M111" s="36">
        <f t="shared" si="93"/>
        <v>171204884.63999999</v>
      </c>
      <c r="N111" s="36">
        <f t="shared" si="93"/>
        <v>183092383</v>
      </c>
      <c r="O111" s="36">
        <f t="shared" si="93"/>
        <v>173803742</v>
      </c>
      <c r="P111" s="36"/>
      <c r="Q111" s="36"/>
      <c r="R111" s="36"/>
      <c r="S111" s="36"/>
      <c r="T111" s="36"/>
      <c r="U111" s="36"/>
      <c r="W111" s="30"/>
    </row>
    <row r="112" spans="1:23" s="38" customFormat="1" ht="28.5" hidden="1" customHeight="1">
      <c r="A112" s="155"/>
      <c r="B112" s="155"/>
      <c r="C112" s="155"/>
      <c r="D112" s="155"/>
      <c r="E112" s="155"/>
      <c r="F112" s="155"/>
      <c r="G112" s="155"/>
      <c r="H112" s="155"/>
      <c r="I112" s="156">
        <f>+I14+I61</f>
        <v>130367400</v>
      </c>
      <c r="J112" s="156"/>
      <c r="K112" s="156">
        <f t="shared" si="93"/>
        <v>217124901</v>
      </c>
      <c r="L112" s="968">
        <f t="shared" si="93"/>
        <v>171486213</v>
      </c>
      <c r="M112" s="156">
        <f t="shared" si="93"/>
        <v>136933086</v>
      </c>
      <c r="N112" s="156">
        <f t="shared" si="93"/>
        <v>378366638</v>
      </c>
      <c r="O112" s="156">
        <f t="shared" si="93"/>
        <v>237125480</v>
      </c>
      <c r="P112" s="156"/>
      <c r="Q112" s="156"/>
      <c r="R112" s="156"/>
      <c r="S112" s="156"/>
      <c r="T112" s="156"/>
      <c r="U112" s="155"/>
      <c r="V112" s="155"/>
      <c r="W112" s="30"/>
    </row>
    <row r="113" spans="1:23" s="38" customFormat="1" ht="8.25" hidden="1" customHeight="1" thickBot="1">
      <c r="A113" s="79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967"/>
      <c r="M113" s="36"/>
      <c r="N113" s="36"/>
      <c r="O113" s="36"/>
      <c r="P113" s="36"/>
      <c r="Q113" s="36"/>
      <c r="R113" s="36"/>
      <c r="S113" s="36"/>
      <c r="T113" s="36"/>
      <c r="U113" s="36"/>
      <c r="W113" s="30"/>
    </row>
    <row r="114" spans="1:23" s="38" customFormat="1" ht="12.75" hidden="1" customHeight="1">
      <c r="A114" s="79"/>
      <c r="B114" s="36"/>
      <c r="C114" s="36"/>
      <c r="D114" s="36"/>
      <c r="E114" s="36"/>
      <c r="F114" s="2910" t="s">
        <v>62</v>
      </c>
      <c r="G114" s="2911"/>
      <c r="H114" s="2911"/>
      <c r="I114" s="157">
        <f>+I115+I116</f>
        <v>233676470</v>
      </c>
      <c r="J114" s="157"/>
      <c r="K114" s="157">
        <f t="shared" ref="K114:U114" si="94">+K115+K116</f>
        <v>315124189</v>
      </c>
      <c r="L114" s="969">
        <f t="shared" si="94"/>
        <v>276514041</v>
      </c>
      <c r="M114" s="158">
        <f t="shared" si="94"/>
        <v>308137970.63999999</v>
      </c>
      <c r="N114" s="158">
        <f t="shared" si="94"/>
        <v>561459021</v>
      </c>
      <c r="O114" s="158">
        <f>+O115+O116</f>
        <v>410929222</v>
      </c>
      <c r="P114" s="158"/>
      <c r="Q114" s="158"/>
      <c r="R114" s="158"/>
      <c r="S114" s="158"/>
      <c r="T114" s="158"/>
      <c r="U114" s="157">
        <f t="shared" si="94"/>
        <v>2765147053.6399999</v>
      </c>
      <c r="V114" s="159"/>
      <c r="W114" s="30"/>
    </row>
    <row r="115" spans="1:23" s="38" customFormat="1" ht="12.75" hidden="1" customHeight="1">
      <c r="A115" s="79"/>
      <c r="B115" s="36"/>
      <c r="C115" s="36"/>
      <c r="D115" s="36"/>
      <c r="E115" s="36"/>
      <c r="F115" s="2912"/>
      <c r="G115" s="2913"/>
      <c r="H115" s="2913"/>
      <c r="I115" s="160">
        <f>+I13+I60</f>
        <v>103309070</v>
      </c>
      <c r="J115" s="160"/>
      <c r="K115" s="160">
        <f t="shared" ref="K115:O116" si="95">+K13+K60</f>
        <v>97999288</v>
      </c>
      <c r="L115" s="970">
        <f t="shared" si="95"/>
        <v>105027828</v>
      </c>
      <c r="M115" s="161">
        <f t="shared" si="95"/>
        <v>171204884.63999999</v>
      </c>
      <c r="N115" s="161">
        <f t="shared" si="95"/>
        <v>183092383</v>
      </c>
      <c r="O115" s="161">
        <f t="shared" si="95"/>
        <v>173803742</v>
      </c>
      <c r="P115" s="161"/>
      <c r="Q115" s="161"/>
      <c r="R115" s="161"/>
      <c r="S115" s="161"/>
      <c r="T115" s="161"/>
      <c r="U115" s="160">
        <f>+U13+U60</f>
        <v>1259557210.6399999</v>
      </c>
      <c r="V115" s="162"/>
      <c r="W115" s="30"/>
    </row>
    <row r="116" spans="1:23" s="38" customFormat="1" ht="12.75" hidden="1" customHeight="1" thickBot="1">
      <c r="A116" s="79"/>
      <c r="B116" s="36"/>
      <c r="C116" s="36"/>
      <c r="D116" s="36"/>
      <c r="E116" s="36"/>
      <c r="F116" s="163"/>
      <c r="G116" s="164"/>
      <c r="H116" s="164"/>
      <c r="I116" s="165">
        <f>+I14+I61</f>
        <v>130367400</v>
      </c>
      <c r="J116" s="165"/>
      <c r="K116" s="165">
        <f t="shared" si="95"/>
        <v>217124901</v>
      </c>
      <c r="L116" s="971">
        <f t="shared" si="95"/>
        <v>171486213</v>
      </c>
      <c r="M116" s="166">
        <f t="shared" si="95"/>
        <v>136933086</v>
      </c>
      <c r="N116" s="166">
        <f t="shared" si="95"/>
        <v>378366638</v>
      </c>
      <c r="O116" s="166">
        <f t="shared" si="95"/>
        <v>237125480</v>
      </c>
      <c r="P116" s="166"/>
      <c r="Q116" s="166"/>
      <c r="R116" s="166"/>
      <c r="S116" s="166"/>
      <c r="T116" s="166"/>
      <c r="U116" s="165">
        <f>+U14+U61</f>
        <v>1505589843</v>
      </c>
      <c r="V116" s="167"/>
      <c r="W116" s="30"/>
    </row>
    <row r="117" spans="1:23" s="38" customFormat="1" ht="21.75" hidden="1" customHeight="1">
      <c r="A117" s="168" t="s">
        <v>63</v>
      </c>
      <c r="B117" s="169">
        <f t="shared" ref="B117:U117" si="96">+B85+B48</f>
        <v>12025288</v>
      </c>
      <c r="C117" s="169">
        <f t="shared" si="96"/>
        <v>49287</v>
      </c>
      <c r="D117" s="169">
        <f t="shared" si="96"/>
        <v>5456117</v>
      </c>
      <c r="E117" s="169">
        <f t="shared" si="96"/>
        <v>5577389.0600000005</v>
      </c>
      <c r="F117" s="169">
        <f t="shared" si="96"/>
        <v>13718666</v>
      </c>
      <c r="G117" s="169">
        <f t="shared" si="96"/>
        <v>69165917</v>
      </c>
      <c r="H117" s="169">
        <f t="shared" si="96"/>
        <v>108170875</v>
      </c>
      <c r="I117" s="169">
        <f t="shared" si="96"/>
        <v>233676470.30000001</v>
      </c>
      <c r="J117" s="169"/>
      <c r="K117" s="169">
        <f t="shared" si="96"/>
        <v>315124189</v>
      </c>
      <c r="L117" s="972">
        <f t="shared" si="96"/>
        <v>276514041</v>
      </c>
      <c r="M117" s="169">
        <f t="shared" si="96"/>
        <v>308137970.63999999</v>
      </c>
      <c r="N117" s="169">
        <f t="shared" si="96"/>
        <v>561459021</v>
      </c>
      <c r="O117" s="169">
        <f t="shared" si="96"/>
        <v>410929222</v>
      </c>
      <c r="P117" s="169"/>
      <c r="Q117" s="169"/>
      <c r="R117" s="169"/>
      <c r="S117" s="169"/>
      <c r="T117" s="169"/>
      <c r="U117" s="169">
        <f t="shared" si="96"/>
        <v>2765147053.9399996</v>
      </c>
      <c r="V117" s="170"/>
      <c r="W117" s="30"/>
    </row>
    <row r="118" spans="1:23" s="38" customFormat="1" ht="9.75" hidden="1" customHeight="1">
      <c r="A118" s="168"/>
      <c r="B118" s="156"/>
      <c r="C118" s="156">
        <f>+C117-'[2]zał. nr 2'!D89</f>
        <v>-2098649</v>
      </c>
      <c r="D118" s="156">
        <f>+D117-'[2]zał. nr 2'!E89</f>
        <v>-10836085.5</v>
      </c>
      <c r="E118" s="156">
        <f>+E117-'[2]zał. nr 2'!F89</f>
        <v>-47511083.969999999</v>
      </c>
      <c r="F118" s="156"/>
      <c r="G118" s="156"/>
      <c r="H118" s="156"/>
      <c r="I118" s="156">
        <f>+I117-I114</f>
        <v>0.30000001192092896</v>
      </c>
      <c r="J118" s="156"/>
      <c r="K118" s="156">
        <f t="shared" ref="K118:U118" si="97">+K117-K114</f>
        <v>0</v>
      </c>
      <c r="L118" s="968">
        <f t="shared" si="97"/>
        <v>0</v>
      </c>
      <c r="M118" s="156">
        <f t="shared" si="97"/>
        <v>0</v>
      </c>
      <c r="N118" s="156">
        <f t="shared" si="97"/>
        <v>0</v>
      </c>
      <c r="O118" s="156">
        <f t="shared" si="97"/>
        <v>0</v>
      </c>
      <c r="P118" s="156"/>
      <c r="Q118" s="156"/>
      <c r="R118" s="156"/>
      <c r="S118" s="156"/>
      <c r="T118" s="156"/>
      <c r="U118" s="156">
        <f t="shared" si="97"/>
        <v>0.29999971389770508</v>
      </c>
      <c r="V118" s="36"/>
      <c r="W118" s="30"/>
    </row>
    <row r="119" spans="1:23" s="38" customFormat="1" ht="15.75" hidden="1" customHeight="1" thickBot="1">
      <c r="A119" s="168" t="s">
        <v>64</v>
      </c>
      <c r="B119" s="169">
        <f t="shared" ref="B119:U119" si="98">+B86+B49</f>
        <v>283660</v>
      </c>
      <c r="C119" s="169">
        <f t="shared" si="98"/>
        <v>0</v>
      </c>
      <c r="D119" s="169">
        <f t="shared" si="98"/>
        <v>2563346</v>
      </c>
      <c r="E119" s="169">
        <f t="shared" si="98"/>
        <v>8589820</v>
      </c>
      <c r="F119" s="169">
        <f t="shared" si="98"/>
        <v>3076892</v>
      </c>
      <c r="G119" s="169">
        <f t="shared" si="98"/>
        <v>35761249</v>
      </c>
      <c r="H119" s="169">
        <f t="shared" si="98"/>
        <v>73348257</v>
      </c>
      <c r="I119" s="169">
        <f t="shared" si="98"/>
        <v>94462773</v>
      </c>
      <c r="J119" s="169"/>
      <c r="K119" s="169">
        <f t="shared" si="98"/>
        <v>173643007</v>
      </c>
      <c r="L119" s="972">
        <f t="shared" si="98"/>
        <v>167680778</v>
      </c>
      <c r="M119" s="169">
        <f t="shared" si="98"/>
        <v>201529269</v>
      </c>
      <c r="N119" s="169">
        <f t="shared" si="98"/>
        <v>370993127</v>
      </c>
      <c r="O119" s="169">
        <f t="shared" si="98"/>
        <v>259694651</v>
      </c>
      <c r="P119" s="169"/>
      <c r="Q119" s="169"/>
      <c r="R119" s="169"/>
      <c r="S119" s="169"/>
      <c r="T119" s="169"/>
      <c r="U119" s="169">
        <f t="shared" si="98"/>
        <v>1634514648</v>
      </c>
      <c r="V119" s="36"/>
      <c r="W119" s="30"/>
    </row>
    <row r="120" spans="1:23" ht="1.5" customHeight="1">
      <c r="A120" s="2906" t="s">
        <v>510</v>
      </c>
      <c r="B120" s="171"/>
      <c r="C120" s="171"/>
      <c r="D120" s="171"/>
      <c r="E120" s="171"/>
      <c r="F120" s="171"/>
      <c r="G120" s="171"/>
      <c r="H120" s="171"/>
      <c r="I120" s="171"/>
      <c r="J120" s="171"/>
      <c r="K120" s="955"/>
      <c r="L120" s="973"/>
      <c r="M120" s="963"/>
      <c r="N120" s="171"/>
      <c r="O120" s="171"/>
      <c r="P120" s="171"/>
      <c r="Q120" s="171"/>
      <c r="R120" s="171"/>
      <c r="S120" s="171"/>
      <c r="T120" s="171"/>
      <c r="U120" s="171"/>
      <c r="V120" s="172"/>
    </row>
    <row r="121" spans="1:23" s="25" customFormat="1" ht="27.75" customHeight="1" thickBot="1">
      <c r="A121" s="2907"/>
      <c r="B121" s="173">
        <f t="shared" ref="B121:U121" si="99">+B85+B48</f>
        <v>12025288</v>
      </c>
      <c r="C121" s="174">
        <f t="shared" si="99"/>
        <v>49287</v>
      </c>
      <c r="D121" s="174">
        <f t="shared" si="99"/>
        <v>5456117</v>
      </c>
      <c r="E121" s="174">
        <f t="shared" si="99"/>
        <v>5577389.0600000005</v>
      </c>
      <c r="F121" s="173">
        <f t="shared" si="99"/>
        <v>13718666</v>
      </c>
      <c r="G121" s="173">
        <f t="shared" si="99"/>
        <v>69165917</v>
      </c>
      <c r="H121" s="173">
        <f t="shared" si="99"/>
        <v>108170875</v>
      </c>
      <c r="I121" s="173">
        <f t="shared" si="99"/>
        <v>233676470.30000001</v>
      </c>
      <c r="J121" s="173">
        <f>+J85+J48</f>
        <v>751148631.29999995</v>
      </c>
      <c r="K121" s="956">
        <f t="shared" si="99"/>
        <v>315124189</v>
      </c>
      <c r="L121" s="974">
        <f t="shared" si="99"/>
        <v>276514041</v>
      </c>
      <c r="M121" s="964">
        <f t="shared" si="99"/>
        <v>308137970.63999999</v>
      </c>
      <c r="N121" s="173">
        <f t="shared" si="99"/>
        <v>561459021</v>
      </c>
      <c r="O121" s="173">
        <f t="shared" si="99"/>
        <v>410929222</v>
      </c>
      <c r="P121" s="173">
        <f t="shared" si="99"/>
        <v>196498251</v>
      </c>
      <c r="Q121" s="173">
        <f t="shared" si="99"/>
        <v>140249766</v>
      </c>
      <c r="R121" s="173">
        <f t="shared" ref="R121:T121" si="100">+R85+R48</f>
        <v>41375591</v>
      </c>
      <c r="S121" s="173">
        <f t="shared" si="100"/>
        <v>38702795</v>
      </c>
      <c r="T121" s="173">
        <f t="shared" si="100"/>
        <v>36567475</v>
      </c>
      <c r="U121" s="173">
        <f t="shared" si="99"/>
        <v>2765147053.9399996</v>
      </c>
      <c r="V121" s="175">
        <f>+V85+V48</f>
        <v>1737484381.6399999</v>
      </c>
      <c r="W121" s="24"/>
    </row>
    <row r="122" spans="1:23">
      <c r="A122" s="176" t="s">
        <v>65</v>
      </c>
      <c r="B122" s="177">
        <f t="shared" ref="B122:V122" si="101">+B18+B65+B27</f>
        <v>7457785</v>
      </c>
      <c r="C122" s="177">
        <f t="shared" si="101"/>
        <v>49287</v>
      </c>
      <c r="D122" s="177">
        <f t="shared" si="101"/>
        <v>5428606</v>
      </c>
      <c r="E122" s="177">
        <f t="shared" si="101"/>
        <v>1939894</v>
      </c>
      <c r="F122" s="177">
        <f t="shared" si="101"/>
        <v>2518672</v>
      </c>
      <c r="G122" s="177">
        <f t="shared" si="101"/>
        <v>19803287</v>
      </c>
      <c r="H122" s="177">
        <f t="shared" si="101"/>
        <v>27781275</v>
      </c>
      <c r="I122" s="177">
        <f t="shared" si="101"/>
        <v>112047026.3</v>
      </c>
      <c r="J122" s="177">
        <f t="shared" si="101"/>
        <v>276276014.30000001</v>
      </c>
      <c r="K122" s="957">
        <f t="shared" si="101"/>
        <v>106753443</v>
      </c>
      <c r="L122" s="975">
        <f t="shared" si="101"/>
        <v>97620644</v>
      </c>
      <c r="M122" s="965">
        <f t="shared" si="101"/>
        <v>148628810.63999999</v>
      </c>
      <c r="N122" s="177">
        <f t="shared" si="101"/>
        <v>187091140</v>
      </c>
      <c r="O122" s="177">
        <f t="shared" si="101"/>
        <v>172273006</v>
      </c>
      <c r="P122" s="177">
        <f t="shared" si="101"/>
        <v>119575585</v>
      </c>
      <c r="Q122" s="177">
        <f t="shared" si="101"/>
        <v>91477361</v>
      </c>
      <c r="R122" s="177">
        <f t="shared" si="101"/>
        <v>8080661</v>
      </c>
      <c r="S122" s="177">
        <f t="shared" si="101"/>
        <v>5741835</v>
      </c>
      <c r="T122" s="177">
        <f t="shared" si="101"/>
        <v>4864523</v>
      </c>
      <c r="U122" s="179">
        <f t="shared" si="101"/>
        <v>1115193869.9400001</v>
      </c>
      <c r="V122" s="178">
        <f t="shared" si="101"/>
        <v>741297211.63999999</v>
      </c>
    </row>
    <row r="123" spans="1:23">
      <c r="A123" s="176" t="s">
        <v>66</v>
      </c>
      <c r="B123" s="179">
        <f t="shared" ref="B123:O123" si="102">+B68</f>
        <v>3621827</v>
      </c>
      <c r="C123" s="179">
        <f t="shared" si="102"/>
        <v>0</v>
      </c>
      <c r="D123" s="179">
        <f t="shared" si="102"/>
        <v>27000</v>
      </c>
      <c r="E123" s="179">
        <f t="shared" si="102"/>
        <v>3348880.0600000005</v>
      </c>
      <c r="F123" s="179">
        <f t="shared" si="102"/>
        <v>6819986</v>
      </c>
      <c r="G123" s="179">
        <f t="shared" si="102"/>
        <v>10846424</v>
      </c>
      <c r="H123" s="179">
        <f t="shared" si="102"/>
        <v>12471739</v>
      </c>
      <c r="I123" s="179">
        <f t="shared" si="102"/>
        <v>4429076</v>
      </c>
      <c r="J123" s="179">
        <f t="shared" ref="J123" si="103">+J68</f>
        <v>65727829</v>
      </c>
      <c r="K123" s="958">
        <f t="shared" si="102"/>
        <v>27656273</v>
      </c>
      <c r="L123" s="976">
        <f t="shared" si="102"/>
        <v>33450035</v>
      </c>
      <c r="M123" s="180">
        <f t="shared" si="102"/>
        <v>5039601</v>
      </c>
      <c r="N123" s="179">
        <f t="shared" si="102"/>
        <v>2600000</v>
      </c>
      <c r="O123" s="179">
        <f t="shared" si="102"/>
        <v>2647000</v>
      </c>
      <c r="P123" s="179">
        <f t="shared" ref="P123:Q123" si="104">+P68</f>
        <v>2705000</v>
      </c>
      <c r="Q123" s="179">
        <f t="shared" si="104"/>
        <v>0</v>
      </c>
      <c r="R123" s="179">
        <f t="shared" ref="R123:T123" si="105">+R68</f>
        <v>0</v>
      </c>
      <c r="S123" s="179">
        <f t="shared" si="105"/>
        <v>0</v>
      </c>
      <c r="T123" s="179">
        <f t="shared" si="105"/>
        <v>0</v>
      </c>
      <c r="U123" s="179">
        <f>+U68</f>
        <v>112169465</v>
      </c>
      <c r="V123" s="181">
        <f>+V68</f>
        <v>12991601</v>
      </c>
    </row>
    <row r="124" spans="1:23">
      <c r="A124" s="182" t="s">
        <v>25</v>
      </c>
      <c r="B124" s="179">
        <f t="shared" ref="B124:V124" si="106">+B19+B70</f>
        <v>66154</v>
      </c>
      <c r="C124" s="179">
        <f t="shared" si="106"/>
        <v>0</v>
      </c>
      <c r="D124" s="179">
        <f t="shared" si="106"/>
        <v>0</v>
      </c>
      <c r="E124" s="179">
        <f t="shared" si="106"/>
        <v>0</v>
      </c>
      <c r="F124" s="179">
        <f t="shared" si="106"/>
        <v>54716</v>
      </c>
      <c r="G124" s="179">
        <f t="shared" si="106"/>
        <v>8121252</v>
      </c>
      <c r="H124" s="179">
        <f t="shared" si="106"/>
        <v>1907274</v>
      </c>
      <c r="I124" s="179">
        <f t="shared" si="106"/>
        <v>3938810</v>
      </c>
      <c r="J124" s="179">
        <f t="shared" si="106"/>
        <v>31512796</v>
      </c>
      <c r="K124" s="958">
        <f t="shared" si="106"/>
        <v>17471012</v>
      </c>
      <c r="L124" s="976">
        <f t="shared" si="106"/>
        <v>31092036</v>
      </c>
      <c r="M124" s="180">
        <f t="shared" si="106"/>
        <v>9297608</v>
      </c>
      <c r="N124" s="179">
        <f t="shared" si="106"/>
        <v>1874224</v>
      </c>
      <c r="O124" s="179">
        <f t="shared" si="106"/>
        <v>1419828</v>
      </c>
      <c r="P124" s="179">
        <f t="shared" si="106"/>
        <v>1151570</v>
      </c>
      <c r="Q124" s="179">
        <f t="shared" si="106"/>
        <v>1216734</v>
      </c>
      <c r="R124" s="179">
        <f t="shared" si="106"/>
        <v>989414</v>
      </c>
      <c r="S124" s="179">
        <f t="shared" si="106"/>
        <v>989414</v>
      </c>
      <c r="T124" s="179">
        <f t="shared" si="106"/>
        <v>494707</v>
      </c>
      <c r="U124" s="179">
        <f t="shared" si="106"/>
        <v>80038331</v>
      </c>
      <c r="V124" s="183">
        <f t="shared" si="106"/>
        <v>17433499</v>
      </c>
    </row>
    <row r="125" spans="1:23" ht="24">
      <c r="A125" s="182" t="s">
        <v>67</v>
      </c>
      <c r="B125" s="179">
        <f t="shared" ref="B125:V125" si="107">+B20+B72</f>
        <v>0</v>
      </c>
      <c r="C125" s="179">
        <f t="shared" si="107"/>
        <v>0</v>
      </c>
      <c r="D125" s="179">
        <f t="shared" si="107"/>
        <v>0</v>
      </c>
      <c r="E125" s="179">
        <f t="shared" si="107"/>
        <v>0</v>
      </c>
      <c r="F125" s="179">
        <f t="shared" si="107"/>
        <v>0</v>
      </c>
      <c r="G125" s="179">
        <f t="shared" si="107"/>
        <v>0</v>
      </c>
      <c r="H125" s="179">
        <f t="shared" si="107"/>
        <v>0</v>
      </c>
      <c r="I125" s="179">
        <f t="shared" si="107"/>
        <v>0</v>
      </c>
      <c r="J125" s="179">
        <f t="shared" si="107"/>
        <v>0</v>
      </c>
      <c r="K125" s="958">
        <f t="shared" si="107"/>
        <v>200000</v>
      </c>
      <c r="L125" s="976">
        <f t="shared" si="107"/>
        <v>0</v>
      </c>
      <c r="M125" s="180">
        <f t="shared" si="107"/>
        <v>0</v>
      </c>
      <c r="N125" s="179">
        <f t="shared" si="107"/>
        <v>0</v>
      </c>
      <c r="O125" s="179">
        <f t="shared" si="107"/>
        <v>0</v>
      </c>
      <c r="P125" s="179">
        <f t="shared" si="107"/>
        <v>0</v>
      </c>
      <c r="Q125" s="179">
        <f t="shared" si="107"/>
        <v>0</v>
      </c>
      <c r="R125" s="179">
        <f t="shared" si="107"/>
        <v>0</v>
      </c>
      <c r="S125" s="179">
        <f t="shared" si="107"/>
        <v>0</v>
      </c>
      <c r="T125" s="179">
        <f t="shared" si="107"/>
        <v>0</v>
      </c>
      <c r="U125" s="179">
        <f t="shared" si="107"/>
        <v>0</v>
      </c>
      <c r="V125" s="184">
        <f t="shared" si="107"/>
        <v>0</v>
      </c>
      <c r="W125" s="330">
        <f>+U125+U130</f>
        <v>0</v>
      </c>
    </row>
    <row r="126" spans="1:23">
      <c r="A126" s="182" t="s">
        <v>27</v>
      </c>
      <c r="B126" s="179">
        <f t="shared" ref="B126:V126" si="108">+B21+B69</f>
        <v>279786</v>
      </c>
      <c r="C126" s="179">
        <f t="shared" si="108"/>
        <v>0</v>
      </c>
      <c r="D126" s="179">
        <f t="shared" si="108"/>
        <v>0</v>
      </c>
      <c r="E126" s="179">
        <f t="shared" si="108"/>
        <v>279786</v>
      </c>
      <c r="F126" s="179">
        <f t="shared" si="108"/>
        <v>2494494</v>
      </c>
      <c r="G126" s="179">
        <f t="shared" si="108"/>
        <v>4145000</v>
      </c>
      <c r="H126" s="179">
        <f t="shared" si="108"/>
        <v>7662289</v>
      </c>
      <c r="I126" s="179">
        <f t="shared" si="108"/>
        <v>762896</v>
      </c>
      <c r="J126" s="179">
        <f t="shared" si="108"/>
        <v>19030945</v>
      </c>
      <c r="K126" s="958">
        <f t="shared" si="108"/>
        <v>3686480</v>
      </c>
      <c r="L126" s="976">
        <f t="shared" si="108"/>
        <v>1651313</v>
      </c>
      <c r="M126" s="180">
        <f t="shared" si="108"/>
        <v>2628414</v>
      </c>
      <c r="N126" s="179">
        <f t="shared" si="108"/>
        <v>500000</v>
      </c>
      <c r="O126" s="179">
        <f t="shared" si="108"/>
        <v>0</v>
      </c>
      <c r="P126" s="179">
        <f t="shared" si="108"/>
        <v>0</v>
      </c>
      <c r="Q126" s="179">
        <f t="shared" si="108"/>
        <v>0</v>
      </c>
      <c r="R126" s="179">
        <f t="shared" si="108"/>
        <v>0</v>
      </c>
      <c r="S126" s="179">
        <f t="shared" si="108"/>
        <v>0</v>
      </c>
      <c r="T126" s="179">
        <f t="shared" si="108"/>
        <v>0</v>
      </c>
      <c r="U126" s="179">
        <f t="shared" si="108"/>
        <v>23810672</v>
      </c>
      <c r="V126" s="185">
        <f t="shared" si="108"/>
        <v>3128414</v>
      </c>
    </row>
    <row r="127" spans="1:23">
      <c r="A127" s="182" t="s">
        <v>68</v>
      </c>
      <c r="B127" s="179">
        <f t="shared" ref="B127:V127" si="109">+B22+B66</f>
        <v>0</v>
      </c>
      <c r="C127" s="179">
        <f t="shared" si="109"/>
        <v>0</v>
      </c>
      <c r="D127" s="179">
        <f t="shared" si="109"/>
        <v>0</v>
      </c>
      <c r="E127" s="179">
        <f t="shared" si="109"/>
        <v>0</v>
      </c>
      <c r="F127" s="179">
        <f t="shared" si="109"/>
        <v>0</v>
      </c>
      <c r="G127" s="179">
        <f t="shared" si="109"/>
        <v>0</v>
      </c>
      <c r="H127" s="179">
        <f t="shared" si="109"/>
        <v>3801777</v>
      </c>
      <c r="I127" s="179">
        <f t="shared" si="109"/>
        <v>13701339</v>
      </c>
      <c r="J127" s="179">
        <f t="shared" si="109"/>
        <v>23259366</v>
      </c>
      <c r="K127" s="958">
        <f t="shared" si="109"/>
        <v>5756250</v>
      </c>
      <c r="L127" s="976">
        <f t="shared" si="109"/>
        <v>3462000</v>
      </c>
      <c r="M127" s="180">
        <f t="shared" si="109"/>
        <v>2039337</v>
      </c>
      <c r="N127" s="179">
        <f t="shared" si="109"/>
        <v>25973771</v>
      </c>
      <c r="O127" s="179">
        <f t="shared" si="109"/>
        <v>10135173</v>
      </c>
      <c r="P127" s="179">
        <f t="shared" si="109"/>
        <v>4009238</v>
      </c>
      <c r="Q127" s="179">
        <f t="shared" si="109"/>
        <v>1394500</v>
      </c>
      <c r="R127" s="179">
        <f t="shared" si="109"/>
        <v>0</v>
      </c>
      <c r="S127" s="179">
        <f t="shared" si="109"/>
        <v>0</v>
      </c>
      <c r="T127" s="179">
        <f t="shared" si="109"/>
        <v>0</v>
      </c>
      <c r="U127" s="179">
        <f t="shared" si="109"/>
        <v>70273385</v>
      </c>
      <c r="V127" s="185">
        <f t="shared" si="109"/>
        <v>43552019</v>
      </c>
    </row>
    <row r="128" spans="1:23">
      <c r="A128" s="182" t="s">
        <v>32</v>
      </c>
      <c r="B128" s="179">
        <f t="shared" ref="B128:V128" si="110">+B29</f>
        <v>0</v>
      </c>
      <c r="C128" s="179">
        <f t="shared" si="110"/>
        <v>0</v>
      </c>
      <c r="D128" s="179">
        <f t="shared" si="110"/>
        <v>0</v>
      </c>
      <c r="E128" s="179">
        <f t="shared" si="110"/>
        <v>0</v>
      </c>
      <c r="F128" s="179">
        <f t="shared" si="110"/>
        <v>0</v>
      </c>
      <c r="G128" s="179">
        <f t="shared" si="110"/>
        <v>629249</v>
      </c>
      <c r="H128" s="179">
        <f t="shared" si="110"/>
        <v>2188317</v>
      </c>
      <c r="I128" s="179">
        <f t="shared" si="110"/>
        <v>1116737</v>
      </c>
      <c r="J128" s="179">
        <f t="shared" si="110"/>
        <v>7123728</v>
      </c>
      <c r="K128" s="958">
        <f t="shared" si="110"/>
        <v>3209752</v>
      </c>
      <c r="L128" s="976">
        <f t="shared" si="110"/>
        <v>4991601</v>
      </c>
      <c r="M128" s="180">
        <f t="shared" si="110"/>
        <v>8568481</v>
      </c>
      <c r="N128" s="179">
        <f t="shared" si="110"/>
        <v>20857621</v>
      </c>
      <c r="O128" s="179">
        <f t="shared" si="110"/>
        <v>6028854</v>
      </c>
      <c r="P128" s="179">
        <f t="shared" si="110"/>
        <v>6609205</v>
      </c>
      <c r="Q128" s="179">
        <f t="shared" si="110"/>
        <v>113837</v>
      </c>
      <c r="R128" s="179">
        <f t="shared" si="110"/>
        <v>0</v>
      </c>
      <c r="S128" s="179">
        <f t="shared" si="110"/>
        <v>0</v>
      </c>
      <c r="T128" s="179">
        <f t="shared" si="110"/>
        <v>0</v>
      </c>
      <c r="U128" s="179">
        <f t="shared" si="110"/>
        <v>54293327</v>
      </c>
      <c r="V128" s="185">
        <f t="shared" si="110"/>
        <v>42177998</v>
      </c>
    </row>
    <row r="129" spans="1:23">
      <c r="A129" s="182" t="s">
        <v>29</v>
      </c>
      <c r="B129" s="179">
        <f t="shared" ref="B129:V129" si="111">+B24</f>
        <v>16194</v>
      </c>
      <c r="C129" s="179">
        <f t="shared" si="111"/>
        <v>0</v>
      </c>
      <c r="D129" s="179">
        <f t="shared" si="111"/>
        <v>0</v>
      </c>
      <c r="E129" s="179">
        <f t="shared" si="111"/>
        <v>83</v>
      </c>
      <c r="F129" s="179">
        <f t="shared" si="111"/>
        <v>198958</v>
      </c>
      <c r="G129" s="179">
        <f t="shared" si="111"/>
        <v>11663211</v>
      </c>
      <c r="H129" s="179">
        <f t="shared" si="111"/>
        <v>2690254</v>
      </c>
      <c r="I129" s="179">
        <f t="shared" si="111"/>
        <v>1960926</v>
      </c>
      <c r="J129" s="179">
        <f t="shared" si="111"/>
        <v>18122130</v>
      </c>
      <c r="K129" s="958">
        <f t="shared" si="111"/>
        <v>1592587</v>
      </c>
      <c r="L129" s="976">
        <f t="shared" si="111"/>
        <v>3031</v>
      </c>
      <c r="M129" s="180">
        <f t="shared" si="111"/>
        <v>0</v>
      </c>
      <c r="N129" s="179">
        <f t="shared" si="111"/>
        <v>0</v>
      </c>
      <c r="O129" s="179">
        <f t="shared" si="111"/>
        <v>0</v>
      </c>
      <c r="P129" s="179">
        <f t="shared" si="111"/>
        <v>0</v>
      </c>
      <c r="Q129" s="179">
        <f t="shared" si="111"/>
        <v>0</v>
      </c>
      <c r="R129" s="179">
        <f t="shared" si="111"/>
        <v>0</v>
      </c>
      <c r="S129" s="179">
        <f t="shared" si="111"/>
        <v>0</v>
      </c>
      <c r="T129" s="179">
        <f t="shared" si="111"/>
        <v>0</v>
      </c>
      <c r="U129" s="179">
        <f t="shared" si="111"/>
        <v>18125161</v>
      </c>
      <c r="V129" s="185">
        <f t="shared" si="111"/>
        <v>0</v>
      </c>
    </row>
    <row r="130" spans="1:23" ht="22.5" customHeight="1">
      <c r="A130" s="182" t="s">
        <v>69</v>
      </c>
      <c r="B130" s="179">
        <f t="shared" ref="B130:V130" si="112">+B30</f>
        <v>0</v>
      </c>
      <c r="C130" s="179">
        <f t="shared" si="112"/>
        <v>0</v>
      </c>
      <c r="D130" s="179">
        <f t="shared" si="112"/>
        <v>0</v>
      </c>
      <c r="E130" s="179">
        <f t="shared" si="112"/>
        <v>0</v>
      </c>
      <c r="F130" s="179">
        <f t="shared" si="112"/>
        <v>0</v>
      </c>
      <c r="G130" s="179">
        <f t="shared" si="112"/>
        <v>0</v>
      </c>
      <c r="H130" s="179">
        <f t="shared" si="112"/>
        <v>0</v>
      </c>
      <c r="I130" s="179">
        <f t="shared" si="112"/>
        <v>0</v>
      </c>
      <c r="J130" s="179">
        <f t="shared" si="112"/>
        <v>0</v>
      </c>
      <c r="K130" s="958">
        <f t="shared" si="112"/>
        <v>0</v>
      </c>
      <c r="L130" s="976">
        <f t="shared" si="112"/>
        <v>0</v>
      </c>
      <c r="M130" s="180">
        <f t="shared" si="112"/>
        <v>0</v>
      </c>
      <c r="N130" s="179">
        <f t="shared" si="112"/>
        <v>0</v>
      </c>
      <c r="O130" s="179">
        <f t="shared" si="112"/>
        <v>0</v>
      </c>
      <c r="P130" s="179">
        <f t="shared" si="112"/>
        <v>0</v>
      </c>
      <c r="Q130" s="179">
        <f t="shared" si="112"/>
        <v>0</v>
      </c>
      <c r="R130" s="179">
        <f t="shared" si="112"/>
        <v>0</v>
      </c>
      <c r="S130" s="179">
        <f t="shared" si="112"/>
        <v>0</v>
      </c>
      <c r="T130" s="179">
        <f t="shared" si="112"/>
        <v>0</v>
      </c>
      <c r="U130" s="179">
        <f t="shared" si="112"/>
        <v>0</v>
      </c>
      <c r="V130" s="185">
        <f t="shared" si="112"/>
        <v>0</v>
      </c>
    </row>
    <row r="131" spans="1:23" ht="16.5" customHeight="1">
      <c r="A131" s="182" t="s">
        <v>31</v>
      </c>
      <c r="B131" s="179">
        <f t="shared" ref="B131:V131" si="113">+B28</f>
        <v>0</v>
      </c>
      <c r="C131" s="179">
        <f t="shared" si="113"/>
        <v>0</v>
      </c>
      <c r="D131" s="179">
        <f t="shared" si="113"/>
        <v>0</v>
      </c>
      <c r="E131" s="179">
        <f t="shared" si="113"/>
        <v>0</v>
      </c>
      <c r="F131" s="179">
        <f t="shared" si="113"/>
        <v>0</v>
      </c>
      <c r="G131" s="179">
        <f t="shared" si="113"/>
        <v>0</v>
      </c>
      <c r="H131" s="179">
        <f t="shared" si="113"/>
        <v>0</v>
      </c>
      <c r="I131" s="179">
        <f t="shared" si="113"/>
        <v>0</v>
      </c>
      <c r="J131" s="179">
        <f t="shared" si="113"/>
        <v>0</v>
      </c>
      <c r="K131" s="958">
        <f t="shared" si="113"/>
        <v>0</v>
      </c>
      <c r="L131" s="976">
        <f t="shared" si="113"/>
        <v>0</v>
      </c>
      <c r="M131" s="180">
        <f t="shared" si="113"/>
        <v>0</v>
      </c>
      <c r="N131" s="179">
        <f t="shared" si="113"/>
        <v>0</v>
      </c>
      <c r="O131" s="179">
        <f t="shared" si="113"/>
        <v>0</v>
      </c>
      <c r="P131" s="179">
        <f t="shared" si="113"/>
        <v>0</v>
      </c>
      <c r="Q131" s="179">
        <f t="shared" si="113"/>
        <v>0</v>
      </c>
      <c r="R131" s="179">
        <f t="shared" si="113"/>
        <v>0</v>
      </c>
      <c r="S131" s="179">
        <f t="shared" si="113"/>
        <v>0</v>
      </c>
      <c r="T131" s="179">
        <f t="shared" si="113"/>
        <v>0</v>
      </c>
      <c r="U131" s="179">
        <f t="shared" si="113"/>
        <v>0</v>
      </c>
      <c r="V131" s="186">
        <f t="shared" si="113"/>
        <v>0</v>
      </c>
    </row>
    <row r="132" spans="1:23" ht="13.5" thickBot="1">
      <c r="A132" s="187" t="s">
        <v>33</v>
      </c>
      <c r="B132" s="188">
        <f t="shared" ref="B132:V132" si="114">+B31</f>
        <v>583542</v>
      </c>
      <c r="C132" s="188">
        <f t="shared" si="114"/>
        <v>0</v>
      </c>
      <c r="D132" s="188">
        <f t="shared" si="114"/>
        <v>511</v>
      </c>
      <c r="E132" s="188">
        <f t="shared" si="114"/>
        <v>8746</v>
      </c>
      <c r="F132" s="188">
        <f t="shared" si="114"/>
        <v>1631840</v>
      </c>
      <c r="G132" s="188">
        <f t="shared" si="114"/>
        <v>13957494</v>
      </c>
      <c r="H132" s="188">
        <f t="shared" si="114"/>
        <v>49667950</v>
      </c>
      <c r="I132" s="188">
        <f t="shared" si="114"/>
        <v>95719660</v>
      </c>
      <c r="J132" s="188">
        <f t="shared" si="114"/>
        <v>310095823</v>
      </c>
      <c r="K132" s="959">
        <f t="shared" si="114"/>
        <v>148798392</v>
      </c>
      <c r="L132" s="977">
        <f t="shared" si="114"/>
        <v>104243381</v>
      </c>
      <c r="M132" s="189">
        <f t="shared" si="114"/>
        <v>131935719</v>
      </c>
      <c r="N132" s="951">
        <f t="shared" si="114"/>
        <v>322562265</v>
      </c>
      <c r="O132" s="190">
        <f t="shared" si="114"/>
        <v>218425361</v>
      </c>
      <c r="P132" s="190">
        <f t="shared" si="114"/>
        <v>62447653</v>
      </c>
      <c r="Q132" s="190">
        <f t="shared" si="114"/>
        <v>46047334</v>
      </c>
      <c r="R132" s="190">
        <f t="shared" si="114"/>
        <v>32305516</v>
      </c>
      <c r="S132" s="190">
        <f t="shared" si="114"/>
        <v>31971546</v>
      </c>
      <c r="T132" s="190">
        <f t="shared" si="114"/>
        <v>31208245</v>
      </c>
      <c r="U132" s="190">
        <f t="shared" si="114"/>
        <v>1291242843</v>
      </c>
      <c r="V132" s="190">
        <f t="shared" si="114"/>
        <v>1443800</v>
      </c>
    </row>
    <row r="133" spans="1:23" s="25" customFormat="1" ht="18" customHeight="1">
      <c r="A133" s="2276">
        <f>+B123+F123</f>
        <v>10441813</v>
      </c>
      <c r="B133" s="2277">
        <f t="shared" ref="B133:V133" si="115">SUM(B122:B132)</f>
        <v>12025288</v>
      </c>
      <c r="C133" s="2278">
        <f t="shared" si="115"/>
        <v>49287</v>
      </c>
      <c r="D133" s="2278">
        <f t="shared" si="115"/>
        <v>5456117</v>
      </c>
      <c r="E133" s="2278">
        <f t="shared" si="115"/>
        <v>5577389.0600000005</v>
      </c>
      <c r="F133" s="2277">
        <f t="shared" si="115"/>
        <v>13718666</v>
      </c>
      <c r="G133" s="2279">
        <f t="shared" si="115"/>
        <v>69165917</v>
      </c>
      <c r="H133" s="2280">
        <f t="shared" si="115"/>
        <v>108170875</v>
      </c>
      <c r="I133" s="2280">
        <f t="shared" si="115"/>
        <v>233676470.30000001</v>
      </c>
      <c r="J133" s="2280">
        <f t="shared" si="115"/>
        <v>751148631.29999995</v>
      </c>
      <c r="K133" s="2277">
        <f t="shared" si="115"/>
        <v>315124189</v>
      </c>
      <c r="L133" s="2281">
        <f t="shared" si="115"/>
        <v>276514041</v>
      </c>
      <c r="M133" s="2277">
        <f t="shared" si="115"/>
        <v>308137970.63999999</v>
      </c>
      <c r="N133" s="2277">
        <f t="shared" si="115"/>
        <v>561459021</v>
      </c>
      <c r="O133" s="2277">
        <f t="shared" si="115"/>
        <v>410929222</v>
      </c>
      <c r="P133" s="2277">
        <f t="shared" si="115"/>
        <v>196498251</v>
      </c>
      <c r="Q133" s="2277">
        <f t="shared" si="115"/>
        <v>140249766</v>
      </c>
      <c r="R133" s="2277">
        <f t="shared" si="115"/>
        <v>41375591</v>
      </c>
      <c r="S133" s="2277">
        <f t="shared" si="115"/>
        <v>38702795</v>
      </c>
      <c r="T133" s="2277">
        <f t="shared" si="115"/>
        <v>36567475</v>
      </c>
      <c r="U133" s="2277">
        <f t="shared" si="115"/>
        <v>2765147053.9400001</v>
      </c>
      <c r="V133" s="2277">
        <f t="shared" si="115"/>
        <v>862024542.63999999</v>
      </c>
      <c r="W133" s="24"/>
    </row>
    <row r="134" spans="1:23" ht="18" customHeight="1" thickBot="1">
      <c r="A134" s="195"/>
      <c r="B134" s="196">
        <f t="shared" ref="B134:Q134" si="116">+B133-B88</f>
        <v>0</v>
      </c>
      <c r="C134" s="196">
        <f t="shared" si="116"/>
        <v>0</v>
      </c>
      <c r="D134" s="196">
        <f t="shared" si="116"/>
        <v>0</v>
      </c>
      <c r="E134" s="196">
        <f t="shared" si="116"/>
        <v>0</v>
      </c>
      <c r="F134" s="196">
        <f t="shared" si="116"/>
        <v>-0.30000000074505806</v>
      </c>
      <c r="G134" s="196">
        <f t="shared" si="116"/>
        <v>-0.29999999701976776</v>
      </c>
      <c r="H134" s="196">
        <f t="shared" si="116"/>
        <v>0</v>
      </c>
      <c r="I134" s="196">
        <f t="shared" si="116"/>
        <v>0.30000001192092896</v>
      </c>
      <c r="J134" s="2337">
        <f t="shared" si="116"/>
        <v>0.29999995231628418</v>
      </c>
      <c r="K134" s="2337">
        <f t="shared" si="116"/>
        <v>0</v>
      </c>
      <c r="L134" s="2338">
        <f t="shared" si="116"/>
        <v>0</v>
      </c>
      <c r="M134" s="2337">
        <f t="shared" si="116"/>
        <v>0</v>
      </c>
      <c r="N134" s="2337">
        <f t="shared" si="116"/>
        <v>0</v>
      </c>
      <c r="O134" s="2337">
        <f t="shared" si="116"/>
        <v>0</v>
      </c>
      <c r="P134" s="2337">
        <f t="shared" si="116"/>
        <v>0</v>
      </c>
      <c r="Q134" s="2337">
        <f t="shared" si="116"/>
        <v>0</v>
      </c>
      <c r="R134" s="2337"/>
      <c r="S134" s="2337"/>
      <c r="T134" s="2337"/>
      <c r="U134" s="2337">
        <f>+U133-U88</f>
        <v>0.30000019073486328</v>
      </c>
      <c r="V134" s="196"/>
    </row>
    <row r="135" spans="1:23" ht="30" customHeight="1" thickBot="1">
      <c r="A135" s="197" t="s">
        <v>511</v>
      </c>
      <c r="B135" s="198">
        <f t="shared" ref="B135:U135" si="117">+B86+B49</f>
        <v>283660</v>
      </c>
      <c r="C135" s="199">
        <f t="shared" si="117"/>
        <v>0</v>
      </c>
      <c r="D135" s="199">
        <f t="shared" si="117"/>
        <v>2563346</v>
      </c>
      <c r="E135" s="199">
        <f t="shared" si="117"/>
        <v>8589820</v>
      </c>
      <c r="F135" s="198">
        <f t="shared" si="117"/>
        <v>3076892</v>
      </c>
      <c r="G135" s="198">
        <f t="shared" si="117"/>
        <v>35761249</v>
      </c>
      <c r="H135" s="198">
        <f t="shared" si="117"/>
        <v>73348257</v>
      </c>
      <c r="I135" s="198">
        <f t="shared" si="117"/>
        <v>94462773</v>
      </c>
      <c r="J135" s="1235">
        <f t="shared" si="117"/>
        <v>380066361</v>
      </c>
      <c r="K135" s="1236">
        <f t="shared" si="117"/>
        <v>173643007</v>
      </c>
      <c r="L135" s="1237">
        <f t="shared" si="117"/>
        <v>167680778</v>
      </c>
      <c r="M135" s="1238">
        <f t="shared" si="117"/>
        <v>201529269</v>
      </c>
      <c r="N135" s="1235">
        <f t="shared" si="117"/>
        <v>370993127</v>
      </c>
      <c r="O135" s="1235">
        <f t="shared" si="117"/>
        <v>259694651</v>
      </c>
      <c r="P135" s="1235">
        <f t="shared" si="117"/>
        <v>93029324</v>
      </c>
      <c r="Q135" s="1235">
        <f t="shared" si="117"/>
        <v>63431139</v>
      </c>
      <c r="R135" s="1235">
        <f t="shared" si="117"/>
        <v>33426087</v>
      </c>
      <c r="S135" s="1235">
        <f t="shared" si="117"/>
        <v>32960960</v>
      </c>
      <c r="T135" s="1235">
        <f t="shared" si="117"/>
        <v>31702952</v>
      </c>
      <c r="U135" s="1235">
        <f t="shared" si="117"/>
        <v>1634514648</v>
      </c>
      <c r="V135" s="200" t="s">
        <v>35</v>
      </c>
    </row>
    <row r="136" spans="1:23" ht="14.25" customHeight="1">
      <c r="A136" s="201" t="s">
        <v>70</v>
      </c>
      <c r="B136" s="202">
        <f t="shared" ref="B136:V136" si="118">+B35</f>
        <v>0</v>
      </c>
      <c r="C136" s="202">
        <f t="shared" si="118"/>
        <v>0</v>
      </c>
      <c r="D136" s="202">
        <f t="shared" si="118"/>
        <v>0</v>
      </c>
      <c r="E136" s="202">
        <f t="shared" si="118"/>
        <v>0</v>
      </c>
      <c r="F136" s="202">
        <f t="shared" si="118"/>
        <v>0</v>
      </c>
      <c r="G136" s="202">
        <f t="shared" si="118"/>
        <v>0</v>
      </c>
      <c r="H136" s="202">
        <f t="shared" si="118"/>
        <v>0</v>
      </c>
      <c r="I136" s="203">
        <f t="shared" si="118"/>
        <v>0</v>
      </c>
      <c r="J136" s="203">
        <f t="shared" si="118"/>
        <v>0</v>
      </c>
      <c r="K136" s="960">
        <f t="shared" si="118"/>
        <v>0</v>
      </c>
      <c r="L136" s="978">
        <f t="shared" si="118"/>
        <v>0</v>
      </c>
      <c r="M136" s="203">
        <f t="shared" si="118"/>
        <v>0</v>
      </c>
      <c r="N136" s="202">
        <f t="shared" si="118"/>
        <v>0</v>
      </c>
      <c r="O136" s="202">
        <f t="shared" si="118"/>
        <v>0</v>
      </c>
      <c r="P136" s="202">
        <f t="shared" si="118"/>
        <v>0</v>
      </c>
      <c r="Q136" s="202">
        <f t="shared" si="118"/>
        <v>0</v>
      </c>
      <c r="R136" s="202">
        <f t="shared" si="118"/>
        <v>0</v>
      </c>
      <c r="S136" s="202">
        <f t="shared" si="118"/>
        <v>0</v>
      </c>
      <c r="T136" s="202">
        <f t="shared" si="118"/>
        <v>0</v>
      </c>
      <c r="U136" s="1009">
        <f t="shared" si="118"/>
        <v>0</v>
      </c>
      <c r="V136" s="202">
        <f t="shared" si="118"/>
        <v>0</v>
      </c>
    </row>
    <row r="137" spans="1:23" ht="14.25" customHeight="1">
      <c r="A137" s="182" t="s">
        <v>25</v>
      </c>
      <c r="B137" s="179">
        <f t="shared" ref="B137:V137" si="119">+B77+B34</f>
        <v>3874</v>
      </c>
      <c r="C137" s="179">
        <f t="shared" si="119"/>
        <v>0</v>
      </c>
      <c r="D137" s="179">
        <f t="shared" si="119"/>
        <v>0</v>
      </c>
      <c r="E137" s="179">
        <f t="shared" si="119"/>
        <v>0</v>
      </c>
      <c r="F137" s="179">
        <f t="shared" si="119"/>
        <v>72234</v>
      </c>
      <c r="G137" s="179">
        <f t="shared" si="119"/>
        <v>8138370</v>
      </c>
      <c r="H137" s="179">
        <f t="shared" si="119"/>
        <v>1907659</v>
      </c>
      <c r="I137" s="180">
        <f t="shared" si="119"/>
        <v>3926522</v>
      </c>
      <c r="J137" s="180">
        <f t="shared" si="119"/>
        <v>31496943</v>
      </c>
      <c r="K137" s="961">
        <f t="shared" si="119"/>
        <v>17494706</v>
      </c>
      <c r="L137" s="976">
        <f t="shared" si="119"/>
        <v>31081154</v>
      </c>
      <c r="M137" s="180">
        <f t="shared" si="119"/>
        <v>9294224</v>
      </c>
      <c r="N137" s="179">
        <f t="shared" si="119"/>
        <v>1887024</v>
      </c>
      <c r="O137" s="204">
        <f t="shared" si="119"/>
        <v>1419828</v>
      </c>
      <c r="P137" s="204">
        <f t="shared" si="119"/>
        <v>1151569</v>
      </c>
      <c r="Q137" s="204">
        <f t="shared" si="119"/>
        <v>1216734</v>
      </c>
      <c r="R137" s="204">
        <f t="shared" si="119"/>
        <v>1006734</v>
      </c>
      <c r="S137" s="204">
        <f t="shared" si="119"/>
        <v>989414</v>
      </c>
      <c r="T137" s="204">
        <f t="shared" si="119"/>
        <v>494707</v>
      </c>
      <c r="U137" s="1010">
        <f t="shared" si="119"/>
        <v>80038331</v>
      </c>
      <c r="V137" s="204">
        <f t="shared" si="119"/>
        <v>0</v>
      </c>
    </row>
    <row r="138" spans="1:23" ht="14.25" customHeight="1">
      <c r="A138" s="182" t="s">
        <v>27</v>
      </c>
      <c r="B138" s="179">
        <f t="shared" ref="B138:V138" si="120">+B37+B78</f>
        <v>279786</v>
      </c>
      <c r="C138" s="179">
        <f t="shared" si="120"/>
        <v>0</v>
      </c>
      <c r="D138" s="179">
        <f t="shared" si="120"/>
        <v>0</v>
      </c>
      <c r="E138" s="179">
        <f t="shared" si="120"/>
        <v>279786</v>
      </c>
      <c r="F138" s="179">
        <f t="shared" si="120"/>
        <v>2494494</v>
      </c>
      <c r="G138" s="179">
        <f t="shared" si="120"/>
        <v>4145000</v>
      </c>
      <c r="H138" s="179">
        <f t="shared" si="120"/>
        <v>5672425</v>
      </c>
      <c r="I138" s="180">
        <f t="shared" si="120"/>
        <v>2752760</v>
      </c>
      <c r="J138" s="180">
        <f t="shared" si="120"/>
        <v>19030945</v>
      </c>
      <c r="K138" s="961">
        <f t="shared" si="120"/>
        <v>3686480</v>
      </c>
      <c r="L138" s="976">
        <f t="shared" si="120"/>
        <v>1651313</v>
      </c>
      <c r="M138" s="180">
        <f t="shared" si="120"/>
        <v>2628414</v>
      </c>
      <c r="N138" s="179">
        <f t="shared" si="120"/>
        <v>500000</v>
      </c>
      <c r="O138" s="204">
        <f t="shared" si="120"/>
        <v>0</v>
      </c>
      <c r="P138" s="204">
        <f t="shared" si="120"/>
        <v>0</v>
      </c>
      <c r="Q138" s="204">
        <f t="shared" si="120"/>
        <v>0</v>
      </c>
      <c r="R138" s="204">
        <f t="shared" si="120"/>
        <v>0</v>
      </c>
      <c r="S138" s="204">
        <f t="shared" si="120"/>
        <v>0</v>
      </c>
      <c r="T138" s="204">
        <f t="shared" si="120"/>
        <v>0</v>
      </c>
      <c r="U138" s="1010">
        <f t="shared" si="120"/>
        <v>23810672</v>
      </c>
      <c r="V138" s="204">
        <f t="shared" si="120"/>
        <v>0</v>
      </c>
    </row>
    <row r="139" spans="1:23" ht="14.25" customHeight="1">
      <c r="A139" s="182" t="s">
        <v>68</v>
      </c>
      <c r="B139" s="179">
        <f t="shared" ref="B139:V139" si="121">+B38+B79</f>
        <v>0</v>
      </c>
      <c r="C139" s="179">
        <f t="shared" si="121"/>
        <v>0</v>
      </c>
      <c r="D139" s="179">
        <f t="shared" si="121"/>
        <v>0</v>
      </c>
      <c r="E139" s="179">
        <f t="shared" si="121"/>
        <v>0</v>
      </c>
      <c r="F139" s="179">
        <f t="shared" si="121"/>
        <v>0</v>
      </c>
      <c r="G139" s="179">
        <f t="shared" si="121"/>
        <v>5665000</v>
      </c>
      <c r="H139" s="179">
        <f t="shared" si="121"/>
        <v>10051777</v>
      </c>
      <c r="I139" s="180">
        <f t="shared" si="121"/>
        <v>10701339</v>
      </c>
      <c r="J139" s="180">
        <f t="shared" si="121"/>
        <v>30526402</v>
      </c>
      <c r="K139" s="961">
        <f t="shared" si="121"/>
        <v>4108286</v>
      </c>
      <c r="L139" s="976">
        <f t="shared" si="121"/>
        <v>303250</v>
      </c>
      <c r="M139" s="180">
        <f t="shared" si="121"/>
        <v>10458622</v>
      </c>
      <c r="N139" s="179">
        <f t="shared" si="121"/>
        <v>11861826</v>
      </c>
      <c r="O139" s="204">
        <f t="shared" si="121"/>
        <v>8696585</v>
      </c>
      <c r="P139" s="204">
        <f t="shared" si="121"/>
        <v>7032200</v>
      </c>
      <c r="Q139" s="204">
        <f t="shared" si="121"/>
        <v>1394500</v>
      </c>
      <c r="R139" s="204">
        <f t="shared" si="121"/>
        <v>0</v>
      </c>
      <c r="S139" s="204">
        <f t="shared" si="121"/>
        <v>0</v>
      </c>
      <c r="T139" s="204">
        <f t="shared" si="121"/>
        <v>0</v>
      </c>
      <c r="U139" s="1010">
        <f t="shared" si="121"/>
        <v>70273385</v>
      </c>
      <c r="V139" s="204">
        <f t="shared" si="121"/>
        <v>0</v>
      </c>
    </row>
    <row r="140" spans="1:23" ht="14.25" customHeight="1">
      <c r="A140" s="201" t="s">
        <v>24</v>
      </c>
      <c r="B140" s="179">
        <f t="shared" ref="B140:V140" si="122">+B80</f>
        <v>0</v>
      </c>
      <c r="C140" s="179">
        <f t="shared" si="122"/>
        <v>0</v>
      </c>
      <c r="D140" s="179">
        <f t="shared" si="122"/>
        <v>0</v>
      </c>
      <c r="E140" s="179">
        <f t="shared" si="122"/>
        <v>0</v>
      </c>
      <c r="F140" s="179">
        <f t="shared" si="122"/>
        <v>101937</v>
      </c>
      <c r="G140" s="179">
        <f t="shared" si="122"/>
        <v>220330</v>
      </c>
      <c r="H140" s="179">
        <f t="shared" si="122"/>
        <v>1292164</v>
      </c>
      <c r="I140" s="180">
        <f t="shared" si="122"/>
        <v>1912264</v>
      </c>
      <c r="J140" s="180">
        <f t="shared" si="122"/>
        <v>6780924</v>
      </c>
      <c r="K140" s="961">
        <f t="shared" si="122"/>
        <v>3254229</v>
      </c>
      <c r="L140" s="976">
        <f t="shared" si="122"/>
        <v>22550528</v>
      </c>
      <c r="M140" s="180">
        <f t="shared" si="122"/>
        <v>18557994</v>
      </c>
      <c r="N140" s="179">
        <f t="shared" si="122"/>
        <v>12000000</v>
      </c>
      <c r="O140" s="204">
        <f t="shared" si="122"/>
        <v>12000000</v>
      </c>
      <c r="P140" s="204">
        <f t="shared" si="122"/>
        <v>12000000</v>
      </c>
      <c r="Q140" s="204">
        <f t="shared" si="122"/>
        <v>12000000</v>
      </c>
      <c r="R140" s="204">
        <f t="shared" si="122"/>
        <v>0</v>
      </c>
      <c r="S140" s="204">
        <f t="shared" si="122"/>
        <v>0</v>
      </c>
      <c r="T140" s="204">
        <f t="shared" si="122"/>
        <v>0</v>
      </c>
      <c r="U140" s="1010">
        <f t="shared" si="122"/>
        <v>95889446</v>
      </c>
      <c r="V140" s="204">
        <f t="shared" si="122"/>
        <v>0</v>
      </c>
    </row>
    <row r="141" spans="1:23" ht="13.5" customHeight="1">
      <c r="A141" s="182" t="s">
        <v>71</v>
      </c>
      <c r="B141" s="179">
        <f t="shared" ref="B141:V141" si="123">+B81+B36</f>
        <v>0</v>
      </c>
      <c r="C141" s="179">
        <f t="shared" si="123"/>
        <v>0</v>
      </c>
      <c r="D141" s="179">
        <f t="shared" si="123"/>
        <v>0</v>
      </c>
      <c r="E141" s="179">
        <f t="shared" si="123"/>
        <v>0</v>
      </c>
      <c r="F141" s="179">
        <f t="shared" si="123"/>
        <v>0</v>
      </c>
      <c r="G141" s="179">
        <f t="shared" si="123"/>
        <v>0</v>
      </c>
      <c r="H141" s="179">
        <f t="shared" si="123"/>
        <v>0</v>
      </c>
      <c r="I141" s="180">
        <f t="shared" si="123"/>
        <v>0</v>
      </c>
      <c r="J141" s="180">
        <f t="shared" si="123"/>
        <v>0</v>
      </c>
      <c r="K141" s="961">
        <f t="shared" si="123"/>
        <v>200000</v>
      </c>
      <c r="L141" s="976">
        <f t="shared" si="123"/>
        <v>0</v>
      </c>
      <c r="M141" s="180">
        <f t="shared" si="123"/>
        <v>0</v>
      </c>
      <c r="N141" s="179">
        <f t="shared" si="123"/>
        <v>0</v>
      </c>
      <c r="O141" s="204">
        <f t="shared" si="123"/>
        <v>0</v>
      </c>
      <c r="P141" s="204">
        <f t="shared" si="123"/>
        <v>0</v>
      </c>
      <c r="Q141" s="204">
        <f t="shared" si="123"/>
        <v>0</v>
      </c>
      <c r="R141" s="204">
        <f t="shared" si="123"/>
        <v>0</v>
      </c>
      <c r="S141" s="204">
        <f t="shared" si="123"/>
        <v>0</v>
      </c>
      <c r="T141" s="204">
        <f t="shared" si="123"/>
        <v>0</v>
      </c>
      <c r="U141" s="1010">
        <f t="shared" si="123"/>
        <v>0</v>
      </c>
      <c r="V141" s="204">
        <f t="shared" si="123"/>
        <v>0</v>
      </c>
    </row>
    <row r="142" spans="1:23" ht="12.75" customHeight="1">
      <c r="A142" s="182" t="s">
        <v>72</v>
      </c>
      <c r="B142" s="179">
        <f t="shared" ref="B142:V142" si="124">+B44</f>
        <v>0</v>
      </c>
      <c r="C142" s="179">
        <f t="shared" si="124"/>
        <v>0</v>
      </c>
      <c r="D142" s="179">
        <f t="shared" si="124"/>
        <v>0</v>
      </c>
      <c r="E142" s="179">
        <f t="shared" si="124"/>
        <v>0</v>
      </c>
      <c r="F142" s="179">
        <f t="shared" si="124"/>
        <v>0</v>
      </c>
      <c r="G142" s="179">
        <f t="shared" si="124"/>
        <v>0</v>
      </c>
      <c r="H142" s="179">
        <f t="shared" si="124"/>
        <v>0</v>
      </c>
      <c r="I142" s="180">
        <f t="shared" si="124"/>
        <v>0</v>
      </c>
      <c r="J142" s="180">
        <f t="shared" si="124"/>
        <v>0</v>
      </c>
      <c r="K142" s="961">
        <f t="shared" si="124"/>
        <v>0</v>
      </c>
      <c r="L142" s="976">
        <f t="shared" si="124"/>
        <v>0</v>
      </c>
      <c r="M142" s="180">
        <f t="shared" si="124"/>
        <v>0</v>
      </c>
      <c r="N142" s="179">
        <f t="shared" si="124"/>
        <v>0</v>
      </c>
      <c r="O142" s="204">
        <f t="shared" si="124"/>
        <v>0</v>
      </c>
      <c r="P142" s="204">
        <f t="shared" si="124"/>
        <v>0</v>
      </c>
      <c r="Q142" s="204">
        <f t="shared" si="124"/>
        <v>0</v>
      </c>
      <c r="R142" s="204">
        <f t="shared" si="124"/>
        <v>0</v>
      </c>
      <c r="S142" s="204">
        <f t="shared" si="124"/>
        <v>0</v>
      </c>
      <c r="T142" s="204">
        <f t="shared" si="124"/>
        <v>0</v>
      </c>
      <c r="U142" s="1010">
        <f t="shared" si="124"/>
        <v>0</v>
      </c>
      <c r="V142" s="204">
        <f t="shared" si="124"/>
        <v>0</v>
      </c>
    </row>
    <row r="143" spans="1:23" ht="14.25" customHeight="1">
      <c r="A143" s="182" t="s">
        <v>29</v>
      </c>
      <c r="B143" s="179">
        <f t="shared" ref="B143:V143" si="125">+B42+B39</f>
        <v>0</v>
      </c>
      <c r="C143" s="179">
        <f t="shared" si="125"/>
        <v>0</v>
      </c>
      <c r="D143" s="179">
        <f t="shared" si="125"/>
        <v>0</v>
      </c>
      <c r="E143" s="179">
        <f t="shared" si="125"/>
        <v>0</v>
      </c>
      <c r="F143" s="179">
        <f t="shared" si="125"/>
        <v>0</v>
      </c>
      <c r="G143" s="179">
        <f t="shared" si="125"/>
        <v>7240187</v>
      </c>
      <c r="H143" s="179">
        <f t="shared" si="125"/>
        <v>6502132</v>
      </c>
      <c r="I143" s="180">
        <f t="shared" si="125"/>
        <v>810774</v>
      </c>
      <c r="J143" s="180">
        <f t="shared" si="125"/>
        <v>17428137</v>
      </c>
      <c r="K143" s="961">
        <f t="shared" si="125"/>
        <v>2875044</v>
      </c>
      <c r="L143" s="976">
        <f t="shared" si="125"/>
        <v>697024</v>
      </c>
      <c r="M143" s="180">
        <f t="shared" si="125"/>
        <v>0</v>
      </c>
      <c r="N143" s="179">
        <f t="shared" si="125"/>
        <v>0</v>
      </c>
      <c r="O143" s="204">
        <f t="shared" si="125"/>
        <v>0</v>
      </c>
      <c r="P143" s="204">
        <f t="shared" si="125"/>
        <v>0</v>
      </c>
      <c r="Q143" s="204">
        <f t="shared" si="125"/>
        <v>0</v>
      </c>
      <c r="R143" s="204">
        <f t="shared" si="125"/>
        <v>0</v>
      </c>
      <c r="S143" s="204">
        <f t="shared" si="125"/>
        <v>0</v>
      </c>
      <c r="T143" s="204">
        <f t="shared" si="125"/>
        <v>0</v>
      </c>
      <c r="U143" s="1010">
        <f t="shared" si="125"/>
        <v>18125161</v>
      </c>
      <c r="V143" s="204">
        <f t="shared" si="125"/>
        <v>0</v>
      </c>
    </row>
    <row r="144" spans="1:23" ht="21.75" customHeight="1">
      <c r="A144" s="182" t="s">
        <v>38</v>
      </c>
      <c r="B144" s="204">
        <f t="shared" ref="B144:V144" si="126">+B40</f>
        <v>0</v>
      </c>
      <c r="C144" s="204">
        <f t="shared" si="126"/>
        <v>0</v>
      </c>
      <c r="D144" s="204">
        <f t="shared" si="126"/>
        <v>0</v>
      </c>
      <c r="E144" s="204">
        <f t="shared" si="126"/>
        <v>0</v>
      </c>
      <c r="F144" s="204">
        <f t="shared" si="126"/>
        <v>0</v>
      </c>
      <c r="G144" s="204">
        <f t="shared" si="126"/>
        <v>0</v>
      </c>
      <c r="H144" s="204">
        <f t="shared" si="126"/>
        <v>0</v>
      </c>
      <c r="I144" s="204">
        <f t="shared" si="126"/>
        <v>841481</v>
      </c>
      <c r="J144" s="179">
        <f t="shared" si="126"/>
        <v>841481</v>
      </c>
      <c r="K144" s="961">
        <f t="shared" si="126"/>
        <v>0</v>
      </c>
      <c r="L144" s="976">
        <f t="shared" si="126"/>
        <v>0</v>
      </c>
      <c r="M144" s="180">
        <f t="shared" si="126"/>
        <v>0</v>
      </c>
      <c r="N144" s="179">
        <f t="shared" si="126"/>
        <v>0</v>
      </c>
      <c r="O144" s="204">
        <f t="shared" si="126"/>
        <v>0</v>
      </c>
      <c r="P144" s="204">
        <f t="shared" si="126"/>
        <v>0</v>
      </c>
      <c r="Q144" s="204">
        <f t="shared" si="126"/>
        <v>0</v>
      </c>
      <c r="R144" s="204">
        <f t="shared" si="126"/>
        <v>0</v>
      </c>
      <c r="S144" s="204">
        <f t="shared" si="126"/>
        <v>0</v>
      </c>
      <c r="T144" s="204">
        <f t="shared" si="126"/>
        <v>0</v>
      </c>
      <c r="U144" s="1010">
        <f t="shared" si="126"/>
        <v>841481</v>
      </c>
      <c r="V144" s="204">
        <f t="shared" si="126"/>
        <v>0</v>
      </c>
    </row>
    <row r="145" spans="1:25" ht="14.25" customHeight="1">
      <c r="A145" s="182" t="s">
        <v>32</v>
      </c>
      <c r="B145" s="204">
        <f t="shared" ref="B145:V145" si="127">+B45</f>
        <v>0</v>
      </c>
      <c r="C145" s="204">
        <f t="shared" si="127"/>
        <v>0</v>
      </c>
      <c r="D145" s="204">
        <f t="shared" si="127"/>
        <v>0</v>
      </c>
      <c r="E145" s="204">
        <f t="shared" si="127"/>
        <v>0</v>
      </c>
      <c r="F145" s="204">
        <f t="shared" si="127"/>
        <v>0</v>
      </c>
      <c r="G145" s="204">
        <f t="shared" si="127"/>
        <v>3544011</v>
      </c>
      <c r="H145" s="204">
        <f t="shared" si="127"/>
        <v>4405356</v>
      </c>
      <c r="I145" s="205">
        <f t="shared" si="127"/>
        <v>3461860</v>
      </c>
      <c r="J145" s="180">
        <f t="shared" si="127"/>
        <v>11647133</v>
      </c>
      <c r="K145" s="961">
        <f t="shared" si="127"/>
        <v>235906</v>
      </c>
      <c r="L145" s="976">
        <f t="shared" si="127"/>
        <v>137580</v>
      </c>
      <c r="M145" s="180">
        <f t="shared" si="127"/>
        <v>4858633</v>
      </c>
      <c r="N145" s="179">
        <f t="shared" si="127"/>
        <v>15423597</v>
      </c>
      <c r="O145" s="204">
        <f t="shared" si="127"/>
        <v>10410084</v>
      </c>
      <c r="P145" s="204">
        <f t="shared" si="127"/>
        <v>8543805</v>
      </c>
      <c r="Q145" s="204">
        <f t="shared" si="127"/>
        <v>3158660</v>
      </c>
      <c r="R145" s="204">
        <f t="shared" si="127"/>
        <v>113837</v>
      </c>
      <c r="S145" s="204">
        <f t="shared" si="127"/>
        <v>0</v>
      </c>
      <c r="T145" s="204">
        <f t="shared" si="127"/>
        <v>0</v>
      </c>
      <c r="U145" s="1010">
        <f t="shared" si="127"/>
        <v>54293329</v>
      </c>
      <c r="V145" s="204">
        <f t="shared" si="127"/>
        <v>0</v>
      </c>
    </row>
    <row r="146" spans="1:25" ht="14.25" customHeight="1">
      <c r="A146" s="206" t="s">
        <v>31</v>
      </c>
      <c r="B146" s="207">
        <f t="shared" ref="B146:V146" si="128">+B43</f>
        <v>0</v>
      </c>
      <c r="C146" s="207">
        <f t="shared" si="128"/>
        <v>0</v>
      </c>
      <c r="D146" s="207">
        <f t="shared" si="128"/>
        <v>0</v>
      </c>
      <c r="E146" s="207">
        <f t="shared" si="128"/>
        <v>0</v>
      </c>
      <c r="F146" s="207">
        <f t="shared" si="128"/>
        <v>0</v>
      </c>
      <c r="G146" s="207">
        <f t="shared" si="128"/>
        <v>0</v>
      </c>
      <c r="H146" s="207">
        <f t="shared" si="128"/>
        <v>0</v>
      </c>
      <c r="I146" s="207">
        <f t="shared" si="128"/>
        <v>0</v>
      </c>
      <c r="J146" s="1023">
        <f t="shared" si="128"/>
        <v>0</v>
      </c>
      <c r="K146" s="1024">
        <f t="shared" si="128"/>
        <v>0</v>
      </c>
      <c r="L146" s="1025">
        <f t="shared" si="128"/>
        <v>0</v>
      </c>
      <c r="M146" s="1026">
        <f t="shared" si="128"/>
        <v>0</v>
      </c>
      <c r="N146" s="1023">
        <f t="shared" si="128"/>
        <v>0</v>
      </c>
      <c r="O146" s="207">
        <f t="shared" si="128"/>
        <v>0</v>
      </c>
      <c r="P146" s="207">
        <f t="shared" si="128"/>
        <v>0</v>
      </c>
      <c r="Q146" s="207">
        <f t="shared" si="128"/>
        <v>0</v>
      </c>
      <c r="R146" s="207">
        <f t="shared" si="128"/>
        <v>0</v>
      </c>
      <c r="S146" s="207">
        <f t="shared" si="128"/>
        <v>0</v>
      </c>
      <c r="T146" s="207">
        <f t="shared" si="128"/>
        <v>0</v>
      </c>
      <c r="U146" s="1010">
        <f t="shared" si="128"/>
        <v>0</v>
      </c>
      <c r="V146" s="207">
        <f t="shared" si="128"/>
        <v>0</v>
      </c>
    </row>
    <row r="147" spans="1:25" ht="14.25" customHeight="1" thickBot="1">
      <c r="A147" s="187" t="s">
        <v>33</v>
      </c>
      <c r="B147" s="208">
        <f t="shared" ref="B147:V147" si="129">+B46</f>
        <v>0</v>
      </c>
      <c r="C147" s="208">
        <f t="shared" si="129"/>
        <v>0</v>
      </c>
      <c r="D147" s="208">
        <f t="shared" si="129"/>
        <v>2563346</v>
      </c>
      <c r="E147" s="208">
        <f t="shared" si="129"/>
        <v>8310034</v>
      </c>
      <c r="F147" s="208">
        <f t="shared" si="129"/>
        <v>408227</v>
      </c>
      <c r="G147" s="208">
        <f t="shared" si="129"/>
        <v>6808351</v>
      </c>
      <c r="H147" s="208">
        <f t="shared" si="129"/>
        <v>43516744</v>
      </c>
      <c r="I147" s="209">
        <f t="shared" si="129"/>
        <v>70055773</v>
      </c>
      <c r="J147" s="209">
        <f t="shared" si="129"/>
        <v>262314396</v>
      </c>
      <c r="K147" s="962">
        <f t="shared" si="129"/>
        <v>141788356</v>
      </c>
      <c r="L147" s="979">
        <f t="shared" si="129"/>
        <v>111259929</v>
      </c>
      <c r="M147" s="209">
        <f t="shared" si="129"/>
        <v>155731382</v>
      </c>
      <c r="N147" s="208">
        <f t="shared" si="129"/>
        <v>329320680</v>
      </c>
      <c r="O147" s="208">
        <f t="shared" si="129"/>
        <v>227168154</v>
      </c>
      <c r="P147" s="208">
        <f t="shared" si="129"/>
        <v>64301750</v>
      </c>
      <c r="Q147" s="208">
        <f t="shared" si="129"/>
        <v>45661245</v>
      </c>
      <c r="R147" s="208">
        <f t="shared" si="129"/>
        <v>32305516</v>
      </c>
      <c r="S147" s="208">
        <f t="shared" si="129"/>
        <v>31971546</v>
      </c>
      <c r="T147" s="208">
        <f t="shared" si="129"/>
        <v>31208245</v>
      </c>
      <c r="U147" s="1011">
        <f t="shared" si="129"/>
        <v>1291242843</v>
      </c>
      <c r="V147" s="208">
        <f t="shared" si="129"/>
        <v>0</v>
      </c>
    </row>
    <row r="148" spans="1:25" ht="14.25" customHeight="1" thickBot="1">
      <c r="A148" s="210">
        <f>+L137+L143</f>
        <v>31778178</v>
      </c>
      <c r="B148" s="191">
        <f t="shared" ref="B148:U148" si="130">SUM(B136:B147)</f>
        <v>283660</v>
      </c>
      <c r="C148" s="192">
        <f t="shared" si="130"/>
        <v>0</v>
      </c>
      <c r="D148" s="192">
        <f t="shared" si="130"/>
        <v>2563346</v>
      </c>
      <c r="E148" s="192">
        <f t="shared" si="130"/>
        <v>8589820</v>
      </c>
      <c r="F148" s="191">
        <f t="shared" si="130"/>
        <v>3076892</v>
      </c>
      <c r="G148" s="193">
        <f t="shared" si="130"/>
        <v>35761249</v>
      </c>
      <c r="H148" s="194">
        <f t="shared" si="130"/>
        <v>73348257</v>
      </c>
      <c r="I148" s="191">
        <f t="shared" si="130"/>
        <v>94462773</v>
      </c>
      <c r="J148" s="191">
        <f t="shared" ref="J148" si="131">SUM(J136:J147)</f>
        <v>380066361</v>
      </c>
      <c r="K148" s="191">
        <f t="shared" si="130"/>
        <v>173643007</v>
      </c>
      <c r="L148" s="980">
        <f t="shared" si="130"/>
        <v>167680778</v>
      </c>
      <c r="M148" s="191">
        <f t="shared" si="130"/>
        <v>201529269</v>
      </c>
      <c r="N148" s="191">
        <f t="shared" si="130"/>
        <v>370993127</v>
      </c>
      <c r="O148" s="191">
        <f t="shared" si="130"/>
        <v>259694651</v>
      </c>
      <c r="P148" s="191">
        <f t="shared" ref="P148:Q148" si="132">SUM(P136:P147)</f>
        <v>93029324</v>
      </c>
      <c r="Q148" s="191">
        <f t="shared" si="132"/>
        <v>63431139</v>
      </c>
      <c r="R148" s="191"/>
      <c r="S148" s="191"/>
      <c r="T148" s="191"/>
      <c r="U148" s="191">
        <f t="shared" si="130"/>
        <v>1634514648</v>
      </c>
      <c r="V148" s="191">
        <f>SUM(V136:V147)</f>
        <v>0</v>
      </c>
    </row>
    <row r="149" spans="1:25" ht="14.25" customHeight="1" thickBot="1">
      <c r="A149" s="211"/>
      <c r="B149" s="212">
        <f t="shared" ref="B149:Q149" si="133">+B148-B91</f>
        <v>0</v>
      </c>
      <c r="C149" s="212">
        <f t="shared" si="133"/>
        <v>0</v>
      </c>
      <c r="D149" s="212">
        <f t="shared" si="133"/>
        <v>0</v>
      </c>
      <c r="E149" s="212">
        <f t="shared" si="133"/>
        <v>0</v>
      </c>
      <c r="F149" s="212">
        <f t="shared" si="133"/>
        <v>0</v>
      </c>
      <c r="G149" s="212">
        <f t="shared" si="133"/>
        <v>0</v>
      </c>
      <c r="H149" s="212">
        <f t="shared" si="133"/>
        <v>0</v>
      </c>
      <c r="I149" s="212">
        <f t="shared" si="133"/>
        <v>0</v>
      </c>
      <c r="J149" s="212">
        <f t="shared" si="133"/>
        <v>0</v>
      </c>
      <c r="K149" s="191">
        <f t="shared" si="133"/>
        <v>0</v>
      </c>
      <c r="L149" s="191">
        <f t="shared" si="133"/>
        <v>0</v>
      </c>
      <c r="M149" s="212">
        <f t="shared" si="133"/>
        <v>0</v>
      </c>
      <c r="N149" s="212">
        <f t="shared" si="133"/>
        <v>0</v>
      </c>
      <c r="O149" s="212">
        <f t="shared" si="133"/>
        <v>0</v>
      </c>
      <c r="P149" s="212">
        <f t="shared" si="133"/>
        <v>0</v>
      </c>
      <c r="Q149" s="212">
        <f t="shared" si="133"/>
        <v>0</v>
      </c>
      <c r="R149" s="212"/>
      <c r="S149" s="212"/>
      <c r="T149" s="212"/>
      <c r="U149" s="212">
        <f>+U148-U91</f>
        <v>0</v>
      </c>
      <c r="V149" s="191"/>
    </row>
    <row r="150" spans="1:25" ht="13.5" thickBot="1">
      <c r="A150" s="2"/>
      <c r="B150" s="148" t="s">
        <v>6</v>
      </c>
      <c r="C150" s="149" t="s">
        <v>7</v>
      </c>
      <c r="D150" s="149" t="s">
        <v>8</v>
      </c>
      <c r="E150" s="149" t="s">
        <v>9</v>
      </c>
      <c r="F150" s="148" t="s">
        <v>10</v>
      </c>
      <c r="G150" s="150" t="s">
        <v>11</v>
      </c>
      <c r="H150" s="151" t="s">
        <v>12</v>
      </c>
      <c r="I150" s="949" t="s">
        <v>13</v>
      </c>
      <c r="J150" s="909" t="s">
        <v>371</v>
      </c>
      <c r="K150" s="1013" t="s">
        <v>14</v>
      </c>
      <c r="L150" s="152" t="s">
        <v>15</v>
      </c>
      <c r="M150" s="153" t="s">
        <v>16</v>
      </c>
      <c r="N150" s="151" t="s">
        <v>17</v>
      </c>
      <c r="O150" s="151" t="s">
        <v>18</v>
      </c>
      <c r="P150" s="151" t="s">
        <v>290</v>
      </c>
      <c r="Q150" s="151" t="s">
        <v>295</v>
      </c>
      <c r="R150" s="151" t="s">
        <v>373</v>
      </c>
      <c r="S150" s="151" t="s">
        <v>374</v>
      </c>
      <c r="T150" s="151" t="s">
        <v>372</v>
      </c>
      <c r="U150" s="154" t="s">
        <v>61</v>
      </c>
      <c r="V150" s="154" t="s">
        <v>356</v>
      </c>
    </row>
    <row r="151" spans="1:25" ht="3" customHeight="1">
      <c r="A151" s="2908" t="s">
        <v>512</v>
      </c>
      <c r="B151" s="213"/>
      <c r="C151" s="213"/>
      <c r="D151" s="213"/>
      <c r="E151" s="213"/>
      <c r="F151" s="213"/>
      <c r="G151" s="214"/>
      <c r="H151" s="213"/>
      <c r="I151" s="215"/>
      <c r="J151" s="215"/>
      <c r="K151" s="821"/>
      <c r="L151" s="216"/>
      <c r="M151" s="217"/>
      <c r="N151" s="213"/>
      <c r="O151" s="213"/>
      <c r="P151" s="213"/>
      <c r="Q151" s="213"/>
      <c r="R151" s="213"/>
      <c r="S151" s="213"/>
      <c r="T151" s="213"/>
      <c r="U151" s="213"/>
      <c r="V151" s="1125"/>
    </row>
    <row r="152" spans="1:25" ht="26.25" customHeight="1" thickBot="1">
      <c r="A152" s="2909"/>
      <c r="B152" s="218">
        <f>SUM(B153:B163)</f>
        <v>64233113</v>
      </c>
      <c r="C152" s="219" t="e">
        <f t="shared" ref="C152:O152" si="134">SUM(C153:C163)</f>
        <v>#REF!</v>
      </c>
      <c r="D152" s="219" t="e">
        <f t="shared" si="134"/>
        <v>#REF!</v>
      </c>
      <c r="E152" s="219" t="e">
        <f t="shared" si="134"/>
        <v>#REF!</v>
      </c>
      <c r="F152" s="218">
        <f t="shared" si="134"/>
        <v>106866512</v>
      </c>
      <c r="G152" s="220">
        <f t="shared" si="134"/>
        <v>210123298</v>
      </c>
      <c r="H152" s="218">
        <f t="shared" si="134"/>
        <v>232143167.30000001</v>
      </c>
      <c r="I152" s="218">
        <f t="shared" si="134"/>
        <v>373564523.30000001</v>
      </c>
      <c r="J152" s="1239">
        <f t="shared" si="134"/>
        <v>751273186.29999995</v>
      </c>
      <c r="K152" s="1240">
        <f t="shared" si="134"/>
        <v>315027238</v>
      </c>
      <c r="L152" s="1241">
        <f t="shared" si="134"/>
        <v>286536126</v>
      </c>
      <c r="M152" s="1242">
        <f t="shared" si="134"/>
        <v>319949951.63999999</v>
      </c>
      <c r="N152" s="1239">
        <f t="shared" si="134"/>
        <v>515915576</v>
      </c>
      <c r="O152" s="1239">
        <f t="shared" si="134"/>
        <v>351681560</v>
      </c>
      <c r="P152" s="1239">
        <f t="shared" ref="P152:T152" si="135">SUM(P153:P163)</f>
        <v>186916182</v>
      </c>
      <c r="Q152" s="1239">
        <f t="shared" si="135"/>
        <v>138176167</v>
      </c>
      <c r="R152" s="1239">
        <f t="shared" si="135"/>
        <v>41375591</v>
      </c>
      <c r="S152" s="1239">
        <f t="shared" si="135"/>
        <v>38702795</v>
      </c>
      <c r="T152" s="1239">
        <f t="shared" si="135"/>
        <v>36567475</v>
      </c>
      <c r="U152" s="1239">
        <f>SUM(U153:U163)</f>
        <v>2670658899.9400001</v>
      </c>
      <c r="V152" s="1243">
        <f>SUM(V153:V163)</f>
        <v>758923106.63999999</v>
      </c>
    </row>
    <row r="153" spans="1:25">
      <c r="A153" s="221" t="s">
        <v>65</v>
      </c>
      <c r="B153" s="222">
        <v>14165198</v>
      </c>
      <c r="C153" s="222" t="e">
        <v>#REF!</v>
      </c>
      <c r="D153" s="222" t="e">
        <v>#REF!</v>
      </c>
      <c r="E153" s="222" t="e">
        <v>#REF!</v>
      </c>
      <c r="F153" s="222">
        <v>14686560</v>
      </c>
      <c r="G153" s="223">
        <v>58576756</v>
      </c>
      <c r="H153" s="222">
        <v>56208229.299999997</v>
      </c>
      <c r="I153" s="222">
        <v>139739807.30000001</v>
      </c>
      <c r="J153" s="224">
        <v>278606412.30000001</v>
      </c>
      <c r="K153" s="822">
        <v>106001006</v>
      </c>
      <c r="L153" s="225">
        <v>99398729</v>
      </c>
      <c r="M153" s="226">
        <v>154308684.63999999</v>
      </c>
      <c r="N153" s="222">
        <v>175095931</v>
      </c>
      <c r="O153" s="222">
        <v>161538587</v>
      </c>
      <c r="P153" s="222">
        <v>114052700</v>
      </c>
      <c r="Q153" s="222">
        <v>89465641</v>
      </c>
      <c r="R153" s="222">
        <v>8080661</v>
      </c>
      <c r="S153" s="222">
        <v>5741835</v>
      </c>
      <c r="T153" s="222">
        <v>4864523</v>
      </c>
      <c r="U153" s="222">
        <v>1094717993.9400001</v>
      </c>
      <c r="V153" s="223">
        <v>681801297.63999999</v>
      </c>
      <c r="X153" s="13"/>
      <c r="Y153" s="13"/>
    </row>
    <row r="154" spans="1:25">
      <c r="A154" s="221" t="s">
        <v>66</v>
      </c>
      <c r="B154" s="222">
        <v>3621827</v>
      </c>
      <c r="C154" s="222" t="e">
        <v>#REF!</v>
      </c>
      <c r="D154" s="222" t="e">
        <v>#REF!</v>
      </c>
      <c r="E154" s="222" t="e">
        <v>#REF!</v>
      </c>
      <c r="F154" s="222">
        <v>6819986</v>
      </c>
      <c r="G154" s="223">
        <v>10846424</v>
      </c>
      <c r="H154" s="222">
        <v>13251483</v>
      </c>
      <c r="I154" s="222">
        <v>6472922</v>
      </c>
      <c r="J154" s="224">
        <v>65727829</v>
      </c>
      <c r="K154" s="822">
        <v>27656273</v>
      </c>
      <c r="L154" s="225">
        <v>40652706</v>
      </c>
      <c r="M154" s="226">
        <v>5039601</v>
      </c>
      <c r="N154" s="222">
        <v>0</v>
      </c>
      <c r="O154" s="222">
        <v>0</v>
      </c>
      <c r="P154" s="222">
        <v>0</v>
      </c>
      <c r="Q154" s="222">
        <v>0</v>
      </c>
      <c r="R154" s="222">
        <v>0</v>
      </c>
      <c r="S154" s="222">
        <v>0</v>
      </c>
      <c r="T154" s="222">
        <v>0</v>
      </c>
      <c r="U154" s="222">
        <v>111420136</v>
      </c>
      <c r="V154" s="223">
        <v>5039601</v>
      </c>
      <c r="X154" s="13"/>
      <c r="Y154" s="13"/>
    </row>
    <row r="155" spans="1:25">
      <c r="A155" s="227" t="s">
        <v>25</v>
      </c>
      <c r="B155" s="222">
        <v>535781</v>
      </c>
      <c r="C155" s="222" t="e">
        <v>#REF!</v>
      </c>
      <c r="D155" s="222" t="e">
        <v>#REF!</v>
      </c>
      <c r="E155" s="222" t="e">
        <v>#REF!</v>
      </c>
      <c r="F155" s="222">
        <v>624623</v>
      </c>
      <c r="G155" s="223">
        <v>8734797</v>
      </c>
      <c r="H155" s="222">
        <v>2799809</v>
      </c>
      <c r="I155" s="222">
        <v>5170948</v>
      </c>
      <c r="J155" s="224">
        <v>31512796</v>
      </c>
      <c r="K155" s="822">
        <v>17471012</v>
      </c>
      <c r="L155" s="225">
        <v>31192519</v>
      </c>
      <c r="M155" s="226">
        <v>9297608</v>
      </c>
      <c r="N155" s="222">
        <v>1874224</v>
      </c>
      <c r="O155" s="222">
        <v>1419828</v>
      </c>
      <c r="P155" s="222">
        <v>1151570</v>
      </c>
      <c r="Q155" s="222">
        <v>1216734</v>
      </c>
      <c r="R155" s="222">
        <v>989414</v>
      </c>
      <c r="S155" s="222">
        <v>989414</v>
      </c>
      <c r="T155" s="222">
        <v>494707</v>
      </c>
      <c r="U155" s="222">
        <v>80138814</v>
      </c>
      <c r="V155" s="223">
        <v>13595299</v>
      </c>
      <c r="X155" s="13"/>
      <c r="Y155" s="13"/>
    </row>
    <row r="156" spans="1:25" ht="24">
      <c r="A156" s="227" t="s">
        <v>67</v>
      </c>
      <c r="B156" s="222">
        <v>5935894</v>
      </c>
      <c r="C156" s="222">
        <v>0</v>
      </c>
      <c r="D156" s="222">
        <v>0</v>
      </c>
      <c r="E156" s="222">
        <v>6647405</v>
      </c>
      <c r="F156" s="222">
        <v>10285500</v>
      </c>
      <c r="G156" s="223">
        <v>12796084</v>
      </c>
      <c r="H156" s="222">
        <v>12792166</v>
      </c>
      <c r="I156" s="222">
        <v>9659941</v>
      </c>
      <c r="J156" s="224">
        <v>0</v>
      </c>
      <c r="K156" s="822">
        <v>200000</v>
      </c>
      <c r="L156" s="225">
        <v>0</v>
      </c>
      <c r="M156" s="226">
        <v>0</v>
      </c>
      <c r="N156" s="222">
        <v>0</v>
      </c>
      <c r="O156" s="222">
        <v>0</v>
      </c>
      <c r="P156" s="222">
        <v>0</v>
      </c>
      <c r="Q156" s="222">
        <v>0</v>
      </c>
      <c r="R156" s="222">
        <v>0</v>
      </c>
      <c r="S156" s="222">
        <v>0</v>
      </c>
      <c r="T156" s="222">
        <v>0</v>
      </c>
      <c r="U156" s="222">
        <v>0</v>
      </c>
      <c r="V156" s="223">
        <v>0</v>
      </c>
      <c r="X156" s="13"/>
      <c r="Y156" s="13"/>
    </row>
    <row r="157" spans="1:25">
      <c r="A157" s="227" t="s">
        <v>27</v>
      </c>
      <c r="B157" s="222">
        <v>3923747</v>
      </c>
      <c r="C157" s="222">
        <v>0</v>
      </c>
      <c r="D157" s="222">
        <v>0</v>
      </c>
      <c r="E157" s="222">
        <v>3923747</v>
      </c>
      <c r="F157" s="222">
        <v>3817914</v>
      </c>
      <c r="G157" s="223">
        <v>4145000</v>
      </c>
      <c r="H157" s="222">
        <v>8232289</v>
      </c>
      <c r="I157" s="222">
        <v>3712896</v>
      </c>
      <c r="J157" s="224">
        <v>19030945</v>
      </c>
      <c r="K157" s="822">
        <v>3686480</v>
      </c>
      <c r="L157" s="225">
        <v>1651313</v>
      </c>
      <c r="M157" s="226">
        <v>1398414</v>
      </c>
      <c r="N157" s="222">
        <v>0</v>
      </c>
      <c r="O157" s="222">
        <v>0</v>
      </c>
      <c r="P157" s="222">
        <v>0</v>
      </c>
      <c r="Q157" s="222">
        <v>0</v>
      </c>
      <c r="R157" s="222">
        <v>0</v>
      </c>
      <c r="S157" s="222">
        <v>0</v>
      </c>
      <c r="T157" s="222">
        <v>0</v>
      </c>
      <c r="U157" s="222">
        <v>22080672</v>
      </c>
      <c r="V157" s="223">
        <v>1398414</v>
      </c>
      <c r="X157" s="13"/>
      <c r="Y157" s="13"/>
    </row>
    <row r="158" spans="1:25">
      <c r="A158" s="227" t="s">
        <v>68</v>
      </c>
      <c r="B158" s="222">
        <v>0</v>
      </c>
      <c r="C158" s="222">
        <v>0</v>
      </c>
      <c r="D158" s="222">
        <v>0</v>
      </c>
      <c r="E158" s="222">
        <v>0</v>
      </c>
      <c r="F158" s="222">
        <v>0</v>
      </c>
      <c r="G158" s="223">
        <v>0</v>
      </c>
      <c r="H158" s="222">
        <v>3849132</v>
      </c>
      <c r="I158" s="222">
        <v>19947789</v>
      </c>
      <c r="J158" s="224">
        <v>23259366</v>
      </c>
      <c r="K158" s="822">
        <v>5756250</v>
      </c>
      <c r="L158" s="225">
        <v>3462000</v>
      </c>
      <c r="M158" s="226">
        <v>12099643</v>
      </c>
      <c r="N158" s="222">
        <v>22748341</v>
      </c>
      <c r="O158" s="222">
        <v>8696585</v>
      </c>
      <c r="P158" s="222">
        <v>3328200</v>
      </c>
      <c r="Q158" s="222">
        <v>1394500</v>
      </c>
      <c r="R158" s="222">
        <v>0</v>
      </c>
      <c r="S158" s="222">
        <v>0</v>
      </c>
      <c r="T158" s="222">
        <v>0</v>
      </c>
      <c r="U158" s="222">
        <v>74988635</v>
      </c>
      <c r="V158" s="223">
        <v>48267269</v>
      </c>
      <c r="X158" s="13"/>
      <c r="Y158" s="13"/>
    </row>
    <row r="159" spans="1:25">
      <c r="A159" s="227" t="s">
        <v>32</v>
      </c>
      <c r="B159" s="222">
        <v>0</v>
      </c>
      <c r="C159" s="222">
        <v>0</v>
      </c>
      <c r="D159" s="222">
        <v>0</v>
      </c>
      <c r="E159" s="222">
        <v>0</v>
      </c>
      <c r="F159" s="222">
        <v>829536</v>
      </c>
      <c r="G159" s="223">
        <v>4707541</v>
      </c>
      <c r="H159" s="222">
        <v>2188317</v>
      </c>
      <c r="I159" s="222">
        <v>1176214</v>
      </c>
      <c r="J159" s="224">
        <v>7123728</v>
      </c>
      <c r="K159" s="822">
        <v>3209752</v>
      </c>
      <c r="L159" s="225">
        <v>4991601</v>
      </c>
      <c r="M159" s="226">
        <v>9240500</v>
      </c>
      <c r="N159" s="222">
        <v>21351848</v>
      </c>
      <c r="O159" s="222">
        <v>3595002</v>
      </c>
      <c r="P159" s="222">
        <v>5936059</v>
      </c>
      <c r="Q159" s="222">
        <v>51958</v>
      </c>
      <c r="R159" s="222">
        <v>0</v>
      </c>
      <c r="S159" s="222">
        <v>0</v>
      </c>
      <c r="T159" s="222">
        <v>0</v>
      </c>
      <c r="U159" s="222">
        <v>52290696</v>
      </c>
      <c r="V159" s="223">
        <v>7377426</v>
      </c>
      <c r="X159" s="13"/>
      <c r="Y159" s="13"/>
    </row>
    <row r="160" spans="1:25">
      <c r="A160" s="227" t="s">
        <v>29</v>
      </c>
      <c r="B160" s="222">
        <v>289954</v>
      </c>
      <c r="C160" s="222">
        <v>0</v>
      </c>
      <c r="D160" s="222">
        <v>43011</v>
      </c>
      <c r="E160" s="222">
        <v>230832</v>
      </c>
      <c r="F160" s="222">
        <v>787833</v>
      </c>
      <c r="G160" s="223">
        <v>29963574</v>
      </c>
      <c r="H160" s="222">
        <v>7405834</v>
      </c>
      <c r="I160" s="222">
        <v>1961906</v>
      </c>
      <c r="J160" s="224">
        <v>18122130</v>
      </c>
      <c r="K160" s="822">
        <v>1592587</v>
      </c>
      <c r="L160" s="225">
        <v>3031</v>
      </c>
      <c r="M160" s="226">
        <v>0</v>
      </c>
      <c r="N160" s="222">
        <v>0</v>
      </c>
      <c r="O160" s="222">
        <v>0</v>
      </c>
      <c r="P160" s="222">
        <v>0</v>
      </c>
      <c r="Q160" s="222">
        <v>0</v>
      </c>
      <c r="R160" s="222">
        <v>0</v>
      </c>
      <c r="S160" s="222">
        <v>0</v>
      </c>
      <c r="T160" s="222">
        <v>0</v>
      </c>
      <c r="U160" s="222">
        <v>18125161</v>
      </c>
      <c r="V160" s="223">
        <v>0</v>
      </c>
      <c r="X160" s="13"/>
      <c r="Y160" s="13"/>
    </row>
    <row r="161" spans="1:25">
      <c r="A161" s="228" t="s">
        <v>69</v>
      </c>
      <c r="B161" s="222">
        <v>10594223</v>
      </c>
      <c r="C161" s="222">
        <v>0</v>
      </c>
      <c r="D161" s="222">
        <v>0</v>
      </c>
      <c r="E161" s="222">
        <v>3058368</v>
      </c>
      <c r="F161" s="222">
        <v>17692550</v>
      </c>
      <c r="G161" s="223">
        <v>2998223</v>
      </c>
      <c r="H161" s="222">
        <v>3753212</v>
      </c>
      <c r="I161" s="222">
        <v>4711864</v>
      </c>
      <c r="J161" s="224">
        <v>0</v>
      </c>
      <c r="K161" s="822">
        <v>0</v>
      </c>
      <c r="L161" s="225">
        <v>0</v>
      </c>
      <c r="M161" s="226">
        <v>0</v>
      </c>
      <c r="N161" s="222">
        <v>0</v>
      </c>
      <c r="O161" s="222">
        <v>0</v>
      </c>
      <c r="P161" s="222">
        <v>0</v>
      </c>
      <c r="Q161" s="222">
        <v>0</v>
      </c>
      <c r="R161" s="222">
        <v>0</v>
      </c>
      <c r="S161" s="222">
        <v>0</v>
      </c>
      <c r="T161" s="222">
        <v>0</v>
      </c>
      <c r="U161" s="222">
        <v>0</v>
      </c>
      <c r="V161" s="223">
        <v>0</v>
      </c>
      <c r="W161" s="330"/>
      <c r="X161" s="13"/>
      <c r="Y161" s="13"/>
    </row>
    <row r="162" spans="1:25">
      <c r="A162" s="229" t="s">
        <v>31</v>
      </c>
      <c r="B162" s="230">
        <v>0</v>
      </c>
      <c r="C162" s="230">
        <v>0</v>
      </c>
      <c r="D162" s="230">
        <v>0</v>
      </c>
      <c r="E162" s="230">
        <v>0</v>
      </c>
      <c r="F162" s="230">
        <v>0</v>
      </c>
      <c r="G162" s="231">
        <v>0</v>
      </c>
      <c r="H162" s="230">
        <v>0</v>
      </c>
      <c r="I162" s="230">
        <v>1023120</v>
      </c>
      <c r="J162" s="224">
        <v>0</v>
      </c>
      <c r="K162" s="823">
        <v>0</v>
      </c>
      <c r="L162" s="232">
        <v>0</v>
      </c>
      <c r="M162" s="233">
        <v>0</v>
      </c>
      <c r="N162" s="230">
        <v>0</v>
      </c>
      <c r="O162" s="230">
        <v>0</v>
      </c>
      <c r="P162" s="230">
        <v>0</v>
      </c>
      <c r="Q162" s="230">
        <v>0</v>
      </c>
      <c r="R162" s="230">
        <v>0</v>
      </c>
      <c r="S162" s="230">
        <v>0</v>
      </c>
      <c r="T162" s="230">
        <v>0</v>
      </c>
      <c r="U162" s="222">
        <v>0</v>
      </c>
      <c r="V162" s="223">
        <v>0</v>
      </c>
      <c r="X162" s="13"/>
      <c r="Y162" s="13"/>
    </row>
    <row r="163" spans="1:25" ht="13.5" thickBot="1">
      <c r="A163" s="234" t="s">
        <v>33</v>
      </c>
      <c r="B163" s="235">
        <v>25166489</v>
      </c>
      <c r="C163" s="235" t="e">
        <v>#REF!</v>
      </c>
      <c r="D163" s="235" t="e">
        <v>#REF!</v>
      </c>
      <c r="E163" s="235" t="e">
        <v>#REF!</v>
      </c>
      <c r="F163" s="235">
        <v>51322010</v>
      </c>
      <c r="G163" s="236">
        <v>77354899</v>
      </c>
      <c r="H163" s="235">
        <v>121662696</v>
      </c>
      <c r="I163" s="235">
        <v>179987116</v>
      </c>
      <c r="J163" s="235">
        <v>307889980</v>
      </c>
      <c r="K163" s="824">
        <v>149453878</v>
      </c>
      <c r="L163" s="237">
        <v>105184227</v>
      </c>
      <c r="M163" s="238">
        <v>128565501</v>
      </c>
      <c r="N163" s="235">
        <v>294845232</v>
      </c>
      <c r="O163" s="235">
        <v>176431558</v>
      </c>
      <c r="P163" s="235">
        <v>62447653</v>
      </c>
      <c r="Q163" s="235">
        <v>46047334</v>
      </c>
      <c r="R163" s="235">
        <v>32305516</v>
      </c>
      <c r="S163" s="235">
        <v>31971546</v>
      </c>
      <c r="T163" s="235">
        <v>31208245</v>
      </c>
      <c r="U163" s="235">
        <v>1216896792</v>
      </c>
      <c r="V163" s="236">
        <v>1443800</v>
      </c>
      <c r="X163" s="13"/>
      <c r="Y163" s="13"/>
    </row>
    <row r="164" spans="1:25">
      <c r="A164" s="239"/>
      <c r="B164" s="240">
        <f>SUM(B153:B163)</f>
        <v>64233113</v>
      </c>
      <c r="C164" s="240" t="e">
        <f t="shared" ref="C164:U164" si="136">SUM(C153:C163)</f>
        <v>#REF!</v>
      </c>
      <c r="D164" s="240" t="e">
        <f t="shared" si="136"/>
        <v>#REF!</v>
      </c>
      <c r="E164" s="240" t="e">
        <f t="shared" si="136"/>
        <v>#REF!</v>
      </c>
      <c r="F164" s="240">
        <f t="shared" si="136"/>
        <v>106866512</v>
      </c>
      <c r="G164" s="240">
        <f t="shared" si="136"/>
        <v>210123298</v>
      </c>
      <c r="H164" s="241">
        <f t="shared" si="136"/>
        <v>232143167.30000001</v>
      </c>
      <c r="I164" s="241">
        <f t="shared" si="136"/>
        <v>373564523.30000001</v>
      </c>
      <c r="J164" s="241">
        <f t="shared" si="136"/>
        <v>751273186.29999995</v>
      </c>
      <c r="K164" s="825">
        <f t="shared" si="136"/>
        <v>315027238</v>
      </c>
      <c r="L164" s="242">
        <f t="shared" si="136"/>
        <v>286536126</v>
      </c>
      <c r="M164" s="240">
        <f t="shared" si="136"/>
        <v>319949951.63999999</v>
      </c>
      <c r="N164" s="240">
        <f>SUM(N153:N163)</f>
        <v>515915576</v>
      </c>
      <c r="O164" s="240">
        <f>SUM(O153:O163)</f>
        <v>351681560</v>
      </c>
      <c r="P164" s="240">
        <f t="shared" ref="P164:T164" si="137">SUM(P153:P163)</f>
        <v>186916182</v>
      </c>
      <c r="Q164" s="240">
        <f t="shared" si="137"/>
        <v>138176167</v>
      </c>
      <c r="R164" s="240">
        <f t="shared" si="137"/>
        <v>41375591</v>
      </c>
      <c r="S164" s="240">
        <f t="shared" si="137"/>
        <v>38702795</v>
      </c>
      <c r="T164" s="240">
        <f t="shared" si="137"/>
        <v>36567475</v>
      </c>
      <c r="U164" s="240">
        <f t="shared" si="136"/>
        <v>2670658899.9400001</v>
      </c>
      <c r="V164" s="240">
        <f>SUM(V153:V163)</f>
        <v>758923106.63999999</v>
      </c>
    </row>
    <row r="165" spans="1:25">
      <c r="A165" s="243" t="s">
        <v>56</v>
      </c>
      <c r="B165" s="244">
        <f t="shared" ref="B165:V165" si="138">+B164-B152</f>
        <v>0</v>
      </c>
      <c r="C165" s="244" t="e">
        <f t="shared" si="138"/>
        <v>#REF!</v>
      </c>
      <c r="D165" s="244" t="e">
        <f t="shared" si="138"/>
        <v>#REF!</v>
      </c>
      <c r="E165" s="244" t="e">
        <f t="shared" si="138"/>
        <v>#REF!</v>
      </c>
      <c r="F165" s="244">
        <f t="shared" si="138"/>
        <v>0</v>
      </c>
      <c r="G165" s="244">
        <f t="shared" si="138"/>
        <v>0</v>
      </c>
      <c r="H165" s="245">
        <f t="shared" si="138"/>
        <v>0</v>
      </c>
      <c r="I165" s="245">
        <f t="shared" si="138"/>
        <v>0</v>
      </c>
      <c r="J165" s="245">
        <f t="shared" si="138"/>
        <v>0</v>
      </c>
      <c r="K165" s="826">
        <f t="shared" si="138"/>
        <v>0</v>
      </c>
      <c r="L165" s="246">
        <f t="shared" si="138"/>
        <v>0</v>
      </c>
      <c r="M165" s="244">
        <f>+M164-M152</f>
        <v>0</v>
      </c>
      <c r="N165" s="244">
        <f>+N164-N152</f>
        <v>0</v>
      </c>
      <c r="O165" s="244">
        <f>+O164-O152</f>
        <v>0</v>
      </c>
      <c r="P165" s="244">
        <f t="shared" ref="P165:Q165" si="139">+P164-P152</f>
        <v>0</v>
      </c>
      <c r="Q165" s="244">
        <f t="shared" si="139"/>
        <v>0</v>
      </c>
      <c r="R165" s="244"/>
      <c r="S165" s="244"/>
      <c r="T165" s="244"/>
      <c r="U165" s="244">
        <f t="shared" si="138"/>
        <v>0</v>
      </c>
      <c r="V165" s="244">
        <f t="shared" si="138"/>
        <v>0</v>
      </c>
    </row>
    <row r="166" spans="1:25" ht="3.75" customHeight="1" thickBot="1">
      <c r="A166" s="195"/>
      <c r="B166" s="247"/>
      <c r="C166" s="247"/>
      <c r="D166" s="247"/>
      <c r="E166" s="247"/>
      <c r="F166" s="247"/>
      <c r="G166" s="247"/>
      <c r="H166" s="248"/>
      <c r="I166" s="248"/>
      <c r="J166" s="247"/>
      <c r="K166" s="827"/>
      <c r="L166" s="249"/>
      <c r="M166" s="247"/>
      <c r="N166" s="247"/>
      <c r="O166" s="247"/>
      <c r="P166" s="247"/>
      <c r="Q166" s="247"/>
      <c r="R166" s="247"/>
      <c r="S166" s="247"/>
      <c r="T166" s="247"/>
      <c r="U166" s="247"/>
    </row>
    <row r="167" spans="1:25" ht="32.25" customHeight="1" thickBot="1">
      <c r="A167" s="250" t="s">
        <v>491</v>
      </c>
      <c r="B167" s="251">
        <f>SUM(B168:B179)</f>
        <v>41617945</v>
      </c>
      <c r="C167" s="251" t="e">
        <f t="shared" ref="C167:U167" si="140">SUM(C168:C179)</f>
        <v>#REF!</v>
      </c>
      <c r="D167" s="251" t="e">
        <f t="shared" si="140"/>
        <v>#REF!</v>
      </c>
      <c r="E167" s="251" t="e">
        <f t="shared" si="140"/>
        <v>#REF!</v>
      </c>
      <c r="F167" s="251">
        <f t="shared" si="140"/>
        <v>85458386</v>
      </c>
      <c r="G167" s="252">
        <f t="shared" si="140"/>
        <v>136543290</v>
      </c>
      <c r="H167" s="251">
        <f t="shared" si="140"/>
        <v>176246118</v>
      </c>
      <c r="I167" s="251">
        <f t="shared" si="140"/>
        <v>213347494</v>
      </c>
      <c r="J167" s="251">
        <f t="shared" si="140"/>
        <v>385059245</v>
      </c>
      <c r="K167" s="828">
        <f t="shared" si="140"/>
        <v>178404757</v>
      </c>
      <c r="L167" s="253">
        <f t="shared" si="140"/>
        <v>170220771</v>
      </c>
      <c r="M167" s="254">
        <f t="shared" si="140"/>
        <v>204788189</v>
      </c>
      <c r="N167" s="251">
        <f t="shared" si="140"/>
        <v>332968207</v>
      </c>
      <c r="O167" s="251">
        <f t="shared" si="140"/>
        <v>218093659</v>
      </c>
      <c r="P167" s="251">
        <f t="shared" ref="P167:T167" si="141">SUM(P168:P179)</f>
        <v>73892414</v>
      </c>
      <c r="Q167" s="251">
        <f t="shared" si="141"/>
        <v>51305995</v>
      </c>
      <c r="R167" s="251">
        <f t="shared" si="141"/>
        <v>33364208</v>
      </c>
      <c r="S167" s="251">
        <f t="shared" si="141"/>
        <v>32960960</v>
      </c>
      <c r="T167" s="251">
        <f t="shared" si="141"/>
        <v>31702952</v>
      </c>
      <c r="U167" s="251">
        <f t="shared" si="140"/>
        <v>1534356600</v>
      </c>
      <c r="V167" s="1127"/>
    </row>
    <row r="168" spans="1:25">
      <c r="A168" s="221" t="s">
        <v>70</v>
      </c>
      <c r="B168" s="255">
        <v>0</v>
      </c>
      <c r="C168" s="255">
        <v>0</v>
      </c>
      <c r="D168" s="255">
        <v>0</v>
      </c>
      <c r="E168" s="255">
        <v>0</v>
      </c>
      <c r="F168" s="255">
        <v>453868</v>
      </c>
      <c r="G168" s="256">
        <v>569798</v>
      </c>
      <c r="H168" s="255">
        <v>474487</v>
      </c>
      <c r="I168" s="255">
        <v>126548</v>
      </c>
      <c r="J168" s="255">
        <v>0</v>
      </c>
      <c r="K168" s="829">
        <v>0</v>
      </c>
      <c r="L168" s="257">
        <v>0</v>
      </c>
      <c r="M168" s="258">
        <v>0</v>
      </c>
      <c r="N168" s="255">
        <v>0</v>
      </c>
      <c r="O168" s="255">
        <v>0</v>
      </c>
      <c r="P168" s="255">
        <v>0</v>
      </c>
      <c r="Q168" s="255">
        <v>0</v>
      </c>
      <c r="R168" s="1163">
        <v>0</v>
      </c>
      <c r="S168" s="1163">
        <v>0</v>
      </c>
      <c r="T168" s="1163">
        <v>0</v>
      </c>
      <c r="U168" s="222">
        <v>0</v>
      </c>
      <c r="V168" s="1126"/>
    </row>
    <row r="169" spans="1:25">
      <c r="A169" s="227" t="s">
        <v>25</v>
      </c>
      <c r="B169" s="222">
        <v>473501</v>
      </c>
      <c r="C169" s="222" t="e">
        <v>#REF!</v>
      </c>
      <c r="D169" s="222" t="e">
        <v>#REF!</v>
      </c>
      <c r="E169" s="222" t="e">
        <v>#REF!</v>
      </c>
      <c r="F169" s="222">
        <v>642141</v>
      </c>
      <c r="G169" s="223">
        <v>8751565</v>
      </c>
      <c r="H169" s="222">
        <v>2800194</v>
      </c>
      <c r="I169" s="222">
        <v>5158660</v>
      </c>
      <c r="J169" s="222">
        <v>31496943</v>
      </c>
      <c r="K169" s="822">
        <v>17494706</v>
      </c>
      <c r="L169" s="225">
        <v>31181637</v>
      </c>
      <c r="M169" s="226">
        <v>9294224</v>
      </c>
      <c r="N169" s="222">
        <v>1887024</v>
      </c>
      <c r="O169" s="222">
        <v>1419828</v>
      </c>
      <c r="P169" s="222">
        <v>1151569</v>
      </c>
      <c r="Q169" s="222">
        <v>1216734</v>
      </c>
      <c r="R169" s="222">
        <v>1006734</v>
      </c>
      <c r="S169" s="222">
        <v>989414</v>
      </c>
      <c r="T169" s="222">
        <v>494707</v>
      </c>
      <c r="U169" s="222">
        <v>80138814</v>
      </c>
      <c r="V169" s="1126"/>
    </row>
    <row r="170" spans="1:25" ht="14.25" customHeight="1">
      <c r="A170" s="227" t="s">
        <v>27</v>
      </c>
      <c r="B170" s="222">
        <v>279786</v>
      </c>
      <c r="C170" s="222">
        <v>0</v>
      </c>
      <c r="D170" s="222">
        <v>0</v>
      </c>
      <c r="E170" s="222">
        <v>279786</v>
      </c>
      <c r="F170" s="222">
        <v>7461875</v>
      </c>
      <c r="G170" s="223">
        <v>4145000</v>
      </c>
      <c r="H170" s="222">
        <v>6242425</v>
      </c>
      <c r="I170" s="222">
        <v>5702760</v>
      </c>
      <c r="J170" s="222">
        <v>19030945</v>
      </c>
      <c r="K170" s="822">
        <v>3686480</v>
      </c>
      <c r="L170" s="225">
        <v>1651313</v>
      </c>
      <c r="M170" s="226">
        <v>1398414</v>
      </c>
      <c r="N170" s="222">
        <v>0</v>
      </c>
      <c r="O170" s="222">
        <v>0</v>
      </c>
      <c r="P170" s="222">
        <v>0</v>
      </c>
      <c r="Q170" s="222">
        <v>0</v>
      </c>
      <c r="R170" s="222">
        <v>0</v>
      </c>
      <c r="S170" s="222">
        <v>0</v>
      </c>
      <c r="T170" s="222">
        <v>0</v>
      </c>
      <c r="U170" s="222">
        <v>22080672</v>
      </c>
      <c r="V170" s="1126"/>
    </row>
    <row r="171" spans="1:25" ht="14.25" customHeight="1">
      <c r="A171" s="227" t="s">
        <v>68</v>
      </c>
      <c r="B171" s="222">
        <v>0</v>
      </c>
      <c r="C171" s="222">
        <v>0</v>
      </c>
      <c r="D171" s="222">
        <v>0</v>
      </c>
      <c r="E171" s="222">
        <v>0</v>
      </c>
      <c r="F171" s="222">
        <v>8238536</v>
      </c>
      <c r="G171" s="223">
        <v>6250000</v>
      </c>
      <c r="H171" s="222">
        <v>10099132</v>
      </c>
      <c r="I171" s="222">
        <v>10537789</v>
      </c>
      <c r="J171" s="222">
        <v>35241652</v>
      </c>
      <c r="K171" s="822">
        <v>8823536</v>
      </c>
      <c r="L171" s="225">
        <v>303250</v>
      </c>
      <c r="M171" s="226">
        <v>13901163</v>
      </c>
      <c r="N171" s="222">
        <v>8419285</v>
      </c>
      <c r="O171" s="222">
        <v>12400585</v>
      </c>
      <c r="P171" s="222">
        <v>3328200</v>
      </c>
      <c r="Q171" s="222">
        <v>1394500</v>
      </c>
      <c r="R171" s="222">
        <v>0</v>
      </c>
      <c r="S171" s="222">
        <v>0</v>
      </c>
      <c r="T171" s="222">
        <v>0</v>
      </c>
      <c r="U171" s="222">
        <v>74988635</v>
      </c>
      <c r="V171" s="1126"/>
    </row>
    <row r="172" spans="1:25">
      <c r="A172" s="221" t="s">
        <v>24</v>
      </c>
      <c r="B172" s="222">
        <v>0</v>
      </c>
      <c r="C172" s="222">
        <v>0</v>
      </c>
      <c r="D172" s="222">
        <v>0</v>
      </c>
      <c r="E172" s="222">
        <v>0</v>
      </c>
      <c r="F172" s="222">
        <v>101937</v>
      </c>
      <c r="G172" s="223">
        <v>220330</v>
      </c>
      <c r="H172" s="222">
        <v>1345053</v>
      </c>
      <c r="I172" s="222">
        <v>2037072</v>
      </c>
      <c r="J172" s="222">
        <v>6780924</v>
      </c>
      <c r="K172" s="822">
        <v>3254229</v>
      </c>
      <c r="L172" s="225">
        <v>23039633</v>
      </c>
      <c r="M172" s="226">
        <v>18173790</v>
      </c>
      <c r="N172" s="222">
        <v>10500000</v>
      </c>
      <c r="O172" s="222">
        <v>10500000</v>
      </c>
      <c r="P172" s="222">
        <v>0</v>
      </c>
      <c r="Q172" s="222">
        <v>0</v>
      </c>
      <c r="R172" s="222">
        <v>0</v>
      </c>
      <c r="S172" s="222">
        <v>0</v>
      </c>
      <c r="T172" s="222">
        <v>0</v>
      </c>
      <c r="U172" s="222">
        <v>68994347</v>
      </c>
      <c r="V172" s="1126"/>
    </row>
    <row r="173" spans="1:25">
      <c r="A173" s="227" t="s">
        <v>73</v>
      </c>
      <c r="B173" s="222">
        <v>5935894</v>
      </c>
      <c r="C173" s="222">
        <v>0</v>
      </c>
      <c r="D173" s="222">
        <v>0</v>
      </c>
      <c r="E173" s="222">
        <v>6647405</v>
      </c>
      <c r="F173" s="222">
        <v>10285500</v>
      </c>
      <c r="G173" s="223">
        <v>12796084</v>
      </c>
      <c r="H173" s="222">
        <v>12792166</v>
      </c>
      <c r="I173" s="222">
        <v>9659941</v>
      </c>
      <c r="J173" s="222">
        <v>0</v>
      </c>
      <c r="K173" s="822">
        <v>200000</v>
      </c>
      <c r="L173" s="225">
        <v>0</v>
      </c>
      <c r="M173" s="226">
        <v>0</v>
      </c>
      <c r="N173" s="222">
        <v>0</v>
      </c>
      <c r="O173" s="222">
        <v>0</v>
      </c>
      <c r="P173" s="222">
        <v>0</v>
      </c>
      <c r="Q173" s="222">
        <v>0</v>
      </c>
      <c r="R173" s="222">
        <v>0</v>
      </c>
      <c r="S173" s="222">
        <v>0</v>
      </c>
      <c r="T173" s="222">
        <v>0</v>
      </c>
      <c r="U173" s="222">
        <v>0</v>
      </c>
      <c r="V173" s="1126"/>
    </row>
    <row r="174" spans="1:25">
      <c r="A174" s="227" t="s">
        <v>74</v>
      </c>
      <c r="B174" s="222">
        <v>10594223</v>
      </c>
      <c r="C174" s="222">
        <v>0</v>
      </c>
      <c r="D174" s="222">
        <v>0</v>
      </c>
      <c r="E174" s="222">
        <v>3058368</v>
      </c>
      <c r="F174" s="222">
        <v>17692550</v>
      </c>
      <c r="G174" s="223">
        <v>2998223</v>
      </c>
      <c r="H174" s="222">
        <v>3753212</v>
      </c>
      <c r="I174" s="222">
        <v>4711864</v>
      </c>
      <c r="J174" s="222">
        <v>0</v>
      </c>
      <c r="K174" s="822">
        <v>0</v>
      </c>
      <c r="L174" s="225">
        <v>0</v>
      </c>
      <c r="M174" s="226">
        <v>0</v>
      </c>
      <c r="N174" s="222">
        <v>0</v>
      </c>
      <c r="O174" s="222">
        <v>0</v>
      </c>
      <c r="P174" s="222">
        <v>0</v>
      </c>
      <c r="Q174" s="222">
        <v>0</v>
      </c>
      <c r="R174" s="222">
        <v>0</v>
      </c>
      <c r="S174" s="222">
        <v>0</v>
      </c>
      <c r="T174" s="222">
        <v>0</v>
      </c>
      <c r="U174" s="222">
        <v>0</v>
      </c>
      <c r="V174" s="1126"/>
    </row>
    <row r="175" spans="1:25">
      <c r="A175" s="227" t="s">
        <v>29</v>
      </c>
      <c r="B175" s="222">
        <v>0</v>
      </c>
      <c r="C175" s="222">
        <v>0</v>
      </c>
      <c r="D175" s="222">
        <v>0</v>
      </c>
      <c r="E175" s="222">
        <v>0</v>
      </c>
      <c r="F175" s="222">
        <v>0</v>
      </c>
      <c r="G175" s="223">
        <v>18718271</v>
      </c>
      <c r="H175" s="222">
        <v>16003036</v>
      </c>
      <c r="I175" s="222">
        <v>3705956</v>
      </c>
      <c r="J175" s="222">
        <v>17428137</v>
      </c>
      <c r="K175" s="822">
        <v>2875044</v>
      </c>
      <c r="L175" s="225">
        <v>697024</v>
      </c>
      <c r="M175" s="226">
        <v>0</v>
      </c>
      <c r="N175" s="222">
        <v>0</v>
      </c>
      <c r="O175" s="222">
        <v>0</v>
      </c>
      <c r="P175" s="222">
        <v>0</v>
      </c>
      <c r="Q175" s="222">
        <v>0</v>
      </c>
      <c r="R175" s="222">
        <v>0</v>
      </c>
      <c r="S175" s="222">
        <v>0</v>
      </c>
      <c r="T175" s="222">
        <v>0</v>
      </c>
      <c r="U175" s="222">
        <v>18125161</v>
      </c>
      <c r="V175" s="1126"/>
    </row>
    <row r="176" spans="1:25" ht="24">
      <c r="A176" s="227" t="s">
        <v>38</v>
      </c>
      <c r="B176" s="222">
        <v>0</v>
      </c>
      <c r="C176" s="222">
        <v>0</v>
      </c>
      <c r="D176" s="222">
        <v>0</v>
      </c>
      <c r="E176" s="222">
        <v>0</v>
      </c>
      <c r="F176" s="222">
        <v>0</v>
      </c>
      <c r="G176" s="223">
        <v>0</v>
      </c>
      <c r="H176" s="222">
        <v>0</v>
      </c>
      <c r="I176" s="222">
        <v>841481</v>
      </c>
      <c r="J176" s="1014">
        <v>841481</v>
      </c>
      <c r="K176" s="1015">
        <v>0</v>
      </c>
      <c r="L176" s="1016">
        <v>0</v>
      </c>
      <c r="M176" s="1017">
        <v>0</v>
      </c>
      <c r="N176" s="1014">
        <v>0</v>
      </c>
      <c r="O176" s="1014">
        <v>0</v>
      </c>
      <c r="P176" s="1014">
        <v>0</v>
      </c>
      <c r="Q176" s="1014">
        <v>0</v>
      </c>
      <c r="R176" s="1014">
        <v>0</v>
      </c>
      <c r="S176" s="1014">
        <v>0</v>
      </c>
      <c r="T176" s="1014">
        <v>0</v>
      </c>
      <c r="U176" s="222">
        <v>841481</v>
      </c>
      <c r="V176" s="1128"/>
    </row>
    <row r="177" spans="1:22" ht="13.5" customHeight="1">
      <c r="A177" s="227" t="s">
        <v>32</v>
      </c>
      <c r="B177" s="222">
        <v>0</v>
      </c>
      <c r="C177" s="222" t="e">
        <v>#REF!</v>
      </c>
      <c r="D177" s="222" t="e">
        <v>#REF!</v>
      </c>
      <c r="E177" s="222" t="e">
        <v>#REF!</v>
      </c>
      <c r="F177" s="222">
        <v>1361604</v>
      </c>
      <c r="G177" s="223">
        <v>6341970</v>
      </c>
      <c r="H177" s="222">
        <v>5828817</v>
      </c>
      <c r="I177" s="222">
        <v>8011553</v>
      </c>
      <c r="J177" s="222">
        <v>11647133</v>
      </c>
      <c r="K177" s="822">
        <v>235906</v>
      </c>
      <c r="L177" s="225">
        <v>137580</v>
      </c>
      <c r="M177" s="226">
        <v>4568224</v>
      </c>
      <c r="N177" s="222">
        <v>15041892</v>
      </c>
      <c r="O177" s="222">
        <v>11199500</v>
      </c>
      <c r="P177" s="222">
        <v>6610895</v>
      </c>
      <c r="Q177" s="222">
        <v>3033516</v>
      </c>
      <c r="R177" s="222">
        <v>51958</v>
      </c>
      <c r="S177" s="222">
        <v>0</v>
      </c>
      <c r="T177" s="222">
        <v>0</v>
      </c>
      <c r="U177" s="222">
        <v>52290698</v>
      </c>
      <c r="V177" s="1126"/>
    </row>
    <row r="178" spans="1:22" ht="14.25" customHeight="1">
      <c r="A178" s="259" t="s">
        <v>31</v>
      </c>
      <c r="B178" s="230">
        <v>0</v>
      </c>
      <c r="C178" s="230">
        <v>0</v>
      </c>
      <c r="D178" s="230">
        <v>0</v>
      </c>
      <c r="E178" s="230">
        <v>0</v>
      </c>
      <c r="F178" s="230">
        <v>0</v>
      </c>
      <c r="G178" s="231">
        <v>0</v>
      </c>
      <c r="H178" s="230">
        <v>0</v>
      </c>
      <c r="I178" s="230">
        <v>1023120</v>
      </c>
      <c r="J178" s="222">
        <v>0</v>
      </c>
      <c r="K178" s="823">
        <v>0</v>
      </c>
      <c r="L178" s="232">
        <v>0</v>
      </c>
      <c r="M178" s="233">
        <v>0</v>
      </c>
      <c r="N178" s="230">
        <v>0</v>
      </c>
      <c r="O178" s="230">
        <v>0</v>
      </c>
      <c r="P178" s="230">
        <v>0</v>
      </c>
      <c r="Q178" s="230">
        <v>0</v>
      </c>
      <c r="R178" s="230">
        <v>0</v>
      </c>
      <c r="S178" s="230">
        <v>0</v>
      </c>
      <c r="T178" s="230">
        <v>0</v>
      </c>
      <c r="U178" s="222">
        <v>0</v>
      </c>
      <c r="V178" s="1126"/>
    </row>
    <row r="179" spans="1:22" ht="13.5" thickBot="1">
      <c r="A179" s="234" t="s">
        <v>33</v>
      </c>
      <c r="B179" s="235">
        <v>24334541</v>
      </c>
      <c r="C179" s="235" t="e">
        <v>#REF!</v>
      </c>
      <c r="D179" s="235" t="e">
        <v>#REF!</v>
      </c>
      <c r="E179" s="235" t="e">
        <v>#REF!</v>
      </c>
      <c r="F179" s="235">
        <v>39220375</v>
      </c>
      <c r="G179" s="236">
        <v>75752049</v>
      </c>
      <c r="H179" s="235">
        <v>116907596</v>
      </c>
      <c r="I179" s="235">
        <v>161830750</v>
      </c>
      <c r="J179" s="950">
        <v>262592030</v>
      </c>
      <c r="K179" s="824">
        <v>141834856</v>
      </c>
      <c r="L179" s="237">
        <v>113210334</v>
      </c>
      <c r="M179" s="238">
        <v>157452374</v>
      </c>
      <c r="N179" s="235">
        <v>297120006</v>
      </c>
      <c r="O179" s="235">
        <v>182573746</v>
      </c>
      <c r="P179" s="235">
        <v>62801750</v>
      </c>
      <c r="Q179" s="235">
        <v>45661245</v>
      </c>
      <c r="R179" s="235">
        <v>32305516</v>
      </c>
      <c r="S179" s="235">
        <v>31971546</v>
      </c>
      <c r="T179" s="235">
        <v>31208245</v>
      </c>
      <c r="U179" s="222">
        <v>1216896792</v>
      </c>
      <c r="V179" s="1126"/>
    </row>
    <row r="180" spans="1:22">
      <c r="A180" s="260"/>
      <c r="B180" s="261">
        <f>SUM(B168:B179)</f>
        <v>41617945</v>
      </c>
      <c r="C180" s="261" t="e">
        <f t="shared" ref="C180:U180" si="142">SUM(C168:C179)</f>
        <v>#REF!</v>
      </c>
      <c r="D180" s="261" t="e">
        <f t="shared" si="142"/>
        <v>#REF!</v>
      </c>
      <c r="E180" s="261" t="e">
        <f t="shared" si="142"/>
        <v>#REF!</v>
      </c>
      <c r="F180" s="261">
        <f t="shared" si="142"/>
        <v>85458386</v>
      </c>
      <c r="G180" s="261">
        <f t="shared" si="142"/>
        <v>136543290</v>
      </c>
      <c r="H180" s="262">
        <f t="shared" si="142"/>
        <v>176246118</v>
      </c>
      <c r="I180" s="262">
        <f t="shared" si="142"/>
        <v>213347494</v>
      </c>
      <c r="J180" s="262">
        <f t="shared" si="142"/>
        <v>385059245</v>
      </c>
      <c r="K180" s="830">
        <f t="shared" si="142"/>
        <v>178404757</v>
      </c>
      <c r="L180" s="263">
        <f t="shared" si="142"/>
        <v>170220771</v>
      </c>
      <c r="M180" s="261">
        <f t="shared" si="142"/>
        <v>204788189</v>
      </c>
      <c r="N180" s="261">
        <f t="shared" si="142"/>
        <v>332968207</v>
      </c>
      <c r="O180" s="261">
        <f t="shared" si="142"/>
        <v>218093659</v>
      </c>
      <c r="P180" s="261">
        <f t="shared" si="142"/>
        <v>73892414</v>
      </c>
      <c r="Q180" s="261">
        <f t="shared" si="142"/>
        <v>51305995</v>
      </c>
      <c r="R180" s="261">
        <f t="shared" si="142"/>
        <v>33364208</v>
      </c>
      <c r="S180" s="261">
        <f t="shared" si="142"/>
        <v>32960960</v>
      </c>
      <c r="T180" s="261">
        <f t="shared" si="142"/>
        <v>31702952</v>
      </c>
      <c r="U180" s="261">
        <f t="shared" si="142"/>
        <v>1534356600</v>
      </c>
      <c r="V180" s="264"/>
    </row>
    <row r="181" spans="1:22" ht="17.25" customHeight="1" thickBot="1">
      <c r="A181" s="265"/>
      <c r="B181" s="151" t="s">
        <v>6</v>
      </c>
      <c r="C181" s="266" t="s">
        <v>7</v>
      </c>
      <c r="D181" s="266" t="s">
        <v>8</v>
      </c>
      <c r="E181" s="266" t="s">
        <v>9</v>
      </c>
      <c r="F181" s="151" t="s">
        <v>10</v>
      </c>
      <c r="G181" s="150" t="s">
        <v>11</v>
      </c>
      <c r="H181" s="151" t="s">
        <v>12</v>
      </c>
      <c r="I181" s="151" t="s">
        <v>13</v>
      </c>
      <c r="J181" s="909" t="s">
        <v>294</v>
      </c>
      <c r="K181" s="831" t="s">
        <v>14</v>
      </c>
      <c r="L181" s="267" t="s">
        <v>15</v>
      </c>
      <c r="M181" s="153" t="s">
        <v>16</v>
      </c>
      <c r="N181" s="151" t="s">
        <v>17</v>
      </c>
      <c r="O181" s="151" t="s">
        <v>18</v>
      </c>
      <c r="P181" s="151" t="s">
        <v>290</v>
      </c>
      <c r="Q181" s="151" t="s">
        <v>295</v>
      </c>
      <c r="R181" s="151" t="s">
        <v>373</v>
      </c>
      <c r="S181" s="151" t="s">
        <v>374</v>
      </c>
      <c r="T181" s="151" t="s">
        <v>372</v>
      </c>
      <c r="U181" s="154" t="s">
        <v>61</v>
      </c>
    </row>
    <row r="182" spans="1:22" ht="9" customHeight="1">
      <c r="A182" s="1109"/>
      <c r="B182" s="1110"/>
      <c r="C182" s="1110"/>
      <c r="D182" s="1110"/>
      <c r="E182" s="1110"/>
      <c r="F182" s="1110"/>
      <c r="G182" s="1111"/>
      <c r="H182" s="1110"/>
      <c r="I182" s="1110"/>
      <c r="J182" s="1112"/>
      <c r="K182" s="1113"/>
      <c r="L182" s="1114"/>
      <c r="M182" s="1115"/>
      <c r="N182" s="1110"/>
      <c r="O182" s="1110"/>
      <c r="P182" s="1110"/>
      <c r="Q182" s="1110"/>
      <c r="R182" s="1110"/>
      <c r="S182" s="1110"/>
      <c r="T182" s="1110"/>
      <c r="U182" s="1110"/>
      <c r="V182" s="1129"/>
    </row>
    <row r="183" spans="1:22" ht="13.5" thickBot="1">
      <c r="A183" s="1116" t="s">
        <v>75</v>
      </c>
      <c r="B183" s="1117">
        <f t="shared" ref="B183:U183" si="143">+B121-B152</f>
        <v>-52207825</v>
      </c>
      <c r="C183" s="1117" t="e">
        <f t="shared" si="143"/>
        <v>#REF!</v>
      </c>
      <c r="D183" s="1117" t="e">
        <f t="shared" si="143"/>
        <v>#REF!</v>
      </c>
      <c r="E183" s="1117" t="e">
        <f t="shared" si="143"/>
        <v>#REF!</v>
      </c>
      <c r="F183" s="1117">
        <f t="shared" si="143"/>
        <v>-93147846</v>
      </c>
      <c r="G183" s="1118">
        <f t="shared" si="143"/>
        <v>-140957381</v>
      </c>
      <c r="H183" s="1117">
        <f t="shared" si="143"/>
        <v>-123972292.30000001</v>
      </c>
      <c r="I183" s="1117">
        <f t="shared" si="143"/>
        <v>-139888053</v>
      </c>
      <c r="J183" s="1117">
        <f t="shared" si="143"/>
        <v>-124555</v>
      </c>
      <c r="K183" s="1119">
        <f t="shared" si="143"/>
        <v>96951</v>
      </c>
      <c r="L183" s="1120">
        <f t="shared" si="143"/>
        <v>-10022085</v>
      </c>
      <c r="M183" s="1121">
        <f t="shared" si="143"/>
        <v>-11811981</v>
      </c>
      <c r="N183" s="1117">
        <f t="shared" si="143"/>
        <v>45543445</v>
      </c>
      <c r="O183" s="1117">
        <f t="shared" si="143"/>
        <v>59247662</v>
      </c>
      <c r="P183" s="1117">
        <f t="shared" si="143"/>
        <v>9582069</v>
      </c>
      <c r="Q183" s="1117">
        <f t="shared" si="143"/>
        <v>2073599</v>
      </c>
      <c r="R183" s="1117">
        <f t="shared" si="143"/>
        <v>0</v>
      </c>
      <c r="S183" s="1117">
        <f t="shared" si="143"/>
        <v>0</v>
      </c>
      <c r="T183" s="1117">
        <f t="shared" si="143"/>
        <v>0</v>
      </c>
      <c r="U183" s="1117">
        <f t="shared" si="143"/>
        <v>94488153.999999523</v>
      </c>
      <c r="V183" s="1130"/>
    </row>
    <row r="184" spans="1:22">
      <c r="A184" s="268" t="s">
        <v>24</v>
      </c>
      <c r="B184" s="269">
        <f t="shared" ref="B184:U184" si="144">+B122-B153</f>
        <v>-6707413</v>
      </c>
      <c r="C184" s="269" t="e">
        <f t="shared" si="144"/>
        <v>#REF!</v>
      </c>
      <c r="D184" s="269" t="e">
        <f t="shared" si="144"/>
        <v>#REF!</v>
      </c>
      <c r="E184" s="269" t="e">
        <f t="shared" si="144"/>
        <v>#REF!</v>
      </c>
      <c r="F184" s="269">
        <f t="shared" si="144"/>
        <v>-12167888</v>
      </c>
      <c r="G184" s="270">
        <f t="shared" si="144"/>
        <v>-38773469</v>
      </c>
      <c r="H184" s="269">
        <f t="shared" si="144"/>
        <v>-28426954.299999997</v>
      </c>
      <c r="I184" s="269">
        <f t="shared" si="144"/>
        <v>-27692781.000000015</v>
      </c>
      <c r="J184" s="269">
        <f t="shared" si="144"/>
        <v>-2330398</v>
      </c>
      <c r="K184" s="832">
        <f t="shared" si="144"/>
        <v>752437</v>
      </c>
      <c r="L184" s="271">
        <f t="shared" si="144"/>
        <v>-1778085</v>
      </c>
      <c r="M184" s="272">
        <f t="shared" si="144"/>
        <v>-5679874</v>
      </c>
      <c r="N184" s="269">
        <f t="shared" si="144"/>
        <v>11995209</v>
      </c>
      <c r="O184" s="269">
        <f t="shared" si="144"/>
        <v>10734419</v>
      </c>
      <c r="P184" s="269">
        <f t="shared" si="144"/>
        <v>5522885</v>
      </c>
      <c r="Q184" s="269">
        <f t="shared" si="144"/>
        <v>2011720</v>
      </c>
      <c r="R184" s="269">
        <f t="shared" si="144"/>
        <v>0</v>
      </c>
      <c r="S184" s="269">
        <f t="shared" si="144"/>
        <v>0</v>
      </c>
      <c r="T184" s="269">
        <f t="shared" si="144"/>
        <v>0</v>
      </c>
      <c r="U184" s="274">
        <f t="shared" si="144"/>
        <v>20475876</v>
      </c>
      <c r="V184" s="1131"/>
    </row>
    <row r="185" spans="1:22">
      <c r="A185" s="273" t="s">
        <v>66</v>
      </c>
      <c r="B185" s="274">
        <f t="shared" ref="B185:U185" si="145">+B123-B154</f>
        <v>0</v>
      </c>
      <c r="C185" s="274" t="e">
        <f t="shared" si="145"/>
        <v>#REF!</v>
      </c>
      <c r="D185" s="274" t="e">
        <f t="shared" si="145"/>
        <v>#REF!</v>
      </c>
      <c r="E185" s="274" t="e">
        <f t="shared" si="145"/>
        <v>#REF!</v>
      </c>
      <c r="F185" s="274">
        <f t="shared" si="145"/>
        <v>0</v>
      </c>
      <c r="G185" s="275">
        <f t="shared" si="145"/>
        <v>0</v>
      </c>
      <c r="H185" s="274">
        <f t="shared" si="145"/>
        <v>-779744</v>
      </c>
      <c r="I185" s="274">
        <f t="shared" si="145"/>
        <v>-2043846</v>
      </c>
      <c r="J185" s="274">
        <f t="shared" si="145"/>
        <v>0</v>
      </c>
      <c r="K185" s="833">
        <f t="shared" si="145"/>
        <v>0</v>
      </c>
      <c r="L185" s="276">
        <f t="shared" si="145"/>
        <v>-7202671</v>
      </c>
      <c r="M185" s="277">
        <f t="shared" si="145"/>
        <v>0</v>
      </c>
      <c r="N185" s="274">
        <f t="shared" si="145"/>
        <v>2600000</v>
      </c>
      <c r="O185" s="274">
        <f t="shared" si="145"/>
        <v>2647000</v>
      </c>
      <c r="P185" s="274">
        <f t="shared" si="145"/>
        <v>2705000</v>
      </c>
      <c r="Q185" s="274">
        <f t="shared" si="145"/>
        <v>0</v>
      </c>
      <c r="R185" s="274">
        <f t="shared" si="145"/>
        <v>0</v>
      </c>
      <c r="S185" s="274">
        <f t="shared" si="145"/>
        <v>0</v>
      </c>
      <c r="T185" s="274">
        <f t="shared" si="145"/>
        <v>0</v>
      </c>
      <c r="U185" s="274">
        <f t="shared" si="145"/>
        <v>749329</v>
      </c>
      <c r="V185" s="1131"/>
    </row>
    <row r="186" spans="1:22">
      <c r="A186" s="273" t="s">
        <v>25</v>
      </c>
      <c r="B186" s="274">
        <f t="shared" ref="B186:U186" si="146">+B124-B155</f>
        <v>-469627</v>
      </c>
      <c r="C186" s="274" t="e">
        <f t="shared" si="146"/>
        <v>#REF!</v>
      </c>
      <c r="D186" s="274" t="e">
        <f t="shared" si="146"/>
        <v>#REF!</v>
      </c>
      <c r="E186" s="274" t="e">
        <f t="shared" si="146"/>
        <v>#REF!</v>
      </c>
      <c r="F186" s="274">
        <f t="shared" si="146"/>
        <v>-569907</v>
      </c>
      <c r="G186" s="275">
        <f t="shared" si="146"/>
        <v>-613545</v>
      </c>
      <c r="H186" s="274">
        <f t="shared" si="146"/>
        <v>-892535</v>
      </c>
      <c r="I186" s="274">
        <f t="shared" si="146"/>
        <v>-1232138</v>
      </c>
      <c r="J186" s="274">
        <f t="shared" si="146"/>
        <v>0</v>
      </c>
      <c r="K186" s="833">
        <f t="shared" si="146"/>
        <v>0</v>
      </c>
      <c r="L186" s="276">
        <f t="shared" si="146"/>
        <v>-100483</v>
      </c>
      <c r="M186" s="277">
        <f t="shared" si="146"/>
        <v>0</v>
      </c>
      <c r="N186" s="274">
        <f t="shared" si="146"/>
        <v>0</v>
      </c>
      <c r="O186" s="274">
        <f t="shared" si="146"/>
        <v>0</v>
      </c>
      <c r="P186" s="274">
        <f t="shared" si="146"/>
        <v>0</v>
      </c>
      <c r="Q186" s="274">
        <f t="shared" si="146"/>
        <v>0</v>
      </c>
      <c r="R186" s="274">
        <f t="shared" si="146"/>
        <v>0</v>
      </c>
      <c r="S186" s="274">
        <f t="shared" si="146"/>
        <v>0</v>
      </c>
      <c r="T186" s="274">
        <f t="shared" si="146"/>
        <v>0</v>
      </c>
      <c r="U186" s="274">
        <f t="shared" si="146"/>
        <v>-100483</v>
      </c>
      <c r="V186" s="1131"/>
    </row>
    <row r="187" spans="1:22">
      <c r="A187" s="273" t="s">
        <v>27</v>
      </c>
      <c r="B187" s="274">
        <f t="shared" ref="B187:U187" si="147">+B126-B157</f>
        <v>-3643961</v>
      </c>
      <c r="C187" s="274">
        <f t="shared" si="147"/>
        <v>0</v>
      </c>
      <c r="D187" s="274">
        <f t="shared" si="147"/>
        <v>0</v>
      </c>
      <c r="E187" s="274">
        <f t="shared" si="147"/>
        <v>-3643961</v>
      </c>
      <c r="F187" s="274">
        <f t="shared" si="147"/>
        <v>-1323420</v>
      </c>
      <c r="G187" s="275">
        <f t="shared" si="147"/>
        <v>0</v>
      </c>
      <c r="H187" s="274">
        <f t="shared" si="147"/>
        <v>-570000</v>
      </c>
      <c r="I187" s="274">
        <f t="shared" si="147"/>
        <v>-2950000</v>
      </c>
      <c r="J187" s="274">
        <f t="shared" si="147"/>
        <v>0</v>
      </c>
      <c r="K187" s="833">
        <f t="shared" si="147"/>
        <v>0</v>
      </c>
      <c r="L187" s="276">
        <f t="shared" si="147"/>
        <v>0</v>
      </c>
      <c r="M187" s="277">
        <f t="shared" si="147"/>
        <v>1230000</v>
      </c>
      <c r="N187" s="274">
        <f t="shared" si="147"/>
        <v>500000</v>
      </c>
      <c r="O187" s="274">
        <f t="shared" si="147"/>
        <v>0</v>
      </c>
      <c r="P187" s="274">
        <f t="shared" si="147"/>
        <v>0</v>
      </c>
      <c r="Q187" s="274">
        <f t="shared" si="147"/>
        <v>0</v>
      </c>
      <c r="R187" s="274">
        <f t="shared" si="147"/>
        <v>0</v>
      </c>
      <c r="S187" s="274">
        <f t="shared" si="147"/>
        <v>0</v>
      </c>
      <c r="T187" s="274">
        <f t="shared" si="147"/>
        <v>0</v>
      </c>
      <c r="U187" s="274">
        <f t="shared" si="147"/>
        <v>1730000</v>
      </c>
      <c r="V187" s="1131"/>
    </row>
    <row r="188" spans="1:22">
      <c r="A188" s="273" t="s">
        <v>68</v>
      </c>
      <c r="B188" s="274">
        <f t="shared" ref="B188:U188" si="148">+B127-B158</f>
        <v>0</v>
      </c>
      <c r="C188" s="274">
        <f t="shared" si="148"/>
        <v>0</v>
      </c>
      <c r="D188" s="274">
        <f t="shared" si="148"/>
        <v>0</v>
      </c>
      <c r="E188" s="274">
        <f t="shared" si="148"/>
        <v>0</v>
      </c>
      <c r="F188" s="274">
        <f t="shared" si="148"/>
        <v>0</v>
      </c>
      <c r="G188" s="275">
        <f t="shared" si="148"/>
        <v>0</v>
      </c>
      <c r="H188" s="274">
        <f t="shared" si="148"/>
        <v>-47355</v>
      </c>
      <c r="I188" s="274">
        <f t="shared" si="148"/>
        <v>-6246450</v>
      </c>
      <c r="J188" s="274">
        <f t="shared" si="148"/>
        <v>0</v>
      </c>
      <c r="K188" s="833">
        <f t="shared" si="148"/>
        <v>0</v>
      </c>
      <c r="L188" s="276">
        <f t="shared" si="148"/>
        <v>0</v>
      </c>
      <c r="M188" s="277">
        <f t="shared" si="148"/>
        <v>-10060306</v>
      </c>
      <c r="N188" s="274">
        <f t="shared" si="148"/>
        <v>3225430</v>
      </c>
      <c r="O188" s="274">
        <f t="shared" si="148"/>
        <v>1438588</v>
      </c>
      <c r="P188" s="274">
        <f t="shared" si="148"/>
        <v>681038</v>
      </c>
      <c r="Q188" s="274">
        <f t="shared" si="148"/>
        <v>0</v>
      </c>
      <c r="R188" s="274">
        <f t="shared" si="148"/>
        <v>0</v>
      </c>
      <c r="S188" s="274">
        <f t="shared" si="148"/>
        <v>0</v>
      </c>
      <c r="T188" s="274">
        <f t="shared" si="148"/>
        <v>0</v>
      </c>
      <c r="U188" s="274">
        <f t="shared" si="148"/>
        <v>-4715250</v>
      </c>
      <c r="V188" s="1131"/>
    </row>
    <row r="189" spans="1:22">
      <c r="A189" s="273" t="s">
        <v>32</v>
      </c>
      <c r="B189" s="274">
        <f t="shared" ref="B189:U190" si="149">+B128-B159</f>
        <v>0</v>
      </c>
      <c r="C189" s="274">
        <f t="shared" si="149"/>
        <v>0</v>
      </c>
      <c r="D189" s="274">
        <f t="shared" si="149"/>
        <v>0</v>
      </c>
      <c r="E189" s="274">
        <f t="shared" si="149"/>
        <v>0</v>
      </c>
      <c r="F189" s="274">
        <f t="shared" si="149"/>
        <v>-829536</v>
      </c>
      <c r="G189" s="275">
        <f t="shared" si="149"/>
        <v>-4078292</v>
      </c>
      <c r="H189" s="274">
        <f t="shared" si="149"/>
        <v>0</v>
      </c>
      <c r="I189" s="274">
        <f t="shared" si="149"/>
        <v>-59477</v>
      </c>
      <c r="J189" s="274">
        <f t="shared" ref="J189" si="150">+J128-J159</f>
        <v>0</v>
      </c>
      <c r="K189" s="833">
        <f t="shared" si="149"/>
        <v>0</v>
      </c>
      <c r="L189" s="276">
        <f t="shared" si="149"/>
        <v>0</v>
      </c>
      <c r="M189" s="277">
        <f t="shared" si="149"/>
        <v>-672019</v>
      </c>
      <c r="N189" s="274">
        <f t="shared" si="149"/>
        <v>-494227</v>
      </c>
      <c r="O189" s="274">
        <f t="shared" si="149"/>
        <v>2433852</v>
      </c>
      <c r="P189" s="274">
        <f t="shared" ref="P189:Q189" si="151">+P128-P159</f>
        <v>673146</v>
      </c>
      <c r="Q189" s="274">
        <f t="shared" si="151"/>
        <v>61879</v>
      </c>
      <c r="R189" s="274">
        <f t="shared" ref="R189:T189" si="152">+R128-R159</f>
        <v>0</v>
      </c>
      <c r="S189" s="274">
        <f t="shared" si="152"/>
        <v>0</v>
      </c>
      <c r="T189" s="274">
        <f t="shared" si="152"/>
        <v>0</v>
      </c>
      <c r="U189" s="274">
        <f t="shared" si="149"/>
        <v>2002631</v>
      </c>
      <c r="V189" s="1131"/>
    </row>
    <row r="190" spans="1:22">
      <c r="A190" s="273" t="s">
        <v>29</v>
      </c>
      <c r="B190" s="274">
        <f t="shared" si="149"/>
        <v>-273760</v>
      </c>
      <c r="C190" s="274">
        <f t="shared" si="149"/>
        <v>0</v>
      </c>
      <c r="D190" s="274">
        <f t="shared" si="149"/>
        <v>-43011</v>
      </c>
      <c r="E190" s="274">
        <f t="shared" si="149"/>
        <v>-230749</v>
      </c>
      <c r="F190" s="274">
        <f t="shared" si="149"/>
        <v>-588875</v>
      </c>
      <c r="G190" s="275">
        <f t="shared" si="149"/>
        <v>-18300363</v>
      </c>
      <c r="H190" s="274">
        <f t="shared" si="149"/>
        <v>-4715580</v>
      </c>
      <c r="I190" s="274">
        <f t="shared" si="149"/>
        <v>-980</v>
      </c>
      <c r="J190" s="274">
        <f t="shared" ref="J190" si="153">+J129-J160</f>
        <v>0</v>
      </c>
      <c r="K190" s="833">
        <f t="shared" si="149"/>
        <v>0</v>
      </c>
      <c r="L190" s="276">
        <f t="shared" si="149"/>
        <v>0</v>
      </c>
      <c r="M190" s="277">
        <f t="shared" si="149"/>
        <v>0</v>
      </c>
      <c r="N190" s="274">
        <f t="shared" si="149"/>
        <v>0</v>
      </c>
      <c r="O190" s="274">
        <f t="shared" si="149"/>
        <v>0</v>
      </c>
      <c r="P190" s="274">
        <f t="shared" ref="P190:Q190" si="154">+P129-P160</f>
        <v>0</v>
      </c>
      <c r="Q190" s="274">
        <f t="shared" si="154"/>
        <v>0</v>
      </c>
      <c r="R190" s="274">
        <f t="shared" ref="R190:T190" si="155">+R129-R160</f>
        <v>0</v>
      </c>
      <c r="S190" s="274">
        <f t="shared" si="155"/>
        <v>0</v>
      </c>
      <c r="T190" s="274">
        <f t="shared" si="155"/>
        <v>0</v>
      </c>
      <c r="U190" s="274">
        <f t="shared" si="149"/>
        <v>0</v>
      </c>
      <c r="V190" s="1131"/>
    </row>
    <row r="191" spans="1:22">
      <c r="A191" s="273" t="s">
        <v>73</v>
      </c>
      <c r="B191" s="274">
        <f t="shared" ref="B191:U191" si="156">+B125-B156</f>
        <v>-5935894</v>
      </c>
      <c r="C191" s="274">
        <f t="shared" si="156"/>
        <v>0</v>
      </c>
      <c r="D191" s="274">
        <f t="shared" si="156"/>
        <v>0</v>
      </c>
      <c r="E191" s="274">
        <f t="shared" si="156"/>
        <v>-6647405</v>
      </c>
      <c r="F191" s="274">
        <f t="shared" si="156"/>
        <v>-10285500</v>
      </c>
      <c r="G191" s="275">
        <f t="shared" si="156"/>
        <v>-12796084</v>
      </c>
      <c r="H191" s="274">
        <f t="shared" si="156"/>
        <v>-12792166</v>
      </c>
      <c r="I191" s="274">
        <f t="shared" si="156"/>
        <v>-9659941</v>
      </c>
      <c r="J191" s="274">
        <f t="shared" si="156"/>
        <v>0</v>
      </c>
      <c r="K191" s="833">
        <f t="shared" si="156"/>
        <v>0</v>
      </c>
      <c r="L191" s="276">
        <f t="shared" si="156"/>
        <v>0</v>
      </c>
      <c r="M191" s="277">
        <f t="shared" si="156"/>
        <v>0</v>
      </c>
      <c r="N191" s="274">
        <f t="shared" si="156"/>
        <v>0</v>
      </c>
      <c r="O191" s="274">
        <f t="shared" si="156"/>
        <v>0</v>
      </c>
      <c r="P191" s="274">
        <f t="shared" si="156"/>
        <v>0</v>
      </c>
      <c r="Q191" s="274">
        <f t="shared" si="156"/>
        <v>0</v>
      </c>
      <c r="R191" s="274">
        <f t="shared" si="156"/>
        <v>0</v>
      </c>
      <c r="S191" s="274">
        <f t="shared" si="156"/>
        <v>0</v>
      </c>
      <c r="T191" s="274">
        <f t="shared" si="156"/>
        <v>0</v>
      </c>
      <c r="U191" s="274">
        <f t="shared" si="156"/>
        <v>0</v>
      </c>
      <c r="V191" s="1131"/>
    </row>
    <row r="192" spans="1:22" ht="13.5" customHeight="1">
      <c r="A192" s="273" t="s">
        <v>72</v>
      </c>
      <c r="B192" s="274">
        <f t="shared" ref="B192:U194" si="157">+B130-B161</f>
        <v>-10594223</v>
      </c>
      <c r="C192" s="274">
        <f t="shared" si="157"/>
        <v>0</v>
      </c>
      <c r="D192" s="274">
        <f t="shared" si="157"/>
        <v>0</v>
      </c>
      <c r="E192" s="274">
        <f t="shared" si="157"/>
        <v>-3058368</v>
      </c>
      <c r="F192" s="274">
        <f t="shared" si="157"/>
        <v>-17692550</v>
      </c>
      <c r="G192" s="275">
        <f t="shared" si="157"/>
        <v>-2998223</v>
      </c>
      <c r="H192" s="274">
        <f t="shared" si="157"/>
        <v>-3753212</v>
      </c>
      <c r="I192" s="274">
        <f t="shared" si="157"/>
        <v>-4711864</v>
      </c>
      <c r="J192" s="274">
        <f t="shared" ref="J192" si="158">+J130-J161</f>
        <v>0</v>
      </c>
      <c r="K192" s="833">
        <f t="shared" si="157"/>
        <v>0</v>
      </c>
      <c r="L192" s="276">
        <f t="shared" si="157"/>
        <v>0</v>
      </c>
      <c r="M192" s="277">
        <f t="shared" si="157"/>
        <v>0</v>
      </c>
      <c r="N192" s="274">
        <f t="shared" si="157"/>
        <v>0</v>
      </c>
      <c r="O192" s="274">
        <f t="shared" si="157"/>
        <v>0</v>
      </c>
      <c r="P192" s="274">
        <f t="shared" ref="P192:Q192" si="159">+P130-P161</f>
        <v>0</v>
      </c>
      <c r="Q192" s="274">
        <f t="shared" si="159"/>
        <v>0</v>
      </c>
      <c r="R192" s="274">
        <f t="shared" ref="R192:T192" si="160">+R130-R161</f>
        <v>0</v>
      </c>
      <c r="S192" s="274">
        <f t="shared" si="160"/>
        <v>0</v>
      </c>
      <c r="T192" s="274">
        <f t="shared" si="160"/>
        <v>0</v>
      </c>
      <c r="U192" s="274">
        <f t="shared" si="157"/>
        <v>0</v>
      </c>
      <c r="V192" s="1131"/>
    </row>
    <row r="193" spans="1:27" ht="17.25" customHeight="1">
      <c r="A193" s="278" t="s">
        <v>31</v>
      </c>
      <c r="B193" s="274">
        <f t="shared" si="157"/>
        <v>0</v>
      </c>
      <c r="C193" s="274">
        <f t="shared" si="157"/>
        <v>0</v>
      </c>
      <c r="D193" s="274">
        <f t="shared" si="157"/>
        <v>0</v>
      </c>
      <c r="E193" s="274">
        <f t="shared" si="157"/>
        <v>0</v>
      </c>
      <c r="F193" s="274">
        <f t="shared" si="157"/>
        <v>0</v>
      </c>
      <c r="G193" s="275">
        <f t="shared" si="157"/>
        <v>0</v>
      </c>
      <c r="H193" s="274">
        <f t="shared" si="157"/>
        <v>0</v>
      </c>
      <c r="I193" s="274">
        <f t="shared" si="157"/>
        <v>-1023120</v>
      </c>
      <c r="J193" s="274">
        <f t="shared" ref="J193" si="161">+J131-J162</f>
        <v>0</v>
      </c>
      <c r="K193" s="833">
        <f t="shared" si="157"/>
        <v>0</v>
      </c>
      <c r="L193" s="276">
        <f t="shared" si="157"/>
        <v>0</v>
      </c>
      <c r="M193" s="277">
        <f t="shared" si="157"/>
        <v>0</v>
      </c>
      <c r="N193" s="274">
        <f t="shared" si="157"/>
        <v>0</v>
      </c>
      <c r="O193" s="274">
        <f t="shared" si="157"/>
        <v>0</v>
      </c>
      <c r="P193" s="274">
        <f t="shared" ref="P193:Q193" si="162">+P131-P162</f>
        <v>0</v>
      </c>
      <c r="Q193" s="274">
        <f t="shared" si="162"/>
        <v>0</v>
      </c>
      <c r="R193" s="274">
        <f t="shared" ref="R193:T193" si="163">+R131-R162</f>
        <v>0</v>
      </c>
      <c r="S193" s="274">
        <f t="shared" si="163"/>
        <v>0</v>
      </c>
      <c r="T193" s="274">
        <f t="shared" si="163"/>
        <v>0</v>
      </c>
      <c r="U193" s="274">
        <f t="shared" si="157"/>
        <v>0</v>
      </c>
      <c r="V193" s="1131"/>
    </row>
    <row r="194" spans="1:27" ht="13.5" thickBot="1">
      <c r="A194" s="279" t="s">
        <v>33</v>
      </c>
      <c r="B194" s="280">
        <f t="shared" si="157"/>
        <v>-24582947</v>
      </c>
      <c r="C194" s="280" t="e">
        <f t="shared" si="157"/>
        <v>#REF!</v>
      </c>
      <c r="D194" s="280" t="e">
        <f t="shared" si="157"/>
        <v>#REF!</v>
      </c>
      <c r="E194" s="280" t="e">
        <f t="shared" si="157"/>
        <v>#REF!</v>
      </c>
      <c r="F194" s="280">
        <f t="shared" si="157"/>
        <v>-49690170</v>
      </c>
      <c r="G194" s="281">
        <f t="shared" si="157"/>
        <v>-63397405</v>
      </c>
      <c r="H194" s="280">
        <f t="shared" si="157"/>
        <v>-71994746</v>
      </c>
      <c r="I194" s="280">
        <f t="shared" si="157"/>
        <v>-84267456</v>
      </c>
      <c r="J194" s="280">
        <f t="shared" ref="J194" si="164">+J132-J163</f>
        <v>2205843</v>
      </c>
      <c r="K194" s="834">
        <f t="shared" si="157"/>
        <v>-655486</v>
      </c>
      <c r="L194" s="282">
        <f t="shared" si="157"/>
        <v>-940846</v>
      </c>
      <c r="M194" s="283">
        <f t="shared" si="157"/>
        <v>3370218</v>
      </c>
      <c r="N194" s="280">
        <f t="shared" si="157"/>
        <v>27717033</v>
      </c>
      <c r="O194" s="280">
        <f t="shared" si="157"/>
        <v>41993803</v>
      </c>
      <c r="P194" s="280">
        <f t="shared" ref="P194:Q194" si="165">+P132-P163</f>
        <v>0</v>
      </c>
      <c r="Q194" s="280">
        <f t="shared" si="165"/>
        <v>0</v>
      </c>
      <c r="R194" s="280">
        <f t="shared" ref="R194:T194" si="166">+R132-R163</f>
        <v>0</v>
      </c>
      <c r="S194" s="280">
        <f t="shared" si="166"/>
        <v>0</v>
      </c>
      <c r="T194" s="280">
        <f t="shared" si="166"/>
        <v>0</v>
      </c>
      <c r="U194" s="274">
        <f>+U132-U163</f>
        <v>74346051</v>
      </c>
      <c r="V194" s="1131">
        <f>+U194-U209</f>
        <v>0</v>
      </c>
      <c r="AA194" s="13">
        <f>+U194-U209</f>
        <v>0</v>
      </c>
    </row>
    <row r="195" spans="1:27" ht="15" customHeight="1" thickBot="1">
      <c r="A195" s="284"/>
      <c r="B195" s="285">
        <f t="shared" ref="B195:U195" si="167">SUM(B184:B194)</f>
        <v>-52207825</v>
      </c>
      <c r="C195" s="286" t="e">
        <f t="shared" si="167"/>
        <v>#REF!</v>
      </c>
      <c r="D195" s="286" t="e">
        <f t="shared" si="167"/>
        <v>#REF!</v>
      </c>
      <c r="E195" s="286" t="e">
        <f t="shared" si="167"/>
        <v>#REF!</v>
      </c>
      <c r="F195" s="285">
        <f t="shared" si="167"/>
        <v>-93147846</v>
      </c>
      <c r="G195" s="285">
        <f t="shared" si="167"/>
        <v>-140957381</v>
      </c>
      <c r="H195" s="287">
        <f t="shared" si="167"/>
        <v>-123972292.3</v>
      </c>
      <c r="I195" s="287">
        <f t="shared" si="167"/>
        <v>-139888053</v>
      </c>
      <c r="J195" s="287">
        <f t="shared" ref="J195" si="168">SUM(J184:J194)</f>
        <v>-124555</v>
      </c>
      <c r="K195" s="835">
        <f t="shared" si="167"/>
        <v>96951</v>
      </c>
      <c r="L195" s="288">
        <f t="shared" si="167"/>
        <v>-10022085</v>
      </c>
      <c r="M195" s="289">
        <f t="shared" si="167"/>
        <v>-11811981</v>
      </c>
      <c r="N195" s="287">
        <f t="shared" si="167"/>
        <v>45543445</v>
      </c>
      <c r="O195" s="287">
        <f t="shared" si="167"/>
        <v>59247662</v>
      </c>
      <c r="P195" s="287">
        <f t="shared" ref="P195:T195" si="169">SUM(P184:P194)</f>
        <v>9582069</v>
      </c>
      <c r="Q195" s="287">
        <f t="shared" si="169"/>
        <v>2073599</v>
      </c>
      <c r="R195" s="287">
        <f t="shared" si="169"/>
        <v>0</v>
      </c>
      <c r="S195" s="287">
        <f t="shared" si="169"/>
        <v>0</v>
      </c>
      <c r="T195" s="287">
        <f t="shared" si="169"/>
        <v>0</v>
      </c>
      <c r="U195" s="287">
        <f t="shared" si="167"/>
        <v>94488154</v>
      </c>
      <c r="V195" s="1132"/>
    </row>
    <row r="196" spans="1:27" ht="14.25" customHeight="1" thickBot="1">
      <c r="A196" s="290" t="s">
        <v>56</v>
      </c>
      <c r="B196" s="291">
        <f t="shared" ref="B196:U196" si="170">+B121-B152</f>
        <v>-52207825</v>
      </c>
      <c r="C196" s="292" t="e">
        <f t="shared" si="170"/>
        <v>#REF!</v>
      </c>
      <c r="D196" s="292" t="e">
        <f t="shared" si="170"/>
        <v>#REF!</v>
      </c>
      <c r="E196" s="292" t="e">
        <f t="shared" si="170"/>
        <v>#REF!</v>
      </c>
      <c r="F196" s="291">
        <f t="shared" si="170"/>
        <v>-93147846</v>
      </c>
      <c r="G196" s="291">
        <f t="shared" si="170"/>
        <v>-140957381</v>
      </c>
      <c r="H196" s="293">
        <f t="shared" si="170"/>
        <v>-123972292.30000001</v>
      </c>
      <c r="I196" s="293">
        <f t="shared" si="170"/>
        <v>-139888053</v>
      </c>
      <c r="J196" s="293">
        <f t="shared" si="170"/>
        <v>-124555</v>
      </c>
      <c r="K196" s="836">
        <f t="shared" si="170"/>
        <v>96951</v>
      </c>
      <c r="L196" s="294">
        <f t="shared" si="170"/>
        <v>-10022085</v>
      </c>
      <c r="M196" s="291">
        <f t="shared" si="170"/>
        <v>-11811981</v>
      </c>
      <c r="N196" s="291">
        <f t="shared" si="170"/>
        <v>45543445</v>
      </c>
      <c r="O196" s="291">
        <f t="shared" si="170"/>
        <v>59247662</v>
      </c>
      <c r="P196" s="291">
        <f t="shared" si="170"/>
        <v>9582069</v>
      </c>
      <c r="Q196" s="291">
        <f t="shared" si="170"/>
        <v>2073599</v>
      </c>
      <c r="R196" s="291">
        <f t="shared" si="170"/>
        <v>0</v>
      </c>
      <c r="S196" s="291">
        <f t="shared" si="170"/>
        <v>0</v>
      </c>
      <c r="T196" s="291">
        <f t="shared" si="170"/>
        <v>0</v>
      </c>
      <c r="U196" s="291">
        <f t="shared" si="170"/>
        <v>94488153.999999523</v>
      </c>
      <c r="V196" s="291"/>
    </row>
    <row r="197" spans="1:27" ht="16.5" customHeight="1" thickBot="1">
      <c r="A197" s="295" t="s">
        <v>76</v>
      </c>
      <c r="B197" s="296">
        <f t="shared" ref="B197:U209" si="171">+B135-B167</f>
        <v>-41334285</v>
      </c>
      <c r="C197" s="296" t="e">
        <f t="shared" si="171"/>
        <v>#REF!</v>
      </c>
      <c r="D197" s="296" t="e">
        <f t="shared" si="171"/>
        <v>#REF!</v>
      </c>
      <c r="E197" s="296" t="e">
        <f t="shared" si="171"/>
        <v>#REF!</v>
      </c>
      <c r="F197" s="296">
        <f t="shared" si="171"/>
        <v>-82381494</v>
      </c>
      <c r="G197" s="297">
        <f t="shared" si="171"/>
        <v>-100782041</v>
      </c>
      <c r="H197" s="296">
        <f t="shared" si="171"/>
        <v>-102897861</v>
      </c>
      <c r="I197" s="296">
        <f t="shared" si="171"/>
        <v>-118884721</v>
      </c>
      <c r="J197" s="296">
        <f t="shared" si="171"/>
        <v>-4992884</v>
      </c>
      <c r="K197" s="837">
        <f t="shared" si="171"/>
        <v>-4761750</v>
      </c>
      <c r="L197" s="298">
        <f t="shared" si="171"/>
        <v>-2539993</v>
      </c>
      <c r="M197" s="299">
        <f t="shared" si="171"/>
        <v>-3258920</v>
      </c>
      <c r="N197" s="296">
        <f t="shared" si="171"/>
        <v>38024920</v>
      </c>
      <c r="O197" s="296">
        <f t="shared" si="171"/>
        <v>41600992</v>
      </c>
      <c r="P197" s="296">
        <f t="shared" ref="P197:T197" si="172">+P135-P167</f>
        <v>19136910</v>
      </c>
      <c r="Q197" s="296">
        <f t="shared" si="172"/>
        <v>12125144</v>
      </c>
      <c r="R197" s="296">
        <f t="shared" si="172"/>
        <v>61879</v>
      </c>
      <c r="S197" s="296">
        <f t="shared" si="172"/>
        <v>0</v>
      </c>
      <c r="T197" s="296">
        <f t="shared" si="172"/>
        <v>0</v>
      </c>
      <c r="U197" s="296">
        <f>SUM(U198:U209)</f>
        <v>100158048</v>
      </c>
      <c r="V197" s="1133"/>
    </row>
    <row r="198" spans="1:27">
      <c r="A198" s="268" t="s">
        <v>70</v>
      </c>
      <c r="B198" s="269">
        <f t="shared" si="171"/>
        <v>0</v>
      </c>
      <c r="C198" s="269">
        <f t="shared" si="171"/>
        <v>0</v>
      </c>
      <c r="D198" s="269">
        <f t="shared" si="171"/>
        <v>0</v>
      </c>
      <c r="E198" s="269">
        <f t="shared" si="171"/>
        <v>0</v>
      </c>
      <c r="F198" s="269">
        <f t="shared" si="171"/>
        <v>-453868</v>
      </c>
      <c r="G198" s="270">
        <f t="shared" si="171"/>
        <v>-569798</v>
      </c>
      <c r="H198" s="269">
        <f t="shared" si="171"/>
        <v>-474487</v>
      </c>
      <c r="I198" s="269">
        <f t="shared" si="171"/>
        <v>-126548</v>
      </c>
      <c r="J198" s="269">
        <f t="shared" ref="J198" si="173">+J136-J168</f>
        <v>0</v>
      </c>
      <c r="K198" s="832">
        <f t="shared" si="171"/>
        <v>0</v>
      </c>
      <c r="L198" s="271">
        <f t="shared" si="171"/>
        <v>0</v>
      </c>
      <c r="M198" s="272">
        <f t="shared" si="171"/>
        <v>0</v>
      </c>
      <c r="N198" s="269">
        <f t="shared" si="171"/>
        <v>0</v>
      </c>
      <c r="O198" s="269">
        <f t="shared" si="171"/>
        <v>0</v>
      </c>
      <c r="P198" s="269">
        <f t="shared" ref="P198:Q198" si="174">+P136-P168</f>
        <v>0</v>
      </c>
      <c r="Q198" s="269">
        <f t="shared" si="174"/>
        <v>0</v>
      </c>
      <c r="R198" s="269">
        <f t="shared" ref="R198:T198" si="175">+R136-R168</f>
        <v>0</v>
      </c>
      <c r="S198" s="269">
        <f t="shared" si="175"/>
        <v>0</v>
      </c>
      <c r="T198" s="269">
        <f t="shared" si="175"/>
        <v>0</v>
      </c>
      <c r="U198" s="300">
        <f>+U136-U168</f>
        <v>0</v>
      </c>
      <c r="V198" s="1134"/>
    </row>
    <row r="199" spans="1:27">
      <c r="A199" s="273" t="s">
        <v>25</v>
      </c>
      <c r="B199" s="274">
        <f t="shared" si="171"/>
        <v>-469627</v>
      </c>
      <c r="C199" s="274" t="e">
        <f t="shared" si="171"/>
        <v>#REF!</v>
      </c>
      <c r="D199" s="274" t="e">
        <f t="shared" si="171"/>
        <v>#REF!</v>
      </c>
      <c r="E199" s="274" t="e">
        <f t="shared" si="171"/>
        <v>#REF!</v>
      </c>
      <c r="F199" s="274">
        <f t="shared" si="171"/>
        <v>-569907</v>
      </c>
      <c r="G199" s="275">
        <f t="shared" si="171"/>
        <v>-613195</v>
      </c>
      <c r="H199" s="274">
        <f t="shared" si="171"/>
        <v>-892535</v>
      </c>
      <c r="I199" s="274">
        <f t="shared" si="171"/>
        <v>-1232138</v>
      </c>
      <c r="J199" s="274">
        <f t="shared" ref="J199" si="176">+J137-J169</f>
        <v>0</v>
      </c>
      <c r="K199" s="833">
        <f t="shared" si="171"/>
        <v>0</v>
      </c>
      <c r="L199" s="276">
        <f t="shared" si="171"/>
        <v>-100483</v>
      </c>
      <c r="M199" s="277">
        <f t="shared" si="171"/>
        <v>0</v>
      </c>
      <c r="N199" s="274">
        <f t="shared" si="171"/>
        <v>0</v>
      </c>
      <c r="O199" s="274">
        <f t="shared" si="171"/>
        <v>0</v>
      </c>
      <c r="P199" s="274">
        <f t="shared" ref="P199:Q199" si="177">+P137-P169</f>
        <v>0</v>
      </c>
      <c r="Q199" s="274">
        <f t="shared" si="177"/>
        <v>0</v>
      </c>
      <c r="R199" s="274">
        <f t="shared" ref="R199:T199" si="178">+R137-R169</f>
        <v>0</v>
      </c>
      <c r="S199" s="274">
        <f t="shared" si="178"/>
        <v>0</v>
      </c>
      <c r="T199" s="274">
        <f t="shared" si="178"/>
        <v>0</v>
      </c>
      <c r="U199" s="301">
        <f t="shared" si="171"/>
        <v>-100483</v>
      </c>
      <c r="V199" s="1134"/>
    </row>
    <row r="200" spans="1:27">
      <c r="A200" s="273" t="s">
        <v>27</v>
      </c>
      <c r="B200" s="274">
        <f t="shared" si="171"/>
        <v>0</v>
      </c>
      <c r="C200" s="274">
        <f t="shared" si="171"/>
        <v>0</v>
      </c>
      <c r="D200" s="274">
        <f t="shared" si="171"/>
        <v>0</v>
      </c>
      <c r="E200" s="274">
        <f t="shared" si="171"/>
        <v>0</v>
      </c>
      <c r="F200" s="274">
        <f t="shared" si="171"/>
        <v>-4967381</v>
      </c>
      <c r="G200" s="275">
        <f t="shared" si="171"/>
        <v>0</v>
      </c>
      <c r="H200" s="274">
        <f t="shared" si="171"/>
        <v>-570000</v>
      </c>
      <c r="I200" s="274">
        <f t="shared" si="171"/>
        <v>-2950000</v>
      </c>
      <c r="J200" s="274">
        <f t="shared" ref="J200" si="179">+J138-J170</f>
        <v>0</v>
      </c>
      <c r="K200" s="833">
        <f t="shared" si="171"/>
        <v>0</v>
      </c>
      <c r="L200" s="276">
        <f t="shared" si="171"/>
        <v>0</v>
      </c>
      <c r="M200" s="277">
        <f t="shared" si="171"/>
        <v>1230000</v>
      </c>
      <c r="N200" s="274">
        <f t="shared" si="171"/>
        <v>500000</v>
      </c>
      <c r="O200" s="274">
        <f t="shared" si="171"/>
        <v>0</v>
      </c>
      <c r="P200" s="274">
        <f t="shared" ref="P200:Q200" si="180">+P138-P170</f>
        <v>0</v>
      </c>
      <c r="Q200" s="274">
        <f t="shared" si="180"/>
        <v>0</v>
      </c>
      <c r="R200" s="274">
        <f t="shared" ref="R200:T200" si="181">+R138-R170</f>
        <v>0</v>
      </c>
      <c r="S200" s="274">
        <f t="shared" si="181"/>
        <v>0</v>
      </c>
      <c r="T200" s="274">
        <f t="shared" si="181"/>
        <v>0</v>
      </c>
      <c r="U200" s="301">
        <f t="shared" si="171"/>
        <v>1730000</v>
      </c>
      <c r="V200" s="1134"/>
    </row>
    <row r="201" spans="1:27">
      <c r="A201" s="273" t="s">
        <v>78</v>
      </c>
      <c r="B201" s="274">
        <f t="shared" si="171"/>
        <v>0</v>
      </c>
      <c r="C201" s="274">
        <f t="shared" si="171"/>
        <v>0</v>
      </c>
      <c r="D201" s="274">
        <f t="shared" si="171"/>
        <v>0</v>
      </c>
      <c r="E201" s="274">
        <f t="shared" si="171"/>
        <v>0</v>
      </c>
      <c r="F201" s="274">
        <f t="shared" si="171"/>
        <v>-8238536</v>
      </c>
      <c r="G201" s="275">
        <f t="shared" si="171"/>
        <v>-585000</v>
      </c>
      <c r="H201" s="274">
        <f t="shared" si="171"/>
        <v>-47355</v>
      </c>
      <c r="I201" s="274">
        <f t="shared" si="171"/>
        <v>163550</v>
      </c>
      <c r="J201" s="274">
        <f t="shared" ref="J201" si="182">+J139-J171</f>
        <v>-4715250</v>
      </c>
      <c r="K201" s="833">
        <f t="shared" si="171"/>
        <v>-4715250</v>
      </c>
      <c r="L201" s="276">
        <f t="shared" si="171"/>
        <v>0</v>
      </c>
      <c r="M201" s="277">
        <f t="shared" si="171"/>
        <v>-3442541</v>
      </c>
      <c r="N201" s="274">
        <f t="shared" si="171"/>
        <v>3442541</v>
      </c>
      <c r="O201" s="274">
        <f t="shared" si="171"/>
        <v>-3704000</v>
      </c>
      <c r="P201" s="274">
        <f t="shared" ref="P201:Q201" si="183">+P139-P171</f>
        <v>3704000</v>
      </c>
      <c r="Q201" s="274">
        <f t="shared" si="183"/>
        <v>0</v>
      </c>
      <c r="R201" s="274">
        <f t="shared" ref="R201:T201" si="184">+R139-R171</f>
        <v>0</v>
      </c>
      <c r="S201" s="274">
        <f t="shared" si="184"/>
        <v>0</v>
      </c>
      <c r="T201" s="274">
        <f t="shared" si="184"/>
        <v>0</v>
      </c>
      <c r="U201" s="301">
        <f t="shared" si="171"/>
        <v>-4715250</v>
      </c>
      <c r="V201" s="1134"/>
    </row>
    <row r="202" spans="1:27">
      <c r="A202" s="268" t="s">
        <v>24</v>
      </c>
      <c r="B202" s="274">
        <f t="shared" si="171"/>
        <v>0</v>
      </c>
      <c r="C202" s="274">
        <f t="shared" si="171"/>
        <v>0</v>
      </c>
      <c r="D202" s="274">
        <f t="shared" si="171"/>
        <v>0</v>
      </c>
      <c r="E202" s="274">
        <f t="shared" si="171"/>
        <v>0</v>
      </c>
      <c r="F202" s="274">
        <f t="shared" si="171"/>
        <v>0</v>
      </c>
      <c r="G202" s="275">
        <f t="shared" si="171"/>
        <v>0</v>
      </c>
      <c r="H202" s="274">
        <f t="shared" si="171"/>
        <v>-52889</v>
      </c>
      <c r="I202" s="274">
        <f t="shared" si="171"/>
        <v>-124808</v>
      </c>
      <c r="J202" s="274">
        <f t="shared" ref="J202" si="185">+J140-J172</f>
        <v>0</v>
      </c>
      <c r="K202" s="833">
        <f t="shared" si="171"/>
        <v>0</v>
      </c>
      <c r="L202" s="276">
        <f t="shared" si="171"/>
        <v>-489105</v>
      </c>
      <c r="M202" s="277">
        <f t="shared" si="171"/>
        <v>384204</v>
      </c>
      <c r="N202" s="274">
        <f t="shared" si="171"/>
        <v>1500000</v>
      </c>
      <c r="O202" s="274">
        <f t="shared" si="171"/>
        <v>1500000</v>
      </c>
      <c r="P202" s="274">
        <f t="shared" ref="P202:Q202" si="186">+P140-P172</f>
        <v>12000000</v>
      </c>
      <c r="Q202" s="274">
        <f t="shared" si="186"/>
        <v>12000000</v>
      </c>
      <c r="R202" s="274">
        <f t="shared" ref="R202:T202" si="187">+R140-R172</f>
        <v>0</v>
      </c>
      <c r="S202" s="274">
        <f t="shared" si="187"/>
        <v>0</v>
      </c>
      <c r="T202" s="274">
        <f t="shared" si="187"/>
        <v>0</v>
      </c>
      <c r="U202" s="301">
        <f t="shared" si="171"/>
        <v>26895099</v>
      </c>
      <c r="V202" s="1134"/>
    </row>
    <row r="203" spans="1:27">
      <c r="A203" s="273" t="s">
        <v>73</v>
      </c>
      <c r="B203" s="274">
        <f t="shared" si="171"/>
        <v>-5935894</v>
      </c>
      <c r="C203" s="274">
        <f t="shared" si="171"/>
        <v>0</v>
      </c>
      <c r="D203" s="274">
        <f t="shared" si="171"/>
        <v>0</v>
      </c>
      <c r="E203" s="274">
        <f t="shared" si="171"/>
        <v>-6647405</v>
      </c>
      <c r="F203" s="274">
        <f t="shared" si="171"/>
        <v>-10285500</v>
      </c>
      <c r="G203" s="275">
        <f t="shared" si="171"/>
        <v>-12796084</v>
      </c>
      <c r="H203" s="274">
        <f t="shared" si="171"/>
        <v>-12792166</v>
      </c>
      <c r="I203" s="274">
        <f t="shared" si="171"/>
        <v>-9659941</v>
      </c>
      <c r="J203" s="274">
        <f t="shared" ref="J203" si="188">+J141-J173</f>
        <v>0</v>
      </c>
      <c r="K203" s="833">
        <f>+K141-K173</f>
        <v>0</v>
      </c>
      <c r="L203" s="276">
        <f t="shared" si="171"/>
        <v>0</v>
      </c>
      <c r="M203" s="277">
        <f t="shared" si="171"/>
        <v>0</v>
      </c>
      <c r="N203" s="274">
        <f t="shared" si="171"/>
        <v>0</v>
      </c>
      <c r="O203" s="274">
        <f t="shared" si="171"/>
        <v>0</v>
      </c>
      <c r="P203" s="274">
        <f t="shared" ref="P203:Q203" si="189">+P141-P173</f>
        <v>0</v>
      </c>
      <c r="Q203" s="274">
        <f t="shared" si="189"/>
        <v>0</v>
      </c>
      <c r="R203" s="274">
        <f t="shared" ref="R203:T203" si="190">+R141-R173</f>
        <v>0</v>
      </c>
      <c r="S203" s="274">
        <f t="shared" si="190"/>
        <v>0</v>
      </c>
      <c r="T203" s="274">
        <f t="shared" si="190"/>
        <v>0</v>
      </c>
      <c r="U203" s="301">
        <f t="shared" si="171"/>
        <v>0</v>
      </c>
      <c r="V203" s="1131"/>
    </row>
    <row r="204" spans="1:27">
      <c r="A204" s="273" t="s">
        <v>74</v>
      </c>
      <c r="B204" s="274">
        <f t="shared" si="171"/>
        <v>-10594223</v>
      </c>
      <c r="C204" s="274">
        <f t="shared" si="171"/>
        <v>0</v>
      </c>
      <c r="D204" s="274">
        <f t="shared" si="171"/>
        <v>0</v>
      </c>
      <c r="E204" s="274">
        <f t="shared" si="171"/>
        <v>-3058368</v>
      </c>
      <c r="F204" s="274">
        <f t="shared" si="171"/>
        <v>-17692550</v>
      </c>
      <c r="G204" s="275">
        <f t="shared" si="171"/>
        <v>-2998223</v>
      </c>
      <c r="H204" s="274">
        <f t="shared" si="171"/>
        <v>-3753212</v>
      </c>
      <c r="I204" s="274">
        <f t="shared" si="171"/>
        <v>-4711864</v>
      </c>
      <c r="J204" s="274">
        <f t="shared" ref="J204" si="191">+J142-J174</f>
        <v>0</v>
      </c>
      <c r="K204" s="833">
        <f>+K142-K174</f>
        <v>0</v>
      </c>
      <c r="L204" s="276">
        <f t="shared" si="171"/>
        <v>0</v>
      </c>
      <c r="M204" s="277">
        <f t="shared" si="171"/>
        <v>0</v>
      </c>
      <c r="N204" s="274">
        <f t="shared" si="171"/>
        <v>0</v>
      </c>
      <c r="O204" s="274">
        <f t="shared" si="171"/>
        <v>0</v>
      </c>
      <c r="P204" s="274">
        <f t="shared" ref="P204:Q204" si="192">+P142-P174</f>
        <v>0</v>
      </c>
      <c r="Q204" s="274">
        <f t="shared" si="192"/>
        <v>0</v>
      </c>
      <c r="R204" s="274">
        <f t="shared" ref="R204:T204" si="193">+R142-R174</f>
        <v>0</v>
      </c>
      <c r="S204" s="274">
        <f t="shared" si="193"/>
        <v>0</v>
      </c>
      <c r="T204" s="274">
        <f t="shared" si="193"/>
        <v>0</v>
      </c>
      <c r="U204" s="301">
        <f t="shared" si="171"/>
        <v>0</v>
      </c>
      <c r="V204" s="1134"/>
    </row>
    <row r="205" spans="1:27">
      <c r="A205" s="273" t="s">
        <v>29</v>
      </c>
      <c r="B205" s="274">
        <f t="shared" si="171"/>
        <v>0</v>
      </c>
      <c r="C205" s="274">
        <f t="shared" si="171"/>
        <v>0</v>
      </c>
      <c r="D205" s="274">
        <f t="shared" si="171"/>
        <v>0</v>
      </c>
      <c r="E205" s="274">
        <f t="shared" si="171"/>
        <v>0</v>
      </c>
      <c r="F205" s="274">
        <f t="shared" si="171"/>
        <v>0</v>
      </c>
      <c r="G205" s="275">
        <f t="shared" si="171"/>
        <v>-11478084</v>
      </c>
      <c r="H205" s="274">
        <f t="shared" si="171"/>
        <v>-9500904</v>
      </c>
      <c r="I205" s="274">
        <f t="shared" si="171"/>
        <v>-2895182</v>
      </c>
      <c r="J205" s="274">
        <f t="shared" ref="J205" si="194">+J143-J175</f>
        <v>0</v>
      </c>
      <c r="K205" s="833">
        <f t="shared" si="171"/>
        <v>0</v>
      </c>
      <c r="L205" s="276">
        <f t="shared" si="171"/>
        <v>0</v>
      </c>
      <c r="M205" s="277">
        <f t="shared" si="171"/>
        <v>0</v>
      </c>
      <c r="N205" s="274">
        <f t="shared" si="171"/>
        <v>0</v>
      </c>
      <c r="O205" s="274">
        <f t="shared" si="171"/>
        <v>0</v>
      </c>
      <c r="P205" s="274">
        <f t="shared" ref="P205:Q205" si="195">+P143-P175</f>
        <v>0</v>
      </c>
      <c r="Q205" s="274">
        <f t="shared" si="195"/>
        <v>0</v>
      </c>
      <c r="R205" s="274">
        <f t="shared" ref="R205:T205" si="196">+R143-R175</f>
        <v>0</v>
      </c>
      <c r="S205" s="274">
        <f t="shared" si="196"/>
        <v>0</v>
      </c>
      <c r="T205" s="274">
        <f t="shared" si="196"/>
        <v>0</v>
      </c>
      <c r="U205" s="301">
        <f t="shared" si="171"/>
        <v>0</v>
      </c>
      <c r="V205" s="1134"/>
    </row>
    <row r="206" spans="1:27" ht="24">
      <c r="A206" s="273" t="s">
        <v>38</v>
      </c>
      <c r="B206" s="1018">
        <f t="shared" si="171"/>
        <v>0</v>
      </c>
      <c r="C206" s="1018">
        <f t="shared" si="171"/>
        <v>0</v>
      </c>
      <c r="D206" s="1018">
        <f t="shared" si="171"/>
        <v>0</v>
      </c>
      <c r="E206" s="1018">
        <f t="shared" si="171"/>
        <v>0</v>
      </c>
      <c r="F206" s="1018">
        <f t="shared" si="171"/>
        <v>0</v>
      </c>
      <c r="G206" s="1019">
        <f t="shared" si="171"/>
        <v>0</v>
      </c>
      <c r="H206" s="1018">
        <f t="shared" si="171"/>
        <v>0</v>
      </c>
      <c r="I206" s="1018">
        <f t="shared" si="171"/>
        <v>0</v>
      </c>
      <c r="J206" s="1018">
        <f t="shared" ref="J206" si="197">+J144-J176</f>
        <v>0</v>
      </c>
      <c r="K206" s="1020">
        <f t="shared" si="171"/>
        <v>0</v>
      </c>
      <c r="L206" s="1021">
        <f t="shared" si="171"/>
        <v>0</v>
      </c>
      <c r="M206" s="1022">
        <f t="shared" si="171"/>
        <v>0</v>
      </c>
      <c r="N206" s="1018">
        <f t="shared" si="171"/>
        <v>0</v>
      </c>
      <c r="O206" s="1018">
        <f t="shared" si="171"/>
        <v>0</v>
      </c>
      <c r="P206" s="1018">
        <f t="shared" ref="P206:Q206" si="198">+P144-P176</f>
        <v>0</v>
      </c>
      <c r="Q206" s="1018">
        <f t="shared" si="198"/>
        <v>0</v>
      </c>
      <c r="R206" s="1018">
        <f t="shared" ref="R206:T206" si="199">+R144-R176</f>
        <v>0</v>
      </c>
      <c r="S206" s="1018">
        <f t="shared" si="199"/>
        <v>0</v>
      </c>
      <c r="T206" s="1018">
        <f t="shared" si="199"/>
        <v>0</v>
      </c>
      <c r="U206" s="301">
        <f>+U144-U176</f>
        <v>0</v>
      </c>
      <c r="V206" s="1135"/>
    </row>
    <row r="207" spans="1:27" ht="13.5" customHeight="1">
      <c r="A207" s="273" t="s">
        <v>32</v>
      </c>
      <c r="B207" s="274">
        <f t="shared" si="171"/>
        <v>0</v>
      </c>
      <c r="C207" s="274" t="e">
        <f t="shared" si="171"/>
        <v>#REF!</v>
      </c>
      <c r="D207" s="274" t="e">
        <f t="shared" si="171"/>
        <v>#REF!</v>
      </c>
      <c r="E207" s="274" t="e">
        <f t="shared" si="171"/>
        <v>#REF!</v>
      </c>
      <c r="F207" s="274">
        <f t="shared" si="171"/>
        <v>-1361604</v>
      </c>
      <c r="G207" s="275">
        <f t="shared" si="171"/>
        <v>-2797959</v>
      </c>
      <c r="H207" s="274">
        <f t="shared" si="171"/>
        <v>-1423461</v>
      </c>
      <c r="I207" s="274">
        <f t="shared" si="171"/>
        <v>-4549693</v>
      </c>
      <c r="J207" s="274">
        <f t="shared" ref="J207" si="200">+J145-J177</f>
        <v>0</v>
      </c>
      <c r="K207" s="833">
        <f t="shared" si="171"/>
        <v>0</v>
      </c>
      <c r="L207" s="276">
        <f t="shared" si="171"/>
        <v>0</v>
      </c>
      <c r="M207" s="277">
        <f t="shared" si="171"/>
        <v>290409</v>
      </c>
      <c r="N207" s="274">
        <f t="shared" si="171"/>
        <v>381705</v>
      </c>
      <c r="O207" s="274">
        <f t="shared" si="171"/>
        <v>-789416</v>
      </c>
      <c r="P207" s="274">
        <f t="shared" ref="P207:Q207" si="201">+P145-P177</f>
        <v>1932910</v>
      </c>
      <c r="Q207" s="274">
        <f t="shared" si="201"/>
        <v>125144</v>
      </c>
      <c r="R207" s="274">
        <f t="shared" ref="R207:T207" si="202">+R145-R177</f>
        <v>61879</v>
      </c>
      <c r="S207" s="274">
        <f t="shared" si="202"/>
        <v>0</v>
      </c>
      <c r="T207" s="274">
        <f t="shared" si="202"/>
        <v>0</v>
      </c>
      <c r="U207" s="301">
        <f>+U145-U177</f>
        <v>2002631</v>
      </c>
      <c r="V207" s="1134"/>
    </row>
    <row r="208" spans="1:27" ht="13.5" customHeight="1">
      <c r="A208" s="278" t="s">
        <v>31</v>
      </c>
      <c r="B208" s="274">
        <f t="shared" si="171"/>
        <v>0</v>
      </c>
      <c r="C208" s="274">
        <f t="shared" si="171"/>
        <v>0</v>
      </c>
      <c r="D208" s="274">
        <f t="shared" si="171"/>
        <v>0</v>
      </c>
      <c r="E208" s="274">
        <f t="shared" si="171"/>
        <v>0</v>
      </c>
      <c r="F208" s="274">
        <f t="shared" si="171"/>
        <v>0</v>
      </c>
      <c r="G208" s="275">
        <f t="shared" si="171"/>
        <v>0</v>
      </c>
      <c r="H208" s="274">
        <f t="shared" si="171"/>
        <v>0</v>
      </c>
      <c r="I208" s="274">
        <f t="shared" si="171"/>
        <v>-1023120</v>
      </c>
      <c r="J208" s="274">
        <f t="shared" ref="J208" si="203">+J146-J178</f>
        <v>0</v>
      </c>
      <c r="K208" s="833">
        <f t="shared" si="171"/>
        <v>0</v>
      </c>
      <c r="L208" s="276">
        <f t="shared" si="171"/>
        <v>0</v>
      </c>
      <c r="M208" s="277">
        <f t="shared" si="171"/>
        <v>0</v>
      </c>
      <c r="N208" s="274">
        <f t="shared" si="171"/>
        <v>0</v>
      </c>
      <c r="O208" s="274">
        <f t="shared" si="171"/>
        <v>0</v>
      </c>
      <c r="P208" s="274">
        <f t="shared" ref="P208:Q208" si="204">+P146-P178</f>
        <v>0</v>
      </c>
      <c r="Q208" s="274">
        <f t="shared" si="204"/>
        <v>0</v>
      </c>
      <c r="R208" s="274">
        <f t="shared" ref="R208:T208" si="205">+R146-R178</f>
        <v>0</v>
      </c>
      <c r="S208" s="274">
        <f t="shared" si="205"/>
        <v>0</v>
      </c>
      <c r="T208" s="274">
        <f t="shared" si="205"/>
        <v>0</v>
      </c>
      <c r="U208" s="301">
        <f>+U146-U178</f>
        <v>0</v>
      </c>
      <c r="V208" s="1134"/>
    </row>
    <row r="209" spans="1:22" ht="13.5" thickBot="1">
      <c r="A209" s="279" t="s">
        <v>33</v>
      </c>
      <c r="B209" s="280">
        <f t="shared" si="171"/>
        <v>-24334541</v>
      </c>
      <c r="C209" s="280" t="e">
        <f t="shared" si="171"/>
        <v>#REF!</v>
      </c>
      <c r="D209" s="280" t="e">
        <f t="shared" si="171"/>
        <v>#REF!</v>
      </c>
      <c r="E209" s="280" t="e">
        <f t="shared" si="171"/>
        <v>#REF!</v>
      </c>
      <c r="F209" s="280">
        <f t="shared" si="171"/>
        <v>-38812148</v>
      </c>
      <c r="G209" s="281">
        <f t="shared" si="171"/>
        <v>-68943698</v>
      </c>
      <c r="H209" s="280">
        <f t="shared" si="171"/>
        <v>-73390852</v>
      </c>
      <c r="I209" s="280">
        <f t="shared" si="171"/>
        <v>-91774977</v>
      </c>
      <c r="J209" s="280">
        <f t="shared" ref="J209" si="206">+J147-J179</f>
        <v>-277634</v>
      </c>
      <c r="K209" s="834">
        <f t="shared" si="171"/>
        <v>-46500</v>
      </c>
      <c r="L209" s="282">
        <f t="shared" si="171"/>
        <v>-1950405</v>
      </c>
      <c r="M209" s="283">
        <f t="shared" si="171"/>
        <v>-1720992</v>
      </c>
      <c r="N209" s="280">
        <f t="shared" si="171"/>
        <v>32200674</v>
      </c>
      <c r="O209" s="280">
        <f t="shared" si="171"/>
        <v>44594408</v>
      </c>
      <c r="P209" s="280">
        <f t="shared" ref="P209:Q209" si="207">+P147-P179</f>
        <v>1500000</v>
      </c>
      <c r="Q209" s="280">
        <f t="shared" si="207"/>
        <v>0</v>
      </c>
      <c r="R209" s="280">
        <f t="shared" ref="R209:T209" si="208">+R147-R179</f>
        <v>0</v>
      </c>
      <c r="S209" s="280">
        <f t="shared" si="208"/>
        <v>0</v>
      </c>
      <c r="T209" s="280">
        <f t="shared" si="208"/>
        <v>0</v>
      </c>
      <c r="U209" s="301">
        <f>+U147-U179</f>
        <v>74346051</v>
      </c>
      <c r="V209" s="1134"/>
    </row>
    <row r="210" spans="1:22" ht="13.5" thickBot="1">
      <c r="A210" s="302"/>
      <c r="B210" s="303">
        <f>SUM(B198:B209)</f>
        <v>-41334285</v>
      </c>
      <c r="C210" s="303" t="e">
        <f t="shared" ref="C210:M210" si="209">SUM(C198:C209)</f>
        <v>#REF!</v>
      </c>
      <c r="D210" s="303" t="e">
        <f t="shared" si="209"/>
        <v>#REF!</v>
      </c>
      <c r="E210" s="303" t="e">
        <f t="shared" si="209"/>
        <v>#REF!</v>
      </c>
      <c r="F210" s="303">
        <f t="shared" si="209"/>
        <v>-82381494</v>
      </c>
      <c r="G210" s="303">
        <f t="shared" si="209"/>
        <v>-100782041</v>
      </c>
      <c r="H210" s="304">
        <f t="shared" si="209"/>
        <v>-102897861</v>
      </c>
      <c r="I210" s="304">
        <f t="shared" si="209"/>
        <v>-118884721</v>
      </c>
      <c r="J210" s="304">
        <f t="shared" ref="J210" si="210">SUM(J198:J209)</f>
        <v>-4992884</v>
      </c>
      <c r="K210" s="838">
        <f t="shared" si="209"/>
        <v>-4761750</v>
      </c>
      <c r="L210" s="305">
        <f t="shared" si="209"/>
        <v>-2539993</v>
      </c>
      <c r="M210" s="303">
        <f t="shared" si="209"/>
        <v>-3258920</v>
      </c>
      <c r="N210" s="303">
        <f>SUM(N198:N209)</f>
        <v>38024920</v>
      </c>
      <c r="O210" s="303">
        <f>SUM(O198:O209)</f>
        <v>41600992</v>
      </c>
      <c r="P210" s="303">
        <f t="shared" ref="P210:T210" si="211">SUM(P198:P209)</f>
        <v>19136910</v>
      </c>
      <c r="Q210" s="303">
        <f t="shared" si="211"/>
        <v>12125144</v>
      </c>
      <c r="R210" s="303">
        <f t="shared" si="211"/>
        <v>61879</v>
      </c>
      <c r="S210" s="303">
        <f t="shared" si="211"/>
        <v>0</v>
      </c>
      <c r="T210" s="303">
        <f t="shared" si="211"/>
        <v>0</v>
      </c>
      <c r="U210" s="303">
        <f>SUM(U198:U209)</f>
        <v>100158048</v>
      </c>
      <c r="V210" s="1136"/>
    </row>
    <row r="211" spans="1:22" ht="2.25" customHeight="1">
      <c r="A211" s="2"/>
      <c r="B211" s="2"/>
      <c r="C211" s="2"/>
      <c r="D211" s="2"/>
      <c r="E211" s="2"/>
      <c r="F211" s="2"/>
      <c r="H211" s="306"/>
      <c r="I211" s="306"/>
      <c r="J211" s="306"/>
      <c r="K211" s="839"/>
      <c r="L211" s="307"/>
      <c r="U211" s="2"/>
    </row>
    <row r="212" spans="1:22">
      <c r="A212" s="290" t="s">
        <v>56</v>
      </c>
      <c r="B212" s="308">
        <f t="shared" ref="B212:U212" si="212">+B135-B167</f>
        <v>-41334285</v>
      </c>
      <c r="C212" s="309" t="e">
        <f t="shared" si="212"/>
        <v>#REF!</v>
      </c>
      <c r="D212" s="309" t="e">
        <f t="shared" si="212"/>
        <v>#REF!</v>
      </c>
      <c r="E212" s="309" t="e">
        <f t="shared" si="212"/>
        <v>#REF!</v>
      </c>
      <c r="F212" s="308">
        <f t="shared" si="212"/>
        <v>-82381494</v>
      </c>
      <c r="G212" s="308">
        <f t="shared" si="212"/>
        <v>-100782041</v>
      </c>
      <c r="H212" s="310">
        <f t="shared" si="212"/>
        <v>-102897861</v>
      </c>
      <c r="I212" s="310">
        <f t="shared" si="212"/>
        <v>-118884721</v>
      </c>
      <c r="J212" s="310">
        <f t="shared" ref="J212" si="213">+J135-J167</f>
        <v>-4992884</v>
      </c>
      <c r="K212" s="840">
        <f t="shared" si="212"/>
        <v>-4761750</v>
      </c>
      <c r="L212" s="311">
        <f t="shared" si="212"/>
        <v>-2539993</v>
      </c>
      <c r="M212" s="308">
        <f t="shared" si="212"/>
        <v>-3258920</v>
      </c>
      <c r="N212" s="308">
        <f t="shared" si="212"/>
        <v>38024920</v>
      </c>
      <c r="O212" s="308">
        <f t="shared" si="212"/>
        <v>41600992</v>
      </c>
      <c r="P212" s="308">
        <f t="shared" ref="P212:Q212" si="214">+P135-P167</f>
        <v>19136910</v>
      </c>
      <c r="Q212" s="308">
        <f t="shared" si="214"/>
        <v>12125144</v>
      </c>
      <c r="R212" s="308">
        <f t="shared" ref="R212:T212" si="215">+R135-R167</f>
        <v>61879</v>
      </c>
      <c r="S212" s="308">
        <f t="shared" si="215"/>
        <v>0</v>
      </c>
      <c r="T212" s="308">
        <f t="shared" si="215"/>
        <v>0</v>
      </c>
      <c r="U212" s="308">
        <f t="shared" si="212"/>
        <v>100158048</v>
      </c>
    </row>
    <row r="213" spans="1:22" ht="14.25" customHeight="1" thickBot="1">
      <c r="A213" s="2"/>
      <c r="B213" s="2"/>
      <c r="C213" s="2"/>
      <c r="D213" s="2"/>
      <c r="E213" s="2"/>
      <c r="F213" s="2"/>
      <c r="G213" s="312">
        <f>+G212-G210</f>
        <v>0</v>
      </c>
      <c r="H213" s="313">
        <f>+H212-H210</f>
        <v>0</v>
      </c>
      <c r="I213" s="312">
        <f t="shared" ref="I213:U213" si="216">+I212-I210</f>
        <v>0</v>
      </c>
      <c r="J213" s="312">
        <f t="shared" ref="J213" si="217">+J212-J210</f>
        <v>0</v>
      </c>
      <c r="K213" s="841">
        <f t="shared" si="216"/>
        <v>0</v>
      </c>
      <c r="L213" s="314">
        <f t="shared" si="216"/>
        <v>0</v>
      </c>
      <c r="M213" s="312">
        <f t="shared" si="216"/>
        <v>0</v>
      </c>
      <c r="N213" s="312">
        <f t="shared" si="216"/>
        <v>0</v>
      </c>
      <c r="O213" s="312">
        <f t="shared" si="216"/>
        <v>0</v>
      </c>
      <c r="P213" s="312">
        <f t="shared" ref="P213:Q213" si="218">+P212-P210</f>
        <v>0</v>
      </c>
      <c r="Q213" s="312">
        <f t="shared" si="218"/>
        <v>0</v>
      </c>
      <c r="R213" s="312">
        <f t="shared" ref="R213:T213" si="219">+R212-R210</f>
        <v>0</v>
      </c>
      <c r="S213" s="312">
        <f t="shared" si="219"/>
        <v>0</v>
      </c>
      <c r="T213" s="312">
        <f t="shared" si="219"/>
        <v>0</v>
      </c>
      <c r="U213" s="312">
        <f t="shared" si="216"/>
        <v>0</v>
      </c>
    </row>
    <row r="214" spans="1:22" ht="12" customHeight="1">
      <c r="A214" s="2"/>
      <c r="B214" s="2"/>
      <c r="C214" s="2"/>
      <c r="D214" s="2"/>
      <c r="E214" s="2"/>
      <c r="F214" s="2"/>
      <c r="H214" s="306"/>
      <c r="U214" s="312"/>
    </row>
    <row r="215" spans="1:22">
      <c r="A215" s="2"/>
      <c r="B215" s="2"/>
      <c r="C215" s="2"/>
      <c r="D215" s="2"/>
      <c r="E215" s="2"/>
      <c r="F215" s="2"/>
      <c r="U215" s="2"/>
    </row>
    <row r="216" spans="1:22">
      <c r="A216" s="2"/>
      <c r="B216" s="2"/>
      <c r="C216" s="2"/>
      <c r="D216" s="2"/>
      <c r="E216" s="2"/>
      <c r="F216" s="2"/>
    </row>
    <row r="217" spans="1:22">
      <c r="A217" s="2"/>
      <c r="B217" s="2"/>
      <c r="C217" s="2"/>
      <c r="D217" s="2"/>
      <c r="E217" s="2"/>
      <c r="F217" s="2"/>
      <c r="U217" s="2"/>
    </row>
    <row r="218" spans="1:22">
      <c r="A218" s="2"/>
      <c r="B218" s="2"/>
      <c r="C218" s="2"/>
      <c r="D218" s="2"/>
      <c r="E218" s="2"/>
      <c r="F218" s="2"/>
      <c r="L218" s="2902" t="s">
        <v>438</v>
      </c>
      <c r="M218" s="2902"/>
      <c r="N218" s="2902"/>
      <c r="O218" s="2902"/>
      <c r="P218" s="2902"/>
      <c r="Q218" s="2902"/>
      <c r="U218" s="2"/>
      <c r="V218" s="2"/>
    </row>
    <row r="219" spans="1:22" ht="21" customHeight="1">
      <c r="A219" s="2"/>
      <c r="B219" s="2"/>
      <c r="C219" s="2"/>
      <c r="D219" s="2"/>
      <c r="E219" s="2"/>
      <c r="F219" s="2"/>
      <c r="M219" s="2374" t="s">
        <v>439</v>
      </c>
      <c r="N219" s="2903" t="s">
        <v>5</v>
      </c>
      <c r="O219" s="2904"/>
      <c r="P219" s="2904"/>
      <c r="Q219" s="2904"/>
      <c r="R219" s="2904"/>
      <c r="S219" s="2905"/>
      <c r="T219" s="2375" t="s">
        <v>440</v>
      </c>
      <c r="U219" s="2375" t="s">
        <v>441</v>
      </c>
      <c r="V219" s="1923"/>
    </row>
    <row r="220" spans="1:22" ht="29.25" customHeight="1">
      <c r="A220" s="2"/>
      <c r="B220" s="2"/>
      <c r="C220" s="2"/>
      <c r="D220" s="2"/>
      <c r="E220" s="2"/>
      <c r="F220" s="2"/>
      <c r="M220" s="2376" t="s">
        <v>79</v>
      </c>
      <c r="N220" s="2893"/>
      <c r="O220" s="2894"/>
      <c r="P220" s="2894"/>
      <c r="Q220" s="2894"/>
      <c r="R220" s="2894"/>
      <c r="S220" s="2899"/>
      <c r="T220" s="2377"/>
      <c r="U220" s="2377"/>
      <c r="V220" s="1924"/>
    </row>
    <row r="221" spans="1:22" ht="29.25" customHeight="1">
      <c r="A221" s="2"/>
      <c r="B221" s="2"/>
      <c r="C221" s="2"/>
      <c r="D221" s="2"/>
      <c r="E221" s="2"/>
      <c r="F221" s="2"/>
      <c r="M221" s="2376" t="s">
        <v>80</v>
      </c>
      <c r="N221" s="2893"/>
      <c r="O221" s="2894"/>
      <c r="P221" s="2894"/>
      <c r="Q221" s="2894"/>
      <c r="R221" s="2894"/>
      <c r="S221" s="2899"/>
      <c r="T221" s="2377"/>
      <c r="U221" s="2377"/>
      <c r="V221" s="1924"/>
    </row>
    <row r="222" spans="1:22" ht="45.75" customHeight="1">
      <c r="A222" s="2"/>
      <c r="B222" s="2"/>
      <c r="C222" s="2"/>
      <c r="D222" s="2"/>
      <c r="E222" s="2"/>
      <c r="F222" s="2"/>
      <c r="M222" s="2376" t="s">
        <v>81</v>
      </c>
      <c r="N222" s="2893"/>
      <c r="O222" s="2894"/>
      <c r="P222" s="2894"/>
      <c r="Q222" s="2894"/>
      <c r="R222" s="2894"/>
      <c r="S222" s="2899"/>
      <c r="T222" s="2377"/>
      <c r="U222" s="2377"/>
      <c r="V222" s="1924"/>
    </row>
    <row r="223" spans="1:22" ht="31.5" customHeight="1">
      <c r="A223" s="2"/>
      <c r="B223" s="2"/>
      <c r="C223" s="2"/>
      <c r="D223" s="2"/>
      <c r="E223" s="2"/>
      <c r="F223" s="2"/>
      <c r="M223" s="2376" t="s">
        <v>82</v>
      </c>
      <c r="N223" s="2893"/>
      <c r="O223" s="2894"/>
      <c r="P223" s="2894"/>
      <c r="Q223" s="2894"/>
      <c r="R223" s="2894"/>
      <c r="S223" s="2899"/>
      <c r="T223" s="2377"/>
      <c r="U223" s="2377"/>
      <c r="V223" s="1924"/>
    </row>
    <row r="224" spans="1:22" ht="29.25" customHeight="1">
      <c r="A224" s="2"/>
      <c r="B224" s="2"/>
      <c r="C224" s="2"/>
      <c r="D224" s="2"/>
      <c r="E224" s="2"/>
      <c r="F224" s="2"/>
      <c r="M224" s="2376" t="s">
        <v>83</v>
      </c>
      <c r="N224" s="2893"/>
      <c r="O224" s="2894"/>
      <c r="P224" s="2894"/>
      <c r="Q224" s="2894"/>
      <c r="R224" s="2894"/>
      <c r="S224" s="2899"/>
      <c r="T224" s="2377"/>
      <c r="U224" s="2377"/>
      <c r="V224" s="2285"/>
    </row>
    <row r="225" spans="1:22" ht="48" customHeight="1">
      <c r="A225" s="2"/>
      <c r="B225" s="2"/>
      <c r="C225" s="2"/>
      <c r="D225" s="2"/>
      <c r="E225" s="2"/>
      <c r="F225" s="2"/>
      <c r="M225" s="2376" t="s">
        <v>138</v>
      </c>
      <c r="N225" s="2893"/>
      <c r="O225" s="2894"/>
      <c r="P225" s="2894"/>
      <c r="Q225" s="2894"/>
      <c r="R225" s="2894"/>
      <c r="S225" s="2899"/>
      <c r="T225" s="2377"/>
      <c r="U225" s="2377"/>
      <c r="V225" s="2285"/>
    </row>
    <row r="226" spans="1:22" ht="45.75" customHeight="1">
      <c r="A226" s="2"/>
      <c r="B226" s="2"/>
      <c r="C226" s="2"/>
      <c r="D226" s="2"/>
      <c r="E226" s="2"/>
      <c r="F226" s="2"/>
      <c r="M226" s="2376" t="s">
        <v>105</v>
      </c>
      <c r="N226" s="2893"/>
      <c r="O226" s="2894"/>
      <c r="P226" s="2894"/>
      <c r="Q226" s="2894"/>
      <c r="R226" s="2894"/>
      <c r="S226" s="2899"/>
      <c r="T226" s="2378"/>
      <c r="U226" s="2378"/>
      <c r="V226" s="2284"/>
    </row>
    <row r="227" spans="1:22" ht="48" customHeight="1">
      <c r="A227" s="2"/>
      <c r="B227" s="2"/>
      <c r="C227" s="2"/>
      <c r="D227" s="2"/>
      <c r="E227" s="2"/>
      <c r="F227" s="2"/>
      <c r="M227" s="2376" t="s">
        <v>106</v>
      </c>
      <c r="N227" s="2893"/>
      <c r="O227" s="2894"/>
      <c r="P227" s="2894"/>
      <c r="Q227" s="2894"/>
      <c r="R227" s="2894"/>
      <c r="S227" s="2899"/>
      <c r="T227" s="2378"/>
      <c r="U227" s="2378"/>
      <c r="V227" s="2284"/>
    </row>
    <row r="228" spans="1:22" ht="48.75" customHeight="1">
      <c r="A228" s="2"/>
      <c r="B228" s="2"/>
      <c r="C228" s="2"/>
      <c r="D228" s="2"/>
      <c r="E228" s="2"/>
      <c r="F228" s="2"/>
      <c r="M228" s="2376" t="s">
        <v>107</v>
      </c>
      <c r="N228" s="2893"/>
      <c r="O228" s="2894"/>
      <c r="P228" s="2894"/>
      <c r="Q228" s="2894"/>
      <c r="R228" s="2894"/>
      <c r="S228" s="2899"/>
      <c r="T228" s="2378"/>
      <c r="U228" s="2378"/>
      <c r="V228" s="2284"/>
    </row>
    <row r="229" spans="1:22" ht="34.5" customHeight="1">
      <c r="A229" s="2"/>
      <c r="B229" s="2"/>
      <c r="C229" s="2"/>
      <c r="D229" s="2"/>
      <c r="E229" s="2"/>
      <c r="F229" s="2"/>
      <c r="M229" s="2376" t="s">
        <v>108</v>
      </c>
      <c r="N229" s="2893"/>
      <c r="O229" s="2894"/>
      <c r="P229" s="2894"/>
      <c r="Q229" s="2894"/>
      <c r="R229" s="2894"/>
      <c r="S229" s="2899"/>
      <c r="T229" s="2378"/>
      <c r="U229" s="2378"/>
      <c r="V229" s="2284"/>
    </row>
    <row r="230" spans="1:22" ht="31.5" customHeight="1">
      <c r="A230" s="2"/>
      <c r="B230" s="2"/>
      <c r="C230" s="2"/>
      <c r="D230" s="2"/>
      <c r="E230" s="2"/>
      <c r="F230" s="2"/>
      <c r="M230" s="2376" t="s">
        <v>109</v>
      </c>
      <c r="N230" s="2893"/>
      <c r="O230" s="2894"/>
      <c r="P230" s="2894"/>
      <c r="Q230" s="2894"/>
      <c r="R230" s="2894"/>
      <c r="S230" s="2899"/>
      <c r="T230" s="2378"/>
      <c r="U230" s="2378"/>
      <c r="V230" s="2284"/>
    </row>
    <row r="231" spans="1:22" ht="31.5" customHeight="1">
      <c r="A231" s="2"/>
      <c r="B231" s="2"/>
      <c r="C231" s="2"/>
      <c r="D231" s="2"/>
      <c r="E231" s="2"/>
      <c r="F231" s="2"/>
      <c r="M231" s="2376" t="s">
        <v>110</v>
      </c>
      <c r="N231" s="2893"/>
      <c r="O231" s="2894"/>
      <c r="P231" s="2894"/>
      <c r="Q231" s="2894"/>
      <c r="R231" s="2894"/>
      <c r="S231" s="2899"/>
      <c r="T231" s="2378"/>
      <c r="U231" s="2378"/>
      <c r="V231" s="2284"/>
    </row>
    <row r="232" spans="1:22" ht="20.25" customHeight="1">
      <c r="A232" s="2"/>
      <c r="B232" s="2"/>
      <c r="C232" s="2"/>
      <c r="D232" s="2"/>
      <c r="E232" s="2"/>
      <c r="F232" s="2"/>
      <c r="M232" s="2379" t="s">
        <v>111</v>
      </c>
      <c r="N232" s="2893"/>
      <c r="O232" s="2894"/>
      <c r="P232" s="2894"/>
      <c r="Q232" s="2894"/>
      <c r="R232" s="2894"/>
      <c r="S232" s="2899"/>
      <c r="T232" s="2378"/>
      <c r="U232" s="2378"/>
      <c r="V232" s="2284"/>
    </row>
    <row r="233" spans="1:22" ht="31.5" customHeight="1">
      <c r="A233" s="2"/>
      <c r="B233" s="2"/>
      <c r="C233" s="2"/>
      <c r="D233" s="2"/>
      <c r="E233" s="2"/>
      <c r="F233" s="2"/>
      <c r="M233" s="2379" t="s">
        <v>112</v>
      </c>
      <c r="N233" s="2893"/>
      <c r="O233" s="2894"/>
      <c r="P233" s="2894"/>
      <c r="Q233" s="2894"/>
      <c r="R233" s="2894"/>
      <c r="S233" s="2899"/>
      <c r="T233" s="2378"/>
      <c r="U233" s="2378"/>
      <c r="V233" s="2284"/>
    </row>
    <row r="234" spans="1:22" ht="45" customHeight="1">
      <c r="A234" s="2"/>
      <c r="B234" s="2"/>
      <c r="C234" s="2"/>
      <c r="D234" s="2"/>
      <c r="E234" s="2"/>
      <c r="F234" s="2"/>
      <c r="M234" s="2379" t="s">
        <v>114</v>
      </c>
      <c r="N234" s="2893"/>
      <c r="O234" s="2894"/>
      <c r="P234" s="2894"/>
      <c r="Q234" s="2894"/>
      <c r="R234" s="2894"/>
      <c r="S234" s="2899"/>
      <c r="T234" s="2378"/>
      <c r="U234" s="2378"/>
      <c r="V234" s="2284"/>
    </row>
    <row r="235" spans="1:22" ht="48.75" customHeight="1">
      <c r="A235" s="2"/>
      <c r="B235" s="2"/>
      <c r="C235" s="2"/>
      <c r="D235" s="2"/>
      <c r="E235" s="2"/>
      <c r="F235" s="2"/>
      <c r="M235" s="2379" t="s">
        <v>115</v>
      </c>
      <c r="N235" s="2893"/>
      <c r="O235" s="2894"/>
      <c r="P235" s="2894"/>
      <c r="Q235" s="2894"/>
      <c r="R235" s="2894"/>
      <c r="S235" s="2899"/>
      <c r="T235" s="2378"/>
      <c r="U235" s="2378"/>
      <c r="V235" s="2284"/>
    </row>
    <row r="236" spans="1:22" ht="31.5" customHeight="1">
      <c r="A236" s="2"/>
      <c r="B236" s="2"/>
      <c r="C236" s="2"/>
      <c r="D236" s="2"/>
      <c r="E236" s="2"/>
      <c r="F236" s="2"/>
      <c r="M236" s="2379" t="s">
        <v>116</v>
      </c>
      <c r="N236" s="2893"/>
      <c r="O236" s="2894"/>
      <c r="P236" s="2894"/>
      <c r="Q236" s="2894"/>
      <c r="R236" s="2894"/>
      <c r="S236" s="2895"/>
      <c r="T236" s="2378"/>
      <c r="U236" s="2378"/>
      <c r="V236" s="2284"/>
    </row>
    <row r="237" spans="1:22" ht="19.5" customHeight="1">
      <c r="A237" s="2"/>
      <c r="B237" s="2"/>
      <c r="C237" s="2"/>
      <c r="D237" s="2"/>
      <c r="E237" s="2"/>
      <c r="F237" s="2"/>
      <c r="M237" s="2379" t="s">
        <v>119</v>
      </c>
      <c r="N237" s="2893"/>
      <c r="O237" s="2894"/>
      <c r="P237" s="2894"/>
      <c r="Q237" s="2894"/>
      <c r="R237" s="2894"/>
      <c r="S237" s="2895"/>
      <c r="T237" s="2378"/>
      <c r="U237" s="2378"/>
      <c r="V237" s="2284"/>
    </row>
    <row r="238" spans="1:22" ht="31.5" customHeight="1">
      <c r="A238" s="2"/>
      <c r="B238" s="2"/>
      <c r="C238" s="2"/>
      <c r="D238" s="2"/>
      <c r="E238" s="2"/>
      <c r="F238" s="2"/>
      <c r="M238" s="2379" t="s">
        <v>442</v>
      </c>
      <c r="N238" s="2893"/>
      <c r="O238" s="2894"/>
      <c r="P238" s="2894"/>
      <c r="Q238" s="2894"/>
      <c r="R238" s="2894"/>
      <c r="S238" s="2895"/>
      <c r="T238" s="2378"/>
      <c r="U238" s="2378"/>
      <c r="V238" s="2284"/>
    </row>
    <row r="239" spans="1:22" ht="18.75" customHeight="1">
      <c r="A239" s="2"/>
      <c r="B239" s="2"/>
      <c r="C239" s="2"/>
      <c r="D239" s="2"/>
      <c r="E239" s="2"/>
      <c r="F239" s="2"/>
      <c r="M239" s="2379" t="s">
        <v>124</v>
      </c>
      <c r="N239" s="2893"/>
      <c r="O239" s="2894"/>
      <c r="P239" s="2894"/>
      <c r="Q239" s="2894"/>
      <c r="R239" s="2894"/>
      <c r="S239" s="2895"/>
      <c r="T239" s="2378"/>
      <c r="U239" s="2378"/>
      <c r="V239" s="2284"/>
    </row>
    <row r="240" spans="1:22" ht="31.5" customHeight="1">
      <c r="A240" s="2"/>
      <c r="B240" s="2"/>
      <c r="C240" s="2"/>
      <c r="D240" s="2"/>
      <c r="E240" s="2"/>
      <c r="F240" s="2"/>
      <c r="M240" s="2379" t="s">
        <v>443</v>
      </c>
      <c r="N240" s="2893"/>
      <c r="O240" s="2894"/>
      <c r="P240" s="2894"/>
      <c r="Q240" s="2894"/>
      <c r="R240" s="2894"/>
      <c r="S240" s="2895"/>
      <c r="T240" s="2378"/>
      <c r="U240" s="2378"/>
      <c r="V240" s="2284"/>
    </row>
    <row r="241" spans="1:22" ht="31.5" customHeight="1">
      <c r="A241" s="2"/>
      <c r="B241" s="2"/>
      <c r="C241" s="2"/>
      <c r="D241" s="2"/>
      <c r="E241" s="2"/>
      <c r="F241" s="2"/>
      <c r="M241" s="2379" t="s">
        <v>313</v>
      </c>
      <c r="N241" s="2893"/>
      <c r="O241" s="2894"/>
      <c r="P241" s="2894"/>
      <c r="Q241" s="2894"/>
      <c r="R241" s="2894"/>
      <c r="S241" s="2895"/>
      <c r="T241" s="2378"/>
      <c r="U241" s="2378"/>
      <c r="V241" s="2284"/>
    </row>
    <row r="242" spans="1:22" ht="18.75" customHeight="1">
      <c r="A242" s="2"/>
      <c r="B242" s="2"/>
      <c r="C242" s="2"/>
      <c r="D242" s="2"/>
      <c r="E242" s="2"/>
      <c r="F242" s="2"/>
      <c r="M242" s="2379" t="s">
        <v>314</v>
      </c>
      <c r="N242" s="2893"/>
      <c r="O242" s="2894"/>
      <c r="P242" s="2894"/>
      <c r="Q242" s="2894"/>
      <c r="R242" s="2894"/>
      <c r="S242" s="2895"/>
      <c r="T242" s="2378"/>
      <c r="U242" s="2378"/>
      <c r="V242" s="2284"/>
    </row>
    <row r="243" spans="1:22" ht="18.75" customHeight="1">
      <c r="A243" s="2"/>
      <c r="B243" s="2"/>
      <c r="C243" s="2"/>
      <c r="D243" s="2"/>
      <c r="E243" s="2"/>
      <c r="F243" s="2"/>
      <c r="M243" s="2379" t="s">
        <v>431</v>
      </c>
      <c r="N243" s="2893"/>
      <c r="O243" s="2894"/>
      <c r="P243" s="2894"/>
      <c r="Q243" s="2894"/>
      <c r="R243" s="2894"/>
      <c r="S243" s="2895"/>
      <c r="T243" s="2378"/>
      <c r="U243" s="2378"/>
      <c r="V243" s="2284"/>
    </row>
    <row r="244" spans="1:22" ht="31.5" customHeight="1">
      <c r="A244" s="2"/>
      <c r="B244" s="2"/>
      <c r="C244" s="2"/>
      <c r="D244" s="2"/>
      <c r="E244" s="2"/>
      <c r="F244" s="2"/>
      <c r="M244" s="2379" t="s">
        <v>472</v>
      </c>
      <c r="N244" s="2893"/>
      <c r="O244" s="2894"/>
      <c r="P244" s="2894"/>
      <c r="Q244" s="2894"/>
      <c r="R244" s="2894"/>
      <c r="S244" s="2895"/>
      <c r="T244" s="2378"/>
      <c r="U244" s="2378"/>
      <c r="V244" s="2284"/>
    </row>
    <row r="245" spans="1:22" ht="56.25" customHeight="1">
      <c r="A245" s="2"/>
      <c r="B245" s="2"/>
      <c r="C245" s="2"/>
      <c r="D245" s="2"/>
      <c r="E245" s="2"/>
      <c r="F245" s="2"/>
      <c r="M245" s="2379" t="s">
        <v>473</v>
      </c>
      <c r="N245" s="2893"/>
      <c r="O245" s="2894"/>
      <c r="P245" s="2894"/>
      <c r="Q245" s="2894"/>
      <c r="R245" s="2894"/>
      <c r="S245" s="2895"/>
      <c r="T245" s="2378"/>
      <c r="U245" s="2378"/>
      <c r="V245" s="2284"/>
    </row>
    <row r="246" spans="1:22" ht="31.5" customHeight="1">
      <c r="A246" s="2"/>
      <c r="B246" s="2"/>
      <c r="C246" s="2"/>
      <c r="D246" s="2"/>
      <c r="E246" s="2"/>
      <c r="F246" s="2"/>
      <c r="M246" s="2379" t="s">
        <v>474</v>
      </c>
      <c r="N246" s="2893"/>
      <c r="O246" s="2894"/>
      <c r="P246" s="2894"/>
      <c r="Q246" s="2894"/>
      <c r="R246" s="2894"/>
      <c r="S246" s="2895"/>
      <c r="T246" s="2378"/>
      <c r="U246" s="2378"/>
      <c r="V246" s="2284"/>
    </row>
    <row r="247" spans="1:22" ht="45.75" customHeight="1">
      <c r="A247" s="2"/>
      <c r="B247" s="2"/>
      <c r="C247" s="2"/>
      <c r="D247" s="2"/>
      <c r="E247" s="2"/>
      <c r="F247" s="2"/>
      <c r="M247" s="2379" t="s">
        <v>476</v>
      </c>
      <c r="N247" s="2893"/>
      <c r="O247" s="2894"/>
      <c r="P247" s="2894"/>
      <c r="Q247" s="2894"/>
      <c r="R247" s="2894"/>
      <c r="S247" s="2895"/>
      <c r="T247" s="2378"/>
      <c r="U247" s="2378"/>
      <c r="V247" s="2284"/>
    </row>
    <row r="248" spans="1:22" ht="31.5" customHeight="1">
      <c r="A248" s="2"/>
      <c r="B248" s="2"/>
      <c r="C248" s="2"/>
      <c r="D248" s="2"/>
      <c r="E248" s="2"/>
      <c r="F248" s="2"/>
      <c r="M248" s="2379" t="s">
        <v>483</v>
      </c>
      <c r="N248" s="2893"/>
      <c r="O248" s="2894"/>
      <c r="P248" s="2894"/>
      <c r="Q248" s="2894"/>
      <c r="R248" s="2894"/>
      <c r="S248" s="2895"/>
      <c r="T248" s="2378"/>
      <c r="U248" s="2378"/>
      <c r="V248" s="2284"/>
    </row>
    <row r="249" spans="1:22" ht="31.5" customHeight="1">
      <c r="A249" s="2"/>
      <c r="B249" s="2"/>
      <c r="C249" s="2"/>
      <c r="D249" s="2"/>
      <c r="E249" s="2"/>
      <c r="F249" s="2"/>
      <c r="M249" s="2379" t="s">
        <v>484</v>
      </c>
      <c r="N249" s="2893"/>
      <c r="O249" s="2894"/>
      <c r="P249" s="2894"/>
      <c r="Q249" s="2894"/>
      <c r="R249" s="2894"/>
      <c r="S249" s="2895"/>
      <c r="T249" s="2378"/>
      <c r="U249" s="2378"/>
      <c r="V249" s="2284"/>
    </row>
    <row r="250" spans="1:22" ht="17.25" customHeight="1">
      <c r="A250" s="2"/>
      <c r="B250" s="2"/>
      <c r="C250" s="2"/>
      <c r="D250" s="2"/>
      <c r="E250" s="2"/>
      <c r="F250" s="2"/>
      <c r="M250" s="2379" t="s">
        <v>486</v>
      </c>
      <c r="N250" s="2893"/>
      <c r="O250" s="2894"/>
      <c r="P250" s="2894"/>
      <c r="Q250" s="2894"/>
      <c r="R250" s="2894"/>
      <c r="S250" s="2895"/>
      <c r="T250" s="2378"/>
      <c r="U250" s="2378"/>
      <c r="V250" s="2284"/>
    </row>
    <row r="251" spans="1:22" ht="38.25" customHeight="1">
      <c r="A251" s="2"/>
      <c r="B251" s="2"/>
      <c r="C251" s="2"/>
      <c r="D251" s="2"/>
      <c r="E251" s="2"/>
      <c r="F251" s="2"/>
      <c r="M251" s="2379" t="s">
        <v>487</v>
      </c>
      <c r="N251" s="2893"/>
      <c r="O251" s="2894"/>
      <c r="P251" s="2894"/>
      <c r="Q251" s="2894"/>
      <c r="R251" s="2894"/>
      <c r="S251" s="2895"/>
      <c r="T251" s="2378"/>
      <c r="U251" s="2378"/>
      <c r="V251" s="2284"/>
    </row>
    <row r="252" spans="1:22" ht="44.25" customHeight="1">
      <c r="A252" s="2"/>
      <c r="B252" s="2"/>
      <c r="C252" s="2"/>
      <c r="D252" s="2"/>
      <c r="E252" s="2"/>
      <c r="F252" s="2"/>
      <c r="M252" s="2379" t="s">
        <v>488</v>
      </c>
      <c r="N252" s="2893"/>
      <c r="O252" s="2894"/>
      <c r="P252" s="2894"/>
      <c r="Q252" s="2894"/>
      <c r="R252" s="2894"/>
      <c r="S252" s="2895"/>
      <c r="T252" s="2378"/>
      <c r="U252" s="2378"/>
      <c r="V252" s="2284"/>
    </row>
    <row r="253" spans="1:22" ht="21" customHeight="1">
      <c r="A253" s="2"/>
      <c r="B253" s="2"/>
      <c r="C253" s="2"/>
      <c r="D253" s="2"/>
      <c r="E253" s="2"/>
      <c r="F253" s="2"/>
      <c r="M253" s="2380" t="s">
        <v>84</v>
      </c>
      <c r="N253" s="2896" t="s">
        <v>492</v>
      </c>
      <c r="O253" s="2897"/>
      <c r="P253" s="2897"/>
      <c r="Q253" s="2897"/>
      <c r="R253" s="2897"/>
      <c r="S253" s="2898"/>
      <c r="T253" s="1925">
        <f>SUM(T220:T252)</f>
        <v>0</v>
      </c>
      <c r="U253" s="1925">
        <f>SUM(U220:U252)</f>
        <v>0</v>
      </c>
      <c r="V253" s="1926"/>
    </row>
    <row r="254" spans="1:22">
      <c r="A254" s="2"/>
      <c r="B254" s="2"/>
      <c r="C254" s="2"/>
      <c r="D254" s="2"/>
      <c r="E254" s="2"/>
      <c r="F254" s="2"/>
      <c r="U254" s="2"/>
    </row>
    <row r="255" spans="1:22">
      <c r="A255" s="2"/>
      <c r="B255" s="2"/>
      <c r="C255" s="2"/>
      <c r="D255" s="2"/>
      <c r="E255" s="2"/>
      <c r="F255" s="2"/>
      <c r="U255" s="2"/>
    </row>
    <row r="256" spans="1:22">
      <c r="A256" s="2"/>
      <c r="B256" s="2"/>
      <c r="C256" s="2"/>
      <c r="D256" s="2"/>
      <c r="E256" s="2"/>
      <c r="F256" s="2"/>
      <c r="U256" s="2"/>
    </row>
    <row r="257" spans="1:21">
      <c r="A257" s="2"/>
      <c r="B257" s="2"/>
      <c r="C257" s="2"/>
      <c r="D257" s="2"/>
      <c r="E257" s="2"/>
      <c r="F257" s="2"/>
      <c r="U257" s="2"/>
    </row>
    <row r="258" spans="1:21">
      <c r="A258" s="2"/>
      <c r="B258" s="2"/>
      <c r="C258" s="2"/>
      <c r="D258" s="2"/>
      <c r="E258" s="2"/>
      <c r="F258" s="2"/>
      <c r="U258" s="2"/>
    </row>
    <row r="259" spans="1:21">
      <c r="A259" s="2"/>
      <c r="B259" s="2"/>
      <c r="C259" s="2"/>
      <c r="D259" s="2"/>
      <c r="E259" s="2"/>
      <c r="F259" s="2"/>
      <c r="U259" s="2"/>
    </row>
    <row r="260" spans="1:21">
      <c r="A260" s="2"/>
      <c r="B260" s="2"/>
      <c r="C260" s="2"/>
      <c r="D260" s="2"/>
      <c r="E260" s="2"/>
      <c r="F260" s="2"/>
      <c r="U260" s="2"/>
    </row>
    <row r="261" spans="1:21">
      <c r="A261" s="2"/>
      <c r="B261" s="2"/>
      <c r="C261" s="2"/>
      <c r="D261" s="2"/>
      <c r="E261" s="2"/>
      <c r="F261" s="2"/>
      <c r="U261" s="2"/>
    </row>
    <row r="262" spans="1:21">
      <c r="A262" s="2"/>
      <c r="B262" s="2"/>
      <c r="C262" s="2"/>
      <c r="D262" s="2"/>
      <c r="E262" s="2"/>
      <c r="F262" s="2"/>
      <c r="U262" s="2"/>
    </row>
    <row r="263" spans="1:21">
      <c r="A263" s="2"/>
      <c r="B263" s="2"/>
      <c r="C263" s="2"/>
      <c r="D263" s="2"/>
      <c r="E263" s="2"/>
      <c r="F263" s="2"/>
      <c r="U263" s="2"/>
    </row>
    <row r="264" spans="1:21">
      <c r="A264" s="2"/>
      <c r="B264" s="2"/>
      <c r="C264" s="2"/>
      <c r="D264" s="2"/>
      <c r="E264" s="2"/>
      <c r="F264" s="2"/>
      <c r="U264" s="2"/>
    </row>
    <row r="265" spans="1:21">
      <c r="A265" s="2"/>
      <c r="B265" s="2"/>
      <c r="C265" s="2"/>
      <c r="D265" s="2"/>
      <c r="E265" s="2"/>
      <c r="F265" s="2"/>
      <c r="U265" s="2"/>
    </row>
    <row r="266" spans="1:21">
      <c r="A266" s="2"/>
      <c r="B266" s="2"/>
      <c r="C266" s="2"/>
      <c r="D266" s="2"/>
      <c r="E266" s="2"/>
      <c r="F266" s="2"/>
      <c r="U266" s="2"/>
    </row>
    <row r="267" spans="1:21">
      <c r="A267" s="2"/>
      <c r="B267" s="2"/>
      <c r="C267" s="2"/>
      <c r="D267" s="2"/>
      <c r="E267" s="2"/>
      <c r="F267" s="2"/>
      <c r="U267" s="2"/>
    </row>
    <row r="268" spans="1:21">
      <c r="A268" s="2"/>
      <c r="B268" s="2"/>
      <c r="C268" s="2"/>
      <c r="D268" s="2"/>
      <c r="E268" s="2"/>
      <c r="F268" s="2"/>
      <c r="U268" s="2"/>
    </row>
    <row r="269" spans="1:21">
      <c r="A269" s="2"/>
      <c r="B269" s="2"/>
      <c r="C269" s="2"/>
      <c r="D269" s="2"/>
      <c r="E269" s="2"/>
      <c r="F269" s="2"/>
      <c r="U269" s="2"/>
    </row>
    <row r="270" spans="1:21">
      <c r="A270" s="2"/>
      <c r="B270" s="2"/>
      <c r="C270" s="2"/>
      <c r="D270" s="2"/>
      <c r="E270" s="2"/>
      <c r="F270" s="2"/>
      <c r="U270" s="2"/>
    </row>
    <row r="271" spans="1:21">
      <c r="A271" s="2"/>
      <c r="B271" s="2"/>
      <c r="C271" s="2"/>
      <c r="D271" s="2"/>
      <c r="E271" s="2"/>
      <c r="F271" s="2"/>
      <c r="U271" s="2"/>
    </row>
    <row r="272" spans="1:21">
      <c r="A272" s="2"/>
      <c r="B272" s="2"/>
      <c r="C272" s="2"/>
      <c r="D272" s="2"/>
      <c r="E272" s="2"/>
      <c r="F272" s="2"/>
      <c r="U272" s="2"/>
    </row>
    <row r="273" spans="1:21">
      <c r="A273" s="2"/>
      <c r="B273" s="2"/>
      <c r="C273" s="2"/>
      <c r="D273" s="2"/>
      <c r="E273" s="2"/>
      <c r="F273" s="2"/>
      <c r="U273" s="2"/>
    </row>
    <row r="274" spans="1:21">
      <c r="A274" s="2"/>
      <c r="B274" s="2"/>
      <c r="C274" s="2"/>
      <c r="D274" s="2"/>
      <c r="E274" s="2"/>
      <c r="F274" s="2"/>
      <c r="U274" s="2"/>
    </row>
    <row r="275" spans="1:21">
      <c r="A275" s="2"/>
      <c r="B275" s="2"/>
      <c r="C275" s="2"/>
      <c r="D275" s="2"/>
      <c r="E275" s="2"/>
      <c r="F275" s="2"/>
      <c r="U275" s="2"/>
    </row>
    <row r="276" spans="1:21">
      <c r="A276" s="2"/>
      <c r="B276" s="2"/>
      <c r="C276" s="2"/>
      <c r="D276" s="2"/>
      <c r="E276" s="2"/>
      <c r="F276" s="2"/>
      <c r="U276" s="2"/>
    </row>
    <row r="277" spans="1:21">
      <c r="A277" s="2"/>
      <c r="B277" s="2"/>
      <c r="C277" s="2"/>
      <c r="D277" s="2"/>
      <c r="E277" s="2"/>
      <c r="F277" s="2"/>
      <c r="U277" s="2"/>
    </row>
    <row r="278" spans="1:21">
      <c r="A278" s="2"/>
      <c r="B278" s="2"/>
      <c r="C278" s="2"/>
      <c r="D278" s="2"/>
      <c r="E278" s="2"/>
      <c r="F278" s="2"/>
      <c r="U278" s="2"/>
    </row>
    <row r="279" spans="1:21">
      <c r="A279" s="2"/>
      <c r="B279" s="2"/>
      <c r="C279" s="2"/>
      <c r="D279" s="2"/>
      <c r="E279" s="2"/>
      <c r="F279" s="2"/>
      <c r="U279" s="2"/>
    </row>
    <row r="280" spans="1:21">
      <c r="A280" s="2"/>
      <c r="B280" s="2"/>
      <c r="C280" s="2"/>
      <c r="D280" s="2"/>
      <c r="E280" s="2"/>
      <c r="F280" s="2"/>
      <c r="U280" s="2"/>
    </row>
    <row r="281" spans="1:21">
      <c r="A281" s="2"/>
      <c r="B281" s="2"/>
      <c r="C281" s="2"/>
      <c r="D281" s="2"/>
      <c r="E281" s="2"/>
      <c r="F281" s="2"/>
      <c r="U281" s="2"/>
    </row>
    <row r="282" spans="1:21">
      <c r="A282" s="2"/>
      <c r="B282" s="2"/>
      <c r="C282" s="2"/>
      <c r="D282" s="2"/>
      <c r="E282" s="2"/>
      <c r="F282" s="2"/>
      <c r="U282" s="2"/>
    </row>
    <row r="283" spans="1:21">
      <c r="A283" s="2"/>
      <c r="B283" s="2"/>
      <c r="C283" s="2"/>
      <c r="D283" s="2"/>
      <c r="E283" s="2"/>
      <c r="F283" s="2"/>
      <c r="U283" s="2"/>
    </row>
    <row r="284" spans="1:21">
      <c r="A284" s="2"/>
      <c r="B284" s="2"/>
      <c r="C284" s="2"/>
      <c r="D284" s="2"/>
      <c r="E284" s="2"/>
      <c r="F284" s="2"/>
      <c r="U284" s="2"/>
    </row>
    <row r="285" spans="1:21">
      <c r="A285" s="2"/>
      <c r="B285" s="2"/>
      <c r="C285" s="2"/>
      <c r="D285" s="2"/>
      <c r="E285" s="2"/>
      <c r="F285" s="2"/>
      <c r="U285" s="2"/>
    </row>
    <row r="286" spans="1:21">
      <c r="A286" s="2"/>
      <c r="B286" s="2"/>
      <c r="C286" s="2"/>
      <c r="D286" s="2"/>
      <c r="E286" s="2"/>
      <c r="F286" s="2"/>
      <c r="U286" s="2"/>
    </row>
    <row r="287" spans="1:21">
      <c r="A287" s="2"/>
      <c r="B287" s="2"/>
      <c r="C287" s="2"/>
      <c r="D287" s="2"/>
      <c r="E287" s="2"/>
      <c r="F287" s="2"/>
      <c r="U287" s="2"/>
    </row>
    <row r="288" spans="1:21">
      <c r="A288" s="2"/>
      <c r="B288" s="2"/>
      <c r="C288" s="2"/>
      <c r="D288" s="2"/>
      <c r="E288" s="2"/>
      <c r="F288" s="2"/>
      <c r="U288" s="2"/>
    </row>
    <row r="289" spans="1:21">
      <c r="A289" s="2"/>
      <c r="B289" s="2"/>
      <c r="C289" s="2"/>
      <c r="D289" s="2"/>
      <c r="E289" s="2"/>
      <c r="F289" s="2"/>
      <c r="U289" s="2"/>
    </row>
    <row r="290" spans="1:21">
      <c r="A290" s="2"/>
      <c r="B290" s="2"/>
      <c r="C290" s="2"/>
      <c r="D290" s="2"/>
      <c r="E290" s="2"/>
      <c r="F290" s="2"/>
      <c r="U290" s="2"/>
    </row>
    <row r="291" spans="1:21">
      <c r="A291" s="2"/>
      <c r="B291" s="2"/>
      <c r="C291" s="2"/>
      <c r="D291" s="2"/>
      <c r="E291" s="2"/>
      <c r="F291" s="2"/>
      <c r="U291" s="2"/>
    </row>
    <row r="292" spans="1:21">
      <c r="A292" s="2"/>
      <c r="B292" s="2"/>
      <c r="C292" s="2"/>
      <c r="D292" s="2"/>
      <c r="E292" s="2"/>
      <c r="F292" s="2"/>
      <c r="U292" s="2"/>
    </row>
    <row r="293" spans="1:21">
      <c r="A293" s="2"/>
      <c r="B293" s="2"/>
      <c r="C293" s="2"/>
      <c r="D293" s="2"/>
      <c r="E293" s="2"/>
      <c r="F293" s="2"/>
      <c r="U293" s="2"/>
    </row>
    <row r="294" spans="1:21">
      <c r="A294" s="2"/>
      <c r="B294" s="2"/>
      <c r="C294" s="2"/>
      <c r="D294" s="2"/>
      <c r="E294" s="2"/>
      <c r="F294" s="2"/>
      <c r="U294" s="2"/>
    </row>
    <row r="295" spans="1:21">
      <c r="A295" s="2"/>
      <c r="B295" s="2"/>
      <c r="C295" s="2"/>
      <c r="D295" s="2"/>
      <c r="E295" s="2"/>
      <c r="F295" s="2"/>
      <c r="U295" s="2"/>
    </row>
    <row r="296" spans="1:21">
      <c r="A296" s="2"/>
      <c r="B296" s="2"/>
      <c r="C296" s="2"/>
      <c r="D296" s="2"/>
      <c r="E296" s="2"/>
      <c r="F296" s="2"/>
      <c r="U296" s="2"/>
    </row>
    <row r="297" spans="1:21">
      <c r="A297" s="2"/>
      <c r="B297" s="2"/>
      <c r="C297" s="2"/>
      <c r="D297" s="2"/>
      <c r="E297" s="2"/>
      <c r="F297" s="2"/>
      <c r="U297" s="2"/>
    </row>
    <row r="298" spans="1:21">
      <c r="A298" s="2"/>
      <c r="B298" s="2"/>
      <c r="C298" s="2"/>
      <c r="D298" s="2"/>
      <c r="E298" s="2"/>
      <c r="F298" s="2"/>
      <c r="U298" s="2"/>
    </row>
    <row r="299" spans="1:21">
      <c r="A299" s="2"/>
      <c r="B299" s="2"/>
      <c r="C299" s="2"/>
      <c r="D299" s="2"/>
      <c r="E299" s="2"/>
      <c r="F299" s="2"/>
      <c r="U299" s="2"/>
    </row>
    <row r="300" spans="1:21">
      <c r="A300" s="2"/>
      <c r="B300" s="2"/>
      <c r="C300" s="2"/>
      <c r="D300" s="2"/>
      <c r="E300" s="2"/>
      <c r="F300" s="2"/>
      <c r="U300" s="2"/>
    </row>
    <row r="301" spans="1:21">
      <c r="A301" s="2"/>
      <c r="B301" s="2"/>
      <c r="C301" s="2"/>
      <c r="D301" s="2"/>
      <c r="E301" s="2"/>
      <c r="F301" s="2"/>
      <c r="U301" s="2"/>
    </row>
    <row r="302" spans="1:21">
      <c r="A302" s="2"/>
      <c r="B302" s="2"/>
      <c r="C302" s="2"/>
      <c r="D302" s="2"/>
      <c r="E302" s="2"/>
      <c r="F302" s="2"/>
      <c r="U302" s="2"/>
    </row>
    <row r="303" spans="1:21">
      <c r="A303" s="2"/>
      <c r="B303" s="2"/>
      <c r="C303" s="2"/>
      <c r="D303" s="2"/>
      <c r="E303" s="2"/>
      <c r="F303" s="2"/>
      <c r="U303" s="2"/>
    </row>
    <row r="304" spans="1:21">
      <c r="A304" s="2"/>
      <c r="B304" s="2"/>
      <c r="C304" s="2"/>
      <c r="D304" s="2"/>
      <c r="E304" s="2"/>
      <c r="F304" s="2"/>
      <c r="U304" s="2"/>
    </row>
    <row r="305" spans="1:21">
      <c r="A305" s="2"/>
      <c r="B305" s="2"/>
      <c r="C305" s="2"/>
      <c r="D305" s="2"/>
      <c r="E305" s="2"/>
      <c r="F305" s="2"/>
      <c r="U305" s="2"/>
    </row>
    <row r="306" spans="1:21">
      <c r="A306" s="2"/>
      <c r="B306" s="2"/>
      <c r="C306" s="2"/>
      <c r="D306" s="2"/>
      <c r="E306" s="2"/>
      <c r="F306" s="2"/>
      <c r="U306" s="2"/>
    </row>
    <row r="307" spans="1:21">
      <c r="A307" s="2"/>
      <c r="B307" s="2"/>
      <c r="C307" s="2"/>
      <c r="D307" s="2"/>
      <c r="E307" s="2"/>
      <c r="F307" s="2"/>
      <c r="U307" s="2"/>
    </row>
    <row r="308" spans="1:21">
      <c r="A308" s="2"/>
      <c r="B308" s="2"/>
      <c r="C308" s="2"/>
      <c r="D308" s="2"/>
      <c r="E308" s="2"/>
      <c r="F308" s="2"/>
      <c r="U308" s="2"/>
    </row>
    <row r="309" spans="1:21">
      <c r="A309" s="2"/>
      <c r="B309" s="2"/>
      <c r="C309" s="2"/>
      <c r="D309" s="2"/>
      <c r="E309" s="2"/>
      <c r="F309" s="2"/>
      <c r="U309" s="2"/>
    </row>
    <row r="310" spans="1:21">
      <c r="A310" s="2"/>
      <c r="B310" s="2"/>
      <c r="C310" s="2"/>
      <c r="D310" s="2"/>
      <c r="E310" s="2"/>
      <c r="F310" s="2"/>
      <c r="U310" s="2"/>
    </row>
    <row r="311" spans="1:21">
      <c r="A311" s="2"/>
      <c r="B311" s="2"/>
      <c r="C311" s="2"/>
      <c r="D311" s="2"/>
      <c r="E311" s="2"/>
      <c r="F311" s="2"/>
      <c r="U311" s="2"/>
    </row>
    <row r="312" spans="1:21">
      <c r="A312" s="2"/>
      <c r="B312" s="2"/>
      <c r="C312" s="2"/>
      <c r="D312" s="2"/>
      <c r="E312" s="2"/>
      <c r="F312" s="2"/>
      <c r="U312" s="2"/>
    </row>
    <row r="313" spans="1:21">
      <c r="A313" s="2"/>
      <c r="B313" s="2"/>
      <c r="C313" s="2"/>
      <c r="D313" s="2"/>
      <c r="E313" s="2"/>
      <c r="F313" s="2"/>
      <c r="U313" s="2"/>
    </row>
    <row r="314" spans="1:21">
      <c r="A314" s="2"/>
      <c r="B314" s="2"/>
      <c r="C314" s="2"/>
      <c r="D314" s="2"/>
      <c r="E314" s="2"/>
      <c r="F314" s="2"/>
      <c r="U314" s="2"/>
    </row>
    <row r="315" spans="1:21">
      <c r="A315" s="2"/>
      <c r="B315" s="2"/>
      <c r="C315" s="2"/>
      <c r="D315" s="2"/>
      <c r="E315" s="2"/>
      <c r="F315" s="2"/>
      <c r="U315" s="2"/>
    </row>
    <row r="316" spans="1:21">
      <c r="A316" s="2"/>
      <c r="B316" s="2"/>
      <c r="C316" s="2"/>
      <c r="D316" s="2"/>
      <c r="E316" s="2"/>
      <c r="F316" s="2"/>
      <c r="U316" s="2"/>
    </row>
    <row r="317" spans="1:21">
      <c r="A317" s="2"/>
      <c r="B317" s="2"/>
      <c r="C317" s="2"/>
      <c r="D317" s="2"/>
      <c r="E317" s="2"/>
      <c r="F317" s="2"/>
      <c r="U317" s="2"/>
    </row>
    <row r="318" spans="1:21">
      <c r="A318" s="2"/>
      <c r="B318" s="2"/>
      <c r="C318" s="2"/>
      <c r="D318" s="2"/>
      <c r="E318" s="2"/>
      <c r="F318" s="2"/>
      <c r="U318" s="2"/>
    </row>
    <row r="319" spans="1:21">
      <c r="A319" s="2"/>
      <c r="B319" s="2"/>
      <c r="C319" s="2"/>
      <c r="D319" s="2"/>
      <c r="E319" s="2"/>
      <c r="F319" s="2"/>
      <c r="U319" s="2"/>
    </row>
    <row r="320" spans="1:21">
      <c r="A320" s="2"/>
      <c r="B320" s="2"/>
      <c r="C320" s="2"/>
      <c r="D320" s="2"/>
      <c r="E320" s="2"/>
      <c r="F320" s="2"/>
      <c r="U320" s="2"/>
    </row>
    <row r="321" spans="1:21">
      <c r="A321" s="2"/>
      <c r="B321" s="2"/>
      <c r="C321" s="2"/>
      <c r="D321" s="2"/>
      <c r="E321" s="2"/>
      <c r="F321" s="2"/>
      <c r="U321" s="2"/>
    </row>
    <row r="322" spans="1:21">
      <c r="A322" s="2"/>
      <c r="B322" s="2"/>
      <c r="C322" s="2"/>
      <c r="D322" s="2"/>
      <c r="E322" s="2"/>
      <c r="F322" s="2"/>
      <c r="U322" s="2"/>
    </row>
    <row r="323" spans="1:21">
      <c r="A323" s="2"/>
      <c r="B323" s="2"/>
      <c r="C323" s="2"/>
      <c r="D323" s="2"/>
      <c r="E323" s="2"/>
      <c r="F323" s="2"/>
      <c r="U323" s="2"/>
    </row>
    <row r="324" spans="1:21">
      <c r="A324" s="2"/>
      <c r="B324" s="2"/>
      <c r="C324" s="2"/>
      <c r="D324" s="2"/>
      <c r="E324" s="2"/>
      <c r="F324" s="2"/>
      <c r="U324" s="2"/>
    </row>
    <row r="325" spans="1:21">
      <c r="A325" s="2"/>
      <c r="B325" s="2"/>
      <c r="C325" s="2"/>
      <c r="D325" s="2"/>
      <c r="E325" s="2"/>
      <c r="F325" s="2"/>
      <c r="U325" s="2"/>
    </row>
    <row r="326" spans="1:21">
      <c r="A326" s="2"/>
      <c r="B326" s="2"/>
      <c r="C326" s="2"/>
      <c r="D326" s="2"/>
      <c r="E326" s="2"/>
      <c r="F326" s="2"/>
      <c r="U326" s="2"/>
    </row>
    <row r="327" spans="1:21">
      <c r="A327" s="2"/>
      <c r="B327" s="2"/>
      <c r="C327" s="2"/>
      <c r="D327" s="2"/>
      <c r="E327" s="2"/>
      <c r="F327" s="2"/>
      <c r="U327" s="2"/>
    </row>
    <row r="328" spans="1:21">
      <c r="A328" s="2"/>
      <c r="B328" s="2"/>
      <c r="C328" s="2"/>
      <c r="D328" s="2"/>
      <c r="E328" s="2"/>
      <c r="F328" s="2"/>
      <c r="U328" s="2"/>
    </row>
    <row r="329" spans="1:21">
      <c r="A329" s="2"/>
      <c r="B329" s="2"/>
      <c r="C329" s="2"/>
      <c r="D329" s="2"/>
      <c r="E329" s="2"/>
      <c r="F329" s="2"/>
      <c r="U329" s="2"/>
    </row>
    <row r="330" spans="1:21">
      <c r="A330" s="2"/>
      <c r="B330" s="2"/>
      <c r="C330" s="2"/>
      <c r="D330" s="2"/>
      <c r="E330" s="2"/>
      <c r="F330" s="2"/>
      <c r="U330" s="2"/>
    </row>
    <row r="331" spans="1:21">
      <c r="A331" s="2"/>
      <c r="B331" s="2"/>
      <c r="C331" s="2"/>
      <c r="D331" s="2"/>
      <c r="E331" s="2"/>
      <c r="F331" s="2"/>
      <c r="U331" s="2"/>
    </row>
    <row r="332" spans="1:21">
      <c r="A332" s="2"/>
      <c r="B332" s="2"/>
      <c r="C332" s="2"/>
      <c r="D332" s="2"/>
      <c r="E332" s="2"/>
      <c r="F332" s="2"/>
      <c r="U332" s="2"/>
    </row>
    <row r="333" spans="1:21">
      <c r="A333" s="2"/>
      <c r="B333" s="2"/>
      <c r="C333" s="2"/>
      <c r="D333" s="2"/>
      <c r="E333" s="2"/>
      <c r="F333" s="2"/>
      <c r="U333" s="2"/>
    </row>
    <row r="334" spans="1:21">
      <c r="A334" s="2"/>
      <c r="B334" s="2"/>
      <c r="C334" s="2"/>
      <c r="D334" s="2"/>
      <c r="E334" s="2"/>
      <c r="F334" s="2"/>
      <c r="U334" s="2"/>
    </row>
    <row r="335" spans="1:21">
      <c r="A335" s="2"/>
      <c r="B335" s="2"/>
      <c r="C335" s="2"/>
      <c r="D335" s="2"/>
      <c r="E335" s="2"/>
      <c r="F335" s="2"/>
      <c r="U335" s="2"/>
    </row>
    <row r="336" spans="1:21">
      <c r="A336" s="2"/>
      <c r="B336" s="2"/>
      <c r="C336" s="2"/>
      <c r="D336" s="2"/>
      <c r="E336" s="2"/>
      <c r="F336" s="2"/>
      <c r="U336" s="2"/>
    </row>
    <row r="337" spans="1:21">
      <c r="A337" s="2"/>
      <c r="B337" s="2"/>
      <c r="C337" s="2"/>
      <c r="D337" s="2"/>
      <c r="E337" s="2"/>
      <c r="F337" s="2"/>
      <c r="U337" s="2"/>
    </row>
    <row r="338" spans="1:21">
      <c r="A338" s="2"/>
      <c r="B338" s="2"/>
      <c r="C338" s="2"/>
      <c r="D338" s="2"/>
      <c r="E338" s="2"/>
      <c r="F338" s="2"/>
      <c r="U338" s="2"/>
    </row>
    <row r="339" spans="1:21">
      <c r="A339" s="2"/>
      <c r="B339" s="2"/>
      <c r="C339" s="2"/>
      <c r="D339" s="2"/>
      <c r="E339" s="2"/>
      <c r="F339" s="2"/>
      <c r="U339" s="2"/>
    </row>
    <row r="340" spans="1:21">
      <c r="A340" s="2"/>
      <c r="B340" s="2"/>
      <c r="C340" s="2"/>
      <c r="D340" s="2"/>
      <c r="E340" s="2"/>
      <c r="F340" s="2"/>
      <c r="U340" s="2"/>
    </row>
    <row r="341" spans="1:21">
      <c r="A341" s="2"/>
      <c r="B341" s="2"/>
      <c r="C341" s="2"/>
      <c r="D341" s="2"/>
      <c r="E341" s="2"/>
      <c r="F341" s="2"/>
      <c r="U341" s="2"/>
    </row>
    <row r="342" spans="1:21">
      <c r="A342" s="2"/>
      <c r="B342" s="2"/>
      <c r="C342" s="2"/>
      <c r="D342" s="2"/>
      <c r="E342" s="2"/>
      <c r="F342" s="2"/>
      <c r="U342" s="2"/>
    </row>
    <row r="343" spans="1:21">
      <c r="A343" s="2"/>
      <c r="B343" s="2"/>
      <c r="C343" s="2"/>
      <c r="D343" s="2"/>
      <c r="E343" s="2"/>
      <c r="F343" s="2"/>
      <c r="U343" s="2"/>
    </row>
    <row r="344" spans="1:21">
      <c r="A344" s="2"/>
      <c r="B344" s="2"/>
      <c r="C344" s="2"/>
      <c r="D344" s="2"/>
      <c r="E344" s="2"/>
      <c r="F344" s="2"/>
      <c r="U344" s="2"/>
    </row>
    <row r="345" spans="1:21">
      <c r="A345" s="2"/>
      <c r="B345" s="2"/>
      <c r="C345" s="2"/>
      <c r="D345" s="2"/>
      <c r="E345" s="2"/>
      <c r="F345" s="2"/>
      <c r="U345" s="2"/>
    </row>
    <row r="346" spans="1:21">
      <c r="A346" s="2"/>
      <c r="B346" s="2"/>
      <c r="C346" s="2"/>
      <c r="D346" s="2"/>
      <c r="E346" s="2"/>
      <c r="F346" s="2"/>
      <c r="U346" s="2"/>
    </row>
    <row r="347" spans="1:21">
      <c r="A347" s="2"/>
      <c r="B347" s="2"/>
      <c r="C347" s="2"/>
      <c r="D347" s="2"/>
      <c r="E347" s="2"/>
      <c r="F347" s="2"/>
      <c r="U347" s="2"/>
    </row>
    <row r="348" spans="1:21">
      <c r="A348" s="2"/>
      <c r="B348" s="2"/>
      <c r="C348" s="2"/>
      <c r="D348" s="2"/>
      <c r="E348" s="2"/>
      <c r="F348" s="2"/>
      <c r="U348" s="2"/>
    </row>
    <row r="349" spans="1:21">
      <c r="A349" s="2"/>
      <c r="B349" s="2"/>
      <c r="C349" s="2"/>
      <c r="D349" s="2"/>
      <c r="E349" s="2"/>
      <c r="F349" s="2"/>
      <c r="U349" s="2"/>
    </row>
    <row r="350" spans="1:21">
      <c r="A350" s="2"/>
      <c r="B350" s="2"/>
      <c r="C350" s="2"/>
      <c r="D350" s="2"/>
      <c r="E350" s="2"/>
      <c r="F350" s="2"/>
      <c r="U350" s="2"/>
    </row>
    <row r="351" spans="1:21">
      <c r="A351" s="2"/>
      <c r="B351" s="2"/>
      <c r="C351" s="2"/>
      <c r="D351" s="2"/>
      <c r="E351" s="2"/>
      <c r="F351" s="2"/>
      <c r="U351" s="2"/>
    </row>
    <row r="352" spans="1:21">
      <c r="A352" s="2"/>
      <c r="B352" s="2"/>
      <c r="C352" s="2"/>
      <c r="D352" s="2"/>
      <c r="E352" s="2"/>
      <c r="F352" s="2"/>
      <c r="U352" s="2"/>
    </row>
    <row r="353" spans="1:21">
      <c r="A353" s="2"/>
      <c r="B353" s="2"/>
      <c r="C353" s="2"/>
      <c r="D353" s="2"/>
      <c r="E353" s="2"/>
      <c r="F353" s="2"/>
      <c r="U353" s="2"/>
    </row>
    <row r="354" spans="1:21">
      <c r="A354" s="2"/>
      <c r="B354" s="2"/>
      <c r="C354" s="2"/>
      <c r="D354" s="2"/>
      <c r="E354" s="2"/>
      <c r="F354" s="2"/>
      <c r="U354" s="2"/>
    </row>
    <row r="355" spans="1:21">
      <c r="A355" s="2"/>
      <c r="B355" s="2"/>
      <c r="C355" s="2"/>
      <c r="D355" s="2"/>
      <c r="E355" s="2"/>
      <c r="F355" s="2"/>
      <c r="U355" s="2"/>
    </row>
    <row r="356" spans="1:21">
      <c r="A356" s="2"/>
      <c r="B356" s="2"/>
      <c r="C356" s="2"/>
      <c r="D356" s="2"/>
      <c r="E356" s="2"/>
      <c r="F356" s="2"/>
      <c r="U356" s="2"/>
    </row>
    <row r="357" spans="1:21">
      <c r="A357" s="2"/>
      <c r="B357" s="2"/>
      <c r="C357" s="2"/>
      <c r="D357" s="2"/>
      <c r="E357" s="2"/>
      <c r="F357" s="2"/>
      <c r="U357" s="2"/>
    </row>
    <row r="358" spans="1:21">
      <c r="A358" s="2"/>
      <c r="B358" s="2"/>
      <c r="C358" s="2"/>
      <c r="D358" s="2"/>
      <c r="E358" s="2"/>
      <c r="F358" s="2"/>
      <c r="U358" s="2"/>
    </row>
    <row r="359" spans="1:21">
      <c r="A359" s="2"/>
      <c r="B359" s="2"/>
      <c r="C359" s="2"/>
      <c r="D359" s="2"/>
      <c r="E359" s="2"/>
      <c r="F359" s="2"/>
      <c r="U359" s="2"/>
    </row>
    <row r="360" spans="1:21">
      <c r="A360" s="2"/>
      <c r="B360" s="2"/>
      <c r="C360" s="2"/>
      <c r="D360" s="2"/>
      <c r="E360" s="2"/>
      <c r="F360" s="2"/>
      <c r="U360" s="2"/>
    </row>
    <row r="361" spans="1:21">
      <c r="A361" s="2"/>
      <c r="B361" s="2"/>
      <c r="C361" s="2"/>
      <c r="D361" s="2"/>
      <c r="E361" s="2"/>
      <c r="F361" s="2"/>
      <c r="U361" s="2"/>
    </row>
    <row r="362" spans="1:21">
      <c r="A362" s="2"/>
      <c r="B362" s="2"/>
      <c r="C362" s="2"/>
      <c r="D362" s="2"/>
      <c r="E362" s="2"/>
      <c r="F362" s="2"/>
      <c r="U362" s="2"/>
    </row>
    <row r="363" spans="1:21">
      <c r="A363" s="2"/>
      <c r="B363" s="2"/>
      <c r="C363" s="2"/>
      <c r="D363" s="2"/>
      <c r="E363" s="2"/>
      <c r="F363" s="2"/>
      <c r="U363" s="2"/>
    </row>
    <row r="364" spans="1:21">
      <c r="A364" s="2"/>
      <c r="B364" s="2"/>
      <c r="C364" s="2"/>
      <c r="D364" s="2"/>
      <c r="E364" s="2"/>
      <c r="F364" s="2"/>
      <c r="U364" s="2"/>
    </row>
    <row r="365" spans="1:21">
      <c r="A365" s="2"/>
      <c r="B365" s="2"/>
      <c r="C365" s="2"/>
      <c r="D365" s="2"/>
      <c r="E365" s="2"/>
      <c r="F365" s="2"/>
      <c r="U365" s="2"/>
    </row>
    <row r="366" spans="1:21">
      <c r="A366" s="2"/>
      <c r="B366" s="2"/>
      <c r="C366" s="2"/>
      <c r="D366" s="2"/>
      <c r="E366" s="2"/>
      <c r="F366" s="2"/>
      <c r="U366" s="2"/>
    </row>
    <row r="367" spans="1:21">
      <c r="A367" s="2"/>
      <c r="B367" s="2"/>
      <c r="C367" s="2"/>
      <c r="D367" s="2"/>
      <c r="E367" s="2"/>
      <c r="F367" s="2"/>
      <c r="U367" s="2"/>
    </row>
    <row r="368" spans="1:21">
      <c r="A368" s="2"/>
      <c r="B368" s="2"/>
      <c r="C368" s="2"/>
      <c r="D368" s="2"/>
      <c r="E368" s="2"/>
      <c r="F368" s="2"/>
      <c r="U368" s="2"/>
    </row>
    <row r="369" spans="1:21">
      <c r="A369" s="2"/>
      <c r="B369" s="2"/>
      <c r="C369" s="2"/>
      <c r="D369" s="2"/>
      <c r="E369" s="2"/>
      <c r="F369" s="2"/>
      <c r="U369" s="2"/>
    </row>
    <row r="370" spans="1:21">
      <c r="A370" s="2"/>
      <c r="B370" s="2"/>
      <c r="C370" s="2"/>
      <c r="D370" s="2"/>
      <c r="E370" s="2"/>
      <c r="F370" s="2"/>
      <c r="U370" s="2"/>
    </row>
    <row r="371" spans="1:21">
      <c r="A371" s="2"/>
      <c r="B371" s="2"/>
      <c r="C371" s="2"/>
      <c r="D371" s="2"/>
      <c r="E371" s="2"/>
      <c r="F371" s="2"/>
      <c r="U371" s="2"/>
    </row>
    <row r="372" spans="1:21">
      <c r="A372" s="2"/>
      <c r="B372" s="2"/>
      <c r="C372" s="2"/>
      <c r="D372" s="2"/>
      <c r="E372" s="2"/>
      <c r="F372" s="2"/>
      <c r="U372" s="2"/>
    </row>
    <row r="373" spans="1:21">
      <c r="A373" s="2"/>
      <c r="B373" s="2"/>
      <c r="C373" s="2"/>
      <c r="D373" s="2"/>
      <c r="E373" s="2"/>
      <c r="F373" s="2"/>
      <c r="U373" s="2"/>
    </row>
    <row r="374" spans="1:21">
      <c r="A374" s="2"/>
      <c r="B374" s="2"/>
      <c r="C374" s="2"/>
      <c r="D374" s="2"/>
      <c r="E374" s="2"/>
      <c r="F374" s="2"/>
      <c r="U374" s="2"/>
    </row>
    <row r="375" spans="1:21">
      <c r="A375" s="2"/>
      <c r="B375" s="2"/>
      <c r="C375" s="2"/>
      <c r="D375" s="2"/>
      <c r="E375" s="2"/>
      <c r="F375" s="2"/>
      <c r="U375" s="2"/>
    </row>
    <row r="376" spans="1:21">
      <c r="A376" s="2"/>
      <c r="B376" s="2"/>
      <c r="C376" s="2"/>
      <c r="D376" s="2"/>
      <c r="E376" s="2"/>
      <c r="F376" s="2"/>
      <c r="U376" s="2"/>
    </row>
    <row r="377" spans="1:21">
      <c r="A377" s="2"/>
      <c r="B377" s="2"/>
      <c r="C377" s="2"/>
      <c r="D377" s="2"/>
      <c r="E377" s="2"/>
      <c r="F377" s="2"/>
      <c r="U377" s="2"/>
    </row>
    <row r="378" spans="1:21">
      <c r="A378" s="2"/>
      <c r="B378" s="2"/>
      <c r="C378" s="2"/>
      <c r="D378" s="2"/>
      <c r="E378" s="2"/>
      <c r="F378" s="2"/>
      <c r="U378" s="2"/>
    </row>
    <row r="379" spans="1:21">
      <c r="A379" s="2"/>
      <c r="B379" s="2"/>
      <c r="C379" s="2"/>
      <c r="D379" s="2"/>
      <c r="E379" s="2"/>
      <c r="F379" s="2"/>
      <c r="U379" s="2"/>
    </row>
    <row r="380" spans="1:21">
      <c r="A380" s="2"/>
      <c r="B380" s="2"/>
      <c r="C380" s="2"/>
      <c r="D380" s="2"/>
      <c r="E380" s="2"/>
      <c r="F380" s="2"/>
      <c r="U380" s="2"/>
    </row>
    <row r="381" spans="1:21">
      <c r="A381" s="2"/>
      <c r="B381" s="2"/>
      <c r="C381" s="2"/>
      <c r="D381" s="2"/>
      <c r="E381" s="2"/>
      <c r="F381" s="2"/>
      <c r="U381" s="2"/>
    </row>
    <row r="382" spans="1:21">
      <c r="A382" s="2"/>
      <c r="B382" s="2"/>
      <c r="C382" s="2"/>
      <c r="D382" s="2"/>
      <c r="E382" s="2"/>
      <c r="F382" s="2"/>
      <c r="U382" s="2"/>
    </row>
    <row r="383" spans="1:21">
      <c r="A383" s="2"/>
      <c r="B383" s="2"/>
      <c r="C383" s="2"/>
      <c r="D383" s="2"/>
      <c r="E383" s="2"/>
      <c r="F383" s="2"/>
      <c r="U383" s="2"/>
    </row>
    <row r="384" spans="1:21">
      <c r="A384" s="2"/>
      <c r="B384" s="2"/>
      <c r="C384" s="2"/>
      <c r="D384" s="2"/>
      <c r="E384" s="2"/>
      <c r="F384" s="2"/>
      <c r="U384" s="2"/>
    </row>
    <row r="385" spans="1:21">
      <c r="A385" s="2"/>
      <c r="B385" s="2"/>
      <c r="C385" s="2"/>
      <c r="D385" s="2"/>
      <c r="E385" s="2"/>
      <c r="F385" s="2"/>
      <c r="U385" s="2"/>
    </row>
    <row r="386" spans="1:21">
      <c r="A386" s="2"/>
      <c r="B386" s="2"/>
      <c r="C386" s="2"/>
      <c r="D386" s="2"/>
      <c r="E386" s="2"/>
      <c r="F386" s="2"/>
      <c r="U386" s="2"/>
    </row>
    <row r="387" spans="1:21">
      <c r="A387" s="2"/>
      <c r="B387" s="2"/>
      <c r="C387" s="2"/>
      <c r="D387" s="2"/>
      <c r="E387" s="2"/>
      <c r="F387" s="2"/>
      <c r="U387" s="2"/>
    </row>
    <row r="388" spans="1:21">
      <c r="A388" s="2"/>
      <c r="B388" s="2"/>
      <c r="C388" s="2"/>
      <c r="D388" s="2"/>
      <c r="E388" s="2"/>
      <c r="F388" s="2"/>
      <c r="U388" s="2"/>
    </row>
    <row r="389" spans="1:21">
      <c r="A389" s="2"/>
      <c r="B389" s="2"/>
      <c r="C389" s="2"/>
      <c r="D389" s="2"/>
      <c r="E389" s="2"/>
      <c r="F389" s="2"/>
      <c r="U389" s="2"/>
    </row>
    <row r="390" spans="1:21">
      <c r="A390" s="2"/>
      <c r="B390" s="2"/>
      <c r="C390" s="2"/>
      <c r="D390" s="2"/>
      <c r="E390" s="2"/>
      <c r="F390" s="2"/>
      <c r="U390" s="2"/>
    </row>
    <row r="391" spans="1:21">
      <c r="A391" s="2"/>
      <c r="B391" s="2"/>
      <c r="C391" s="2"/>
      <c r="D391" s="2"/>
      <c r="E391" s="2"/>
      <c r="F391" s="2"/>
      <c r="U391" s="2"/>
    </row>
    <row r="392" spans="1:21">
      <c r="A392" s="2"/>
      <c r="B392" s="2"/>
      <c r="C392" s="2"/>
      <c r="D392" s="2"/>
      <c r="E392" s="2"/>
      <c r="F392" s="2"/>
      <c r="U392" s="2"/>
    </row>
    <row r="393" spans="1:21">
      <c r="A393" s="2"/>
      <c r="B393" s="2"/>
      <c r="C393" s="2"/>
      <c r="D393" s="2"/>
      <c r="E393" s="2"/>
      <c r="F393" s="2"/>
      <c r="U393" s="2"/>
    </row>
    <row r="394" spans="1:21">
      <c r="A394" s="2"/>
      <c r="B394" s="2"/>
      <c r="C394" s="2"/>
      <c r="D394" s="2"/>
      <c r="E394" s="2"/>
      <c r="F394" s="2"/>
      <c r="U394" s="2"/>
    </row>
    <row r="395" spans="1:21">
      <c r="A395" s="2"/>
      <c r="B395" s="2"/>
      <c r="C395" s="2"/>
      <c r="D395" s="2"/>
      <c r="E395" s="2"/>
      <c r="F395" s="2"/>
      <c r="U395" s="2"/>
    </row>
    <row r="396" spans="1:21">
      <c r="A396" s="2"/>
      <c r="B396" s="2"/>
      <c r="C396" s="2"/>
      <c r="D396" s="2"/>
      <c r="E396" s="2"/>
      <c r="F396" s="2"/>
      <c r="U396" s="2"/>
    </row>
    <row r="397" spans="1:21">
      <c r="A397" s="2"/>
      <c r="B397" s="2"/>
      <c r="C397" s="2"/>
      <c r="D397" s="2"/>
      <c r="E397" s="2"/>
      <c r="F397" s="2"/>
      <c r="U397" s="2"/>
    </row>
    <row r="398" spans="1:21">
      <c r="A398" s="2"/>
      <c r="B398" s="2"/>
      <c r="C398" s="2"/>
      <c r="D398" s="2"/>
      <c r="E398" s="2"/>
      <c r="F398" s="2"/>
      <c r="U398" s="2"/>
    </row>
    <row r="399" spans="1:21">
      <c r="A399" s="2"/>
      <c r="B399" s="2"/>
      <c r="C399" s="2"/>
      <c r="D399" s="2"/>
      <c r="E399" s="2"/>
      <c r="F399" s="2"/>
      <c r="U399" s="2"/>
    </row>
    <row r="400" spans="1:21">
      <c r="A400" s="2"/>
      <c r="B400" s="2"/>
      <c r="C400" s="2"/>
      <c r="D400" s="2"/>
      <c r="E400" s="2"/>
      <c r="F400" s="2"/>
      <c r="U400" s="2"/>
    </row>
    <row r="401" spans="1:21">
      <c r="A401" s="2"/>
      <c r="B401" s="2"/>
      <c r="C401" s="2"/>
      <c r="D401" s="2"/>
      <c r="E401" s="2"/>
      <c r="F401" s="2"/>
      <c r="U401" s="2"/>
    </row>
    <row r="402" spans="1:21">
      <c r="A402" s="2"/>
      <c r="B402" s="2"/>
      <c r="C402" s="2"/>
      <c r="D402" s="2"/>
      <c r="E402" s="2"/>
      <c r="F402" s="2"/>
      <c r="U402" s="2"/>
    </row>
    <row r="403" spans="1:21">
      <c r="A403" s="2"/>
      <c r="B403" s="2"/>
      <c r="C403" s="2"/>
      <c r="D403" s="2"/>
      <c r="E403" s="2"/>
      <c r="F403" s="2"/>
      <c r="U403" s="2"/>
    </row>
    <row r="404" spans="1:21">
      <c r="A404" s="2"/>
      <c r="B404" s="2"/>
      <c r="C404" s="2"/>
      <c r="D404" s="2"/>
      <c r="E404" s="2"/>
      <c r="F404" s="2"/>
      <c r="U404" s="2"/>
    </row>
    <row r="405" spans="1:21">
      <c r="A405" s="2"/>
      <c r="B405" s="2"/>
      <c r="C405" s="2"/>
      <c r="D405" s="2"/>
      <c r="E405" s="2"/>
      <c r="F405" s="2"/>
      <c r="U405" s="2"/>
    </row>
    <row r="406" spans="1:21">
      <c r="A406" s="2"/>
      <c r="B406" s="2"/>
      <c r="C406" s="2"/>
      <c r="D406" s="2"/>
      <c r="E406" s="2"/>
      <c r="F406" s="2"/>
      <c r="U406" s="2"/>
    </row>
    <row r="407" spans="1:21">
      <c r="A407" s="2"/>
      <c r="B407" s="2"/>
      <c r="C407" s="2"/>
      <c r="D407" s="2"/>
      <c r="E407" s="2"/>
      <c r="F407" s="2"/>
      <c r="U407" s="2"/>
    </row>
    <row r="408" spans="1:21">
      <c r="A408" s="2"/>
      <c r="B408" s="2"/>
      <c r="C408" s="2"/>
      <c r="D408" s="2"/>
      <c r="E408" s="2"/>
      <c r="F408" s="2"/>
      <c r="U408" s="2"/>
    </row>
    <row r="409" spans="1:21">
      <c r="A409" s="2"/>
      <c r="B409" s="2"/>
      <c r="C409" s="2"/>
      <c r="D409" s="2"/>
      <c r="E409" s="2"/>
      <c r="F409" s="2"/>
      <c r="U409" s="2"/>
    </row>
    <row r="410" spans="1:21">
      <c r="A410" s="2"/>
      <c r="B410" s="2"/>
      <c r="C410" s="2"/>
      <c r="D410" s="2"/>
      <c r="E410" s="2"/>
      <c r="F410" s="2"/>
      <c r="U410" s="2"/>
    </row>
    <row r="411" spans="1:21">
      <c r="A411" s="2"/>
      <c r="B411" s="2"/>
      <c r="C411" s="2"/>
      <c r="D411" s="2"/>
      <c r="E411" s="2"/>
      <c r="F411" s="2"/>
      <c r="U411" s="2"/>
    </row>
    <row r="412" spans="1:21">
      <c r="A412" s="2"/>
      <c r="B412" s="2"/>
      <c r="C412" s="2"/>
      <c r="D412" s="2"/>
      <c r="E412" s="2"/>
      <c r="F412" s="2"/>
      <c r="U412" s="2"/>
    </row>
    <row r="413" spans="1:21">
      <c r="A413" s="2"/>
      <c r="B413" s="2"/>
      <c r="C413" s="2"/>
      <c r="D413" s="2"/>
      <c r="E413" s="2"/>
      <c r="F413" s="2"/>
      <c r="U413" s="2"/>
    </row>
    <row r="414" spans="1:21">
      <c r="A414" s="2"/>
      <c r="B414" s="2"/>
      <c r="C414" s="2"/>
      <c r="D414" s="2"/>
      <c r="E414" s="2"/>
      <c r="F414" s="2"/>
      <c r="U414" s="2"/>
    </row>
    <row r="415" spans="1:21">
      <c r="A415" s="2"/>
      <c r="B415" s="2"/>
      <c r="C415" s="2"/>
      <c r="D415" s="2"/>
      <c r="E415" s="2"/>
      <c r="F415" s="2"/>
      <c r="U415" s="2"/>
    </row>
    <row r="416" spans="1:21">
      <c r="A416" s="2"/>
      <c r="B416" s="2"/>
      <c r="C416" s="2"/>
      <c r="D416" s="2"/>
      <c r="E416" s="2"/>
      <c r="F416" s="2"/>
      <c r="U416" s="2"/>
    </row>
    <row r="417" spans="1:21">
      <c r="A417" s="2"/>
      <c r="B417" s="2"/>
      <c r="C417" s="2"/>
      <c r="D417" s="2"/>
      <c r="E417" s="2"/>
      <c r="F417" s="2"/>
      <c r="U417" s="2"/>
    </row>
    <row r="418" spans="1:21">
      <c r="A418" s="2"/>
      <c r="B418" s="2"/>
      <c r="C418" s="2"/>
      <c r="D418" s="2"/>
      <c r="E418" s="2"/>
      <c r="F418" s="2"/>
      <c r="U418" s="2"/>
    </row>
    <row r="419" spans="1:21">
      <c r="A419" s="2"/>
      <c r="B419" s="2"/>
      <c r="C419" s="2"/>
      <c r="D419" s="2"/>
      <c r="E419" s="2"/>
      <c r="F419" s="2"/>
      <c r="U419" s="2"/>
    </row>
    <row r="420" spans="1:21">
      <c r="A420" s="2"/>
      <c r="B420" s="2"/>
      <c r="C420" s="2"/>
      <c r="D420" s="2"/>
      <c r="E420" s="2"/>
      <c r="F420" s="2"/>
      <c r="U420" s="2"/>
    </row>
    <row r="421" spans="1:21">
      <c r="A421" s="2"/>
      <c r="B421" s="2"/>
      <c r="C421" s="2"/>
      <c r="D421" s="2"/>
      <c r="E421" s="2"/>
      <c r="F421" s="2"/>
      <c r="U421" s="2"/>
    </row>
    <row r="422" spans="1:21">
      <c r="A422" s="2"/>
      <c r="B422" s="2"/>
      <c r="C422" s="2"/>
      <c r="D422" s="2"/>
      <c r="E422" s="2"/>
      <c r="F422" s="2"/>
      <c r="U422" s="2"/>
    </row>
    <row r="423" spans="1:21">
      <c r="A423" s="2"/>
      <c r="B423" s="2"/>
      <c r="C423" s="2"/>
      <c r="D423" s="2"/>
      <c r="E423" s="2"/>
      <c r="F423" s="2"/>
      <c r="U423" s="2"/>
    </row>
    <row r="424" spans="1:21">
      <c r="A424" s="2"/>
      <c r="B424" s="2"/>
      <c r="C424" s="2"/>
      <c r="D424" s="2"/>
      <c r="E424" s="2"/>
      <c r="F424" s="2"/>
      <c r="U424" s="2"/>
    </row>
    <row r="425" spans="1:21">
      <c r="A425" s="2"/>
      <c r="B425" s="2"/>
      <c r="C425" s="2"/>
      <c r="D425" s="2"/>
      <c r="E425" s="2"/>
      <c r="F425" s="2"/>
      <c r="U425" s="2"/>
    </row>
    <row r="426" spans="1:21">
      <c r="A426" s="2"/>
      <c r="B426" s="2"/>
      <c r="C426" s="2"/>
      <c r="D426" s="2"/>
      <c r="E426" s="2"/>
      <c r="F426" s="2"/>
      <c r="U426" s="2"/>
    </row>
    <row r="427" spans="1:21">
      <c r="A427" s="2"/>
      <c r="B427" s="2"/>
      <c r="C427" s="2"/>
      <c r="D427" s="2"/>
      <c r="E427" s="2"/>
      <c r="F427" s="2"/>
      <c r="U427" s="2"/>
    </row>
    <row r="428" spans="1:21">
      <c r="A428" s="2"/>
      <c r="B428" s="2"/>
      <c r="C428" s="2"/>
      <c r="D428" s="2"/>
      <c r="E428" s="2"/>
      <c r="F428" s="2"/>
      <c r="U428" s="2"/>
    </row>
    <row r="429" spans="1:21">
      <c r="A429" s="2"/>
      <c r="B429" s="2"/>
      <c r="C429" s="2"/>
      <c r="D429" s="2"/>
      <c r="E429" s="2"/>
      <c r="F429" s="2"/>
      <c r="U429" s="2"/>
    </row>
    <row r="430" spans="1:21">
      <c r="A430" s="2"/>
      <c r="B430" s="2"/>
      <c r="C430" s="2"/>
      <c r="D430" s="2"/>
      <c r="E430" s="2"/>
      <c r="F430" s="2"/>
      <c r="U430" s="2"/>
    </row>
    <row r="431" spans="1:21">
      <c r="A431" s="2"/>
      <c r="B431" s="2"/>
      <c r="C431" s="2"/>
      <c r="D431" s="2"/>
      <c r="E431" s="2"/>
      <c r="F431" s="2"/>
      <c r="U431" s="2"/>
    </row>
    <row r="432" spans="1:21">
      <c r="A432" s="2"/>
      <c r="B432" s="2"/>
      <c r="C432" s="2"/>
      <c r="D432" s="2"/>
      <c r="E432" s="2"/>
      <c r="F432" s="2"/>
      <c r="U432" s="2"/>
    </row>
    <row r="433" spans="1:21">
      <c r="A433" s="2"/>
      <c r="B433" s="2"/>
      <c r="C433" s="2"/>
      <c r="D433" s="2"/>
      <c r="E433" s="2"/>
      <c r="F433" s="2"/>
      <c r="U433" s="2"/>
    </row>
    <row r="434" spans="1:21">
      <c r="A434" s="2"/>
      <c r="B434" s="2"/>
      <c r="C434" s="2"/>
      <c r="D434" s="2"/>
      <c r="E434" s="2"/>
      <c r="F434" s="2"/>
      <c r="U434" s="2"/>
    </row>
    <row r="435" spans="1:21">
      <c r="A435" s="2"/>
      <c r="B435" s="2"/>
      <c r="C435" s="2"/>
      <c r="D435" s="2"/>
      <c r="E435" s="2"/>
      <c r="F435" s="2"/>
      <c r="U435" s="2"/>
    </row>
    <row r="436" spans="1:21">
      <c r="A436" s="2"/>
      <c r="B436" s="2"/>
      <c r="C436" s="2"/>
      <c r="D436" s="2"/>
      <c r="E436" s="2"/>
      <c r="F436" s="2"/>
      <c r="U436" s="2"/>
    </row>
    <row r="437" spans="1:21">
      <c r="A437" s="2"/>
      <c r="B437" s="2"/>
      <c r="C437" s="2"/>
      <c r="D437" s="2"/>
      <c r="E437" s="2"/>
      <c r="F437" s="2"/>
      <c r="U437" s="2"/>
    </row>
    <row r="438" spans="1:21">
      <c r="A438" s="2"/>
      <c r="B438" s="2"/>
      <c r="C438" s="2"/>
      <c r="D438" s="2"/>
      <c r="E438" s="2"/>
      <c r="F438" s="2"/>
      <c r="U438" s="2"/>
    </row>
    <row r="439" spans="1:21">
      <c r="A439" s="2"/>
      <c r="B439" s="2"/>
      <c r="C439" s="2"/>
      <c r="D439" s="2"/>
      <c r="E439" s="2"/>
      <c r="F439" s="2"/>
      <c r="U439" s="2"/>
    </row>
    <row r="440" spans="1:21">
      <c r="A440" s="2"/>
      <c r="B440" s="2"/>
      <c r="C440" s="2"/>
      <c r="D440" s="2"/>
      <c r="E440" s="2"/>
      <c r="F440" s="2"/>
      <c r="U440" s="2"/>
    </row>
    <row r="441" spans="1:21">
      <c r="A441" s="2"/>
      <c r="B441" s="2"/>
      <c r="C441" s="2"/>
      <c r="D441" s="2"/>
      <c r="E441" s="2"/>
      <c r="F441" s="2"/>
      <c r="U441" s="2"/>
    </row>
    <row r="442" spans="1:21">
      <c r="A442" s="2"/>
      <c r="B442" s="2"/>
      <c r="C442" s="2"/>
      <c r="D442" s="2"/>
      <c r="E442" s="2"/>
      <c r="F442" s="2"/>
      <c r="U442" s="2"/>
    </row>
    <row r="443" spans="1:21">
      <c r="A443" s="2"/>
      <c r="B443" s="2"/>
      <c r="C443" s="2"/>
      <c r="D443" s="2"/>
      <c r="E443" s="2"/>
      <c r="F443" s="2"/>
      <c r="U443" s="2"/>
    </row>
    <row r="444" spans="1:21">
      <c r="A444" s="2"/>
      <c r="B444" s="2"/>
      <c r="C444" s="2"/>
      <c r="D444" s="2"/>
      <c r="E444" s="2"/>
      <c r="F444" s="2"/>
      <c r="U444" s="2"/>
    </row>
    <row r="445" spans="1:21">
      <c r="A445" s="2"/>
      <c r="B445" s="2"/>
      <c r="C445" s="2"/>
      <c r="D445" s="2"/>
      <c r="E445" s="2"/>
      <c r="F445" s="2"/>
      <c r="U445" s="2"/>
    </row>
    <row r="446" spans="1:21">
      <c r="A446" s="2"/>
      <c r="B446" s="2"/>
      <c r="C446" s="2"/>
      <c r="D446" s="2"/>
      <c r="E446" s="2"/>
      <c r="F446" s="2"/>
      <c r="U446" s="2"/>
    </row>
    <row r="447" spans="1:21">
      <c r="A447" s="2"/>
      <c r="B447" s="2"/>
      <c r="C447" s="2"/>
      <c r="D447" s="2"/>
      <c r="E447" s="2"/>
      <c r="F447" s="2"/>
      <c r="U447" s="2"/>
    </row>
    <row r="448" spans="1:21">
      <c r="A448" s="2"/>
      <c r="B448" s="2"/>
      <c r="C448" s="2"/>
      <c r="D448" s="2"/>
      <c r="E448" s="2"/>
      <c r="F448" s="2"/>
      <c r="U448" s="2"/>
    </row>
    <row r="449" spans="1:21">
      <c r="A449" s="2"/>
      <c r="B449" s="2"/>
      <c r="C449" s="2"/>
      <c r="D449" s="2"/>
      <c r="E449" s="2"/>
      <c r="F449" s="2"/>
      <c r="U449" s="2"/>
    </row>
    <row r="450" spans="1:21">
      <c r="A450" s="2"/>
      <c r="B450" s="2"/>
      <c r="C450" s="2"/>
      <c r="D450" s="2"/>
      <c r="E450" s="2"/>
      <c r="F450" s="2"/>
      <c r="U450" s="2"/>
    </row>
    <row r="451" spans="1:21">
      <c r="A451" s="2"/>
      <c r="B451" s="2"/>
      <c r="C451" s="2"/>
      <c r="D451" s="2"/>
      <c r="E451" s="2"/>
      <c r="F451" s="2"/>
      <c r="U451" s="2"/>
    </row>
    <row r="452" spans="1:21">
      <c r="A452" s="2"/>
      <c r="B452" s="2"/>
      <c r="C452" s="2"/>
      <c r="D452" s="2"/>
      <c r="E452" s="2"/>
      <c r="F452" s="2"/>
      <c r="U452" s="2"/>
    </row>
    <row r="453" spans="1:21">
      <c r="A453" s="2"/>
      <c r="B453" s="2"/>
      <c r="C453" s="2"/>
      <c r="D453" s="2"/>
      <c r="E453" s="2"/>
      <c r="F453" s="2"/>
      <c r="U453" s="2"/>
    </row>
    <row r="454" spans="1:21">
      <c r="A454" s="2"/>
      <c r="B454" s="2"/>
      <c r="C454" s="2"/>
      <c r="D454" s="2"/>
      <c r="E454" s="2"/>
      <c r="F454" s="2"/>
      <c r="U454" s="2"/>
    </row>
    <row r="455" spans="1:21">
      <c r="A455" s="2"/>
      <c r="B455" s="2"/>
      <c r="C455" s="2"/>
      <c r="D455" s="2"/>
      <c r="E455" s="2"/>
      <c r="F455" s="2"/>
      <c r="U455" s="2"/>
    </row>
    <row r="456" spans="1:21">
      <c r="A456" s="2"/>
      <c r="B456" s="2"/>
      <c r="C456" s="2"/>
      <c r="D456" s="2"/>
      <c r="E456" s="2"/>
      <c r="F456" s="2"/>
      <c r="U456" s="2"/>
    </row>
    <row r="457" spans="1:21">
      <c r="A457" s="2"/>
      <c r="B457" s="2"/>
      <c r="C457" s="2"/>
      <c r="D457" s="2"/>
      <c r="E457" s="2"/>
      <c r="F457" s="2"/>
      <c r="U457" s="2"/>
    </row>
    <row r="458" spans="1:21">
      <c r="A458" s="2"/>
      <c r="B458" s="2"/>
      <c r="C458" s="2"/>
      <c r="D458" s="2"/>
      <c r="E458" s="2"/>
      <c r="F458" s="2"/>
      <c r="U458" s="2"/>
    </row>
    <row r="459" spans="1:21">
      <c r="A459" s="2"/>
      <c r="B459" s="2"/>
      <c r="C459" s="2"/>
      <c r="D459" s="2"/>
      <c r="E459" s="2"/>
      <c r="F459" s="2"/>
      <c r="U459" s="2"/>
    </row>
    <row r="460" spans="1:21">
      <c r="A460" s="2"/>
      <c r="B460" s="2"/>
      <c r="C460" s="2"/>
      <c r="D460" s="2"/>
      <c r="E460" s="2"/>
      <c r="F460" s="2"/>
      <c r="U460" s="2"/>
    </row>
    <row r="461" spans="1:21">
      <c r="A461" s="2"/>
      <c r="B461" s="2"/>
      <c r="C461" s="2"/>
      <c r="D461" s="2"/>
      <c r="E461" s="2"/>
      <c r="F461" s="2"/>
      <c r="U461" s="2"/>
    </row>
    <row r="462" spans="1:21">
      <c r="A462" s="2"/>
      <c r="B462" s="2"/>
      <c r="C462" s="2"/>
      <c r="D462" s="2"/>
      <c r="E462" s="2"/>
      <c r="F462" s="2"/>
      <c r="U462" s="2"/>
    </row>
    <row r="463" spans="1:21">
      <c r="A463" s="2"/>
      <c r="B463" s="2"/>
      <c r="C463" s="2"/>
      <c r="D463" s="2"/>
      <c r="E463" s="2"/>
      <c r="F463" s="2"/>
      <c r="U463" s="2"/>
    </row>
    <row r="464" spans="1:21">
      <c r="A464" s="2"/>
      <c r="B464" s="2"/>
      <c r="C464" s="2"/>
      <c r="D464" s="2"/>
      <c r="E464" s="2"/>
      <c r="F464" s="2"/>
      <c r="U464" s="2"/>
    </row>
    <row r="465" spans="1:23">
      <c r="A465" s="2"/>
      <c r="B465" s="2"/>
      <c r="C465" s="2"/>
      <c r="D465" s="2"/>
      <c r="E465" s="2"/>
      <c r="F465" s="2"/>
      <c r="U465" s="2"/>
    </row>
    <row r="466" spans="1:23">
      <c r="A466" s="2"/>
      <c r="B466" s="2"/>
      <c r="C466" s="2"/>
      <c r="D466" s="2"/>
      <c r="E466" s="2"/>
      <c r="F466" s="2"/>
      <c r="U466" s="2"/>
    </row>
    <row r="467" spans="1:23">
      <c r="A467" s="2"/>
      <c r="B467" s="2"/>
      <c r="C467" s="2"/>
      <c r="D467" s="2"/>
      <c r="E467" s="2"/>
      <c r="F467" s="2"/>
      <c r="U467" s="2"/>
    </row>
    <row r="468" spans="1:23">
      <c r="A468" s="2"/>
      <c r="B468" s="2"/>
      <c r="C468" s="2"/>
      <c r="D468" s="2"/>
      <c r="E468" s="2"/>
      <c r="F468" s="2"/>
      <c r="U468" s="2"/>
    </row>
    <row r="469" spans="1:23">
      <c r="A469" s="2"/>
      <c r="B469" s="2"/>
      <c r="C469" s="2"/>
      <c r="D469" s="2"/>
      <c r="E469" s="2"/>
      <c r="F469" s="2"/>
      <c r="U469" s="2"/>
    </row>
    <row r="470" spans="1:23" ht="13.5" thickBot="1">
      <c r="A470" s="2"/>
      <c r="B470" s="2"/>
      <c r="C470" s="2"/>
      <c r="D470" s="2"/>
      <c r="E470" s="2"/>
      <c r="F470" s="2"/>
      <c r="U470" s="2"/>
    </row>
    <row r="471" spans="1:23" ht="45">
      <c r="A471" s="315" t="s">
        <v>85</v>
      </c>
      <c r="B471" s="315"/>
      <c r="C471" s="316"/>
      <c r="D471" s="316"/>
      <c r="E471" s="316"/>
      <c r="F471" s="316"/>
      <c r="G471" s="316"/>
      <c r="H471" s="316"/>
      <c r="I471" s="316"/>
      <c r="J471" s="316"/>
      <c r="K471" s="316"/>
      <c r="L471" s="316"/>
      <c r="M471" s="316"/>
      <c r="N471" s="316"/>
      <c r="O471" s="316"/>
      <c r="P471" s="316"/>
      <c r="Q471" s="316"/>
      <c r="R471" s="316"/>
      <c r="S471" s="316"/>
      <c r="T471" s="316"/>
      <c r="U471" s="316"/>
      <c r="V471" s="317"/>
      <c r="W471" s="317"/>
    </row>
    <row r="472" spans="1:23">
      <c r="A472" s="2"/>
      <c r="B472" s="2"/>
      <c r="C472" s="2"/>
      <c r="D472" s="2"/>
      <c r="E472" s="2"/>
      <c r="F472" s="2"/>
      <c r="U472" s="2"/>
      <c r="V472" s="318"/>
      <c r="W472" s="318"/>
    </row>
    <row r="473" spans="1:23">
      <c r="A473" s="2"/>
      <c r="B473" s="2"/>
      <c r="C473" s="2"/>
      <c r="D473" s="2"/>
      <c r="E473" s="2"/>
      <c r="F473" s="2"/>
      <c r="U473" s="2"/>
      <c r="V473" s="318"/>
      <c r="W473" s="318"/>
    </row>
    <row r="474" spans="1:23">
      <c r="A474" s="2"/>
      <c r="B474" s="2"/>
      <c r="C474" s="2"/>
      <c r="D474" s="2"/>
      <c r="E474" s="2"/>
      <c r="F474" s="2"/>
      <c r="U474" s="2"/>
      <c r="V474" s="318"/>
      <c r="W474" s="318"/>
    </row>
    <row r="475" spans="1:23">
      <c r="A475" s="2"/>
      <c r="B475" s="2"/>
      <c r="C475" s="2"/>
      <c r="D475" s="2"/>
      <c r="E475" s="2"/>
      <c r="F475" s="2"/>
      <c r="U475" s="2"/>
      <c r="V475" s="318"/>
      <c r="W475" s="318"/>
    </row>
    <row r="476" spans="1:23">
      <c r="A476" s="2"/>
      <c r="B476" s="2"/>
      <c r="C476" s="2"/>
      <c r="D476" s="2"/>
      <c r="E476" s="2"/>
      <c r="F476" s="2"/>
      <c r="U476" s="2"/>
      <c r="V476" s="318"/>
      <c r="W476" s="318"/>
    </row>
    <row r="477" spans="1:23">
      <c r="A477" s="2"/>
      <c r="B477" s="2"/>
      <c r="C477" s="2"/>
      <c r="D477" s="2"/>
      <c r="E477" s="2"/>
      <c r="F477" s="2"/>
      <c r="U477" s="2"/>
      <c r="V477" s="318"/>
      <c r="W477" s="318"/>
    </row>
    <row r="478" spans="1:23">
      <c r="A478" s="2"/>
      <c r="B478" s="2"/>
      <c r="C478" s="2"/>
      <c r="D478" s="2"/>
      <c r="E478" s="2"/>
      <c r="F478" s="2"/>
      <c r="U478" s="2"/>
      <c r="V478" s="318"/>
      <c r="W478" s="318"/>
    </row>
    <row r="479" spans="1:23">
      <c r="A479" s="2"/>
      <c r="B479" s="2"/>
      <c r="C479" s="2"/>
      <c r="D479" s="2"/>
      <c r="E479" s="2"/>
      <c r="F479" s="2"/>
      <c r="U479" s="2"/>
      <c r="V479" s="318"/>
      <c r="W479" s="318"/>
    </row>
    <row r="480" spans="1:23">
      <c r="A480" s="2"/>
      <c r="B480" s="2"/>
      <c r="C480" s="2"/>
      <c r="D480" s="2"/>
      <c r="E480" s="2"/>
      <c r="F480" s="2"/>
      <c r="U480" s="2"/>
      <c r="V480" s="318"/>
      <c r="W480" s="318"/>
    </row>
    <row r="481" spans="1:23">
      <c r="A481" s="2"/>
      <c r="B481" s="2"/>
      <c r="C481" s="2"/>
      <c r="D481" s="2"/>
      <c r="E481" s="2"/>
      <c r="F481" s="2"/>
      <c r="U481" s="2"/>
      <c r="V481" s="318"/>
      <c r="W481" s="318"/>
    </row>
    <row r="482" spans="1:23" ht="13.5" thickBot="1">
      <c r="A482" s="319"/>
      <c r="B482" s="319"/>
      <c r="C482" s="319"/>
      <c r="D482" s="319"/>
      <c r="E482" s="319"/>
      <c r="F482" s="319"/>
      <c r="G482" s="319"/>
      <c r="H482" s="319"/>
      <c r="I482" s="319"/>
      <c r="J482" s="319"/>
      <c r="K482" s="319"/>
      <c r="L482" s="319"/>
      <c r="M482" s="319"/>
      <c r="N482" s="319"/>
      <c r="O482" s="319"/>
      <c r="P482" s="319"/>
      <c r="Q482" s="319"/>
      <c r="R482" s="319"/>
      <c r="S482" s="319"/>
      <c r="T482" s="319"/>
      <c r="U482" s="319"/>
      <c r="V482" s="320"/>
      <c r="W482" s="320"/>
    </row>
    <row r="483" spans="1:23">
      <c r="A483" s="2"/>
      <c r="B483" s="2"/>
      <c r="C483" s="2"/>
      <c r="D483" s="2"/>
      <c r="E483" s="2"/>
      <c r="F483" s="2"/>
      <c r="U483" s="2"/>
    </row>
    <row r="484" spans="1:23">
      <c r="A484" s="2"/>
      <c r="B484" s="2"/>
      <c r="C484" s="2"/>
      <c r="D484" s="2"/>
      <c r="E484" s="2"/>
      <c r="F484" s="2"/>
      <c r="U484" s="2"/>
    </row>
    <row r="485" spans="1:23">
      <c r="A485" s="2"/>
      <c r="B485" s="2"/>
      <c r="C485" s="2"/>
      <c r="D485" s="2"/>
      <c r="E485" s="2"/>
      <c r="F485" s="2"/>
      <c r="U485" s="2"/>
    </row>
    <row r="486" spans="1:23">
      <c r="A486" s="2"/>
      <c r="B486" s="2"/>
      <c r="C486" s="2"/>
      <c r="D486" s="2"/>
      <c r="E486" s="2"/>
      <c r="F486" s="2"/>
      <c r="U486" s="2"/>
    </row>
    <row r="487" spans="1:23">
      <c r="A487" s="2"/>
      <c r="B487" s="2"/>
      <c r="C487" s="2"/>
      <c r="D487" s="2"/>
      <c r="E487" s="2"/>
      <c r="F487" s="2"/>
      <c r="U487" s="2"/>
    </row>
    <row r="488" spans="1:23">
      <c r="A488" s="2"/>
      <c r="B488" s="2"/>
      <c r="C488" s="2"/>
      <c r="D488" s="2"/>
      <c r="E488" s="2"/>
      <c r="F488" s="2"/>
      <c r="U488" s="2"/>
    </row>
    <row r="489" spans="1:23">
      <c r="A489" s="2"/>
      <c r="B489" s="2"/>
      <c r="C489" s="2"/>
      <c r="D489" s="2"/>
      <c r="E489" s="2"/>
      <c r="F489" s="2"/>
      <c r="U489" s="2"/>
    </row>
    <row r="490" spans="1:23">
      <c r="A490" s="2"/>
      <c r="B490" s="2"/>
      <c r="C490" s="2"/>
      <c r="D490" s="2"/>
      <c r="E490" s="2"/>
      <c r="F490" s="2"/>
      <c r="U490" s="2"/>
    </row>
    <row r="491" spans="1:23">
      <c r="A491" s="2"/>
      <c r="B491" s="2"/>
      <c r="C491" s="2"/>
      <c r="D491" s="2"/>
      <c r="E491" s="2"/>
      <c r="F491" s="2"/>
      <c r="U491" s="2"/>
    </row>
    <row r="492" spans="1:23">
      <c r="A492" s="2"/>
      <c r="B492" s="2"/>
      <c r="C492" s="2"/>
      <c r="D492" s="2"/>
      <c r="E492" s="2"/>
      <c r="F492" s="2"/>
      <c r="U492" s="2"/>
    </row>
    <row r="493" spans="1:23">
      <c r="A493" s="2"/>
      <c r="B493" s="2"/>
      <c r="C493" s="2"/>
      <c r="D493" s="2"/>
      <c r="E493" s="2"/>
      <c r="F493" s="2"/>
      <c r="U493" s="2"/>
    </row>
    <row r="494" spans="1:23">
      <c r="A494" s="2"/>
      <c r="B494" s="2"/>
      <c r="C494" s="2"/>
      <c r="D494" s="2"/>
      <c r="E494" s="2"/>
      <c r="F494" s="2"/>
      <c r="U494" s="2"/>
    </row>
    <row r="495" spans="1:23">
      <c r="A495" s="2"/>
      <c r="B495" s="2"/>
      <c r="C495" s="2"/>
      <c r="D495" s="2"/>
      <c r="E495" s="2"/>
      <c r="F495" s="2"/>
      <c r="U495" s="2"/>
    </row>
    <row r="496" spans="1:23">
      <c r="A496" s="2"/>
      <c r="B496" s="2"/>
      <c r="C496" s="2"/>
      <c r="D496" s="2"/>
      <c r="E496" s="2"/>
      <c r="F496" s="2"/>
      <c r="U496" s="2"/>
    </row>
    <row r="497" spans="1:21">
      <c r="A497" s="2"/>
      <c r="B497" s="2"/>
      <c r="C497" s="2"/>
      <c r="D497" s="2"/>
      <c r="E497" s="2"/>
      <c r="F497" s="2"/>
      <c r="U497" s="2"/>
    </row>
    <row r="498" spans="1:21">
      <c r="A498" s="2"/>
      <c r="B498" s="2"/>
      <c r="C498" s="2"/>
      <c r="D498" s="2"/>
      <c r="E498" s="2"/>
      <c r="F498" s="2"/>
      <c r="U498" s="2"/>
    </row>
    <row r="499" spans="1:21">
      <c r="A499" s="2"/>
      <c r="B499" s="2"/>
      <c r="C499" s="2"/>
      <c r="D499" s="2"/>
      <c r="E499" s="2"/>
      <c r="F499" s="2"/>
      <c r="U499" s="2"/>
    </row>
    <row r="500" spans="1:21">
      <c r="A500" s="2"/>
      <c r="B500" s="2"/>
      <c r="C500" s="2"/>
      <c r="D500" s="2"/>
      <c r="E500" s="2"/>
      <c r="F500" s="2"/>
      <c r="U500" s="2"/>
    </row>
    <row r="501" spans="1:21">
      <c r="A501" s="2"/>
      <c r="B501" s="2"/>
      <c r="C501" s="2"/>
      <c r="D501" s="2"/>
      <c r="E501" s="2"/>
      <c r="F501" s="2"/>
      <c r="U501" s="2"/>
    </row>
    <row r="502" spans="1:21">
      <c r="A502" s="2"/>
      <c r="B502" s="2"/>
      <c r="C502" s="2"/>
      <c r="D502" s="2"/>
      <c r="E502" s="2"/>
      <c r="F502" s="2"/>
      <c r="U502" s="2"/>
    </row>
    <row r="503" spans="1:21">
      <c r="A503" s="2"/>
      <c r="B503" s="2"/>
      <c r="C503" s="2"/>
      <c r="D503" s="2"/>
      <c r="E503" s="2"/>
      <c r="F503" s="2"/>
      <c r="U503" s="2"/>
    </row>
    <row r="504" spans="1:21">
      <c r="A504" s="2"/>
      <c r="B504" s="2"/>
      <c r="C504" s="2"/>
      <c r="D504" s="2"/>
      <c r="E504" s="2"/>
      <c r="F504" s="2"/>
      <c r="U504" s="2"/>
    </row>
    <row r="505" spans="1:21">
      <c r="A505" s="2"/>
      <c r="B505" s="2"/>
      <c r="C505" s="2"/>
      <c r="D505" s="2"/>
      <c r="E505" s="2"/>
      <c r="F505" s="2"/>
      <c r="U505" s="2"/>
    </row>
    <row r="506" spans="1:21">
      <c r="A506" s="2"/>
      <c r="B506" s="2"/>
      <c r="C506" s="2"/>
      <c r="D506" s="2"/>
      <c r="E506" s="2"/>
      <c r="F506" s="2"/>
      <c r="U506" s="2"/>
    </row>
    <row r="507" spans="1:21">
      <c r="A507" s="2"/>
      <c r="B507" s="2"/>
      <c r="C507" s="2"/>
      <c r="D507" s="2"/>
      <c r="E507" s="2"/>
      <c r="F507" s="2"/>
      <c r="U507" s="2"/>
    </row>
    <row r="508" spans="1:21">
      <c r="A508" s="2"/>
      <c r="B508" s="2"/>
      <c r="C508" s="2"/>
      <c r="D508" s="2"/>
      <c r="E508" s="2"/>
      <c r="F508" s="2"/>
      <c r="U508" s="2"/>
    </row>
    <row r="509" spans="1:21">
      <c r="A509" s="2"/>
      <c r="B509" s="2"/>
      <c r="C509" s="2"/>
      <c r="D509" s="2"/>
      <c r="E509" s="2"/>
      <c r="F509" s="2"/>
      <c r="U509" s="2"/>
    </row>
    <row r="510" spans="1:21">
      <c r="A510" s="2"/>
      <c r="B510" s="2"/>
      <c r="C510" s="2"/>
      <c r="D510" s="2"/>
      <c r="E510" s="2"/>
      <c r="F510" s="2"/>
      <c r="U510" s="2"/>
    </row>
    <row r="511" spans="1:21">
      <c r="A511" s="2"/>
      <c r="B511" s="2"/>
      <c r="C511" s="2"/>
      <c r="D511" s="2"/>
      <c r="E511" s="2"/>
      <c r="F511" s="2"/>
      <c r="U511" s="2"/>
    </row>
    <row r="512" spans="1:21">
      <c r="A512" s="2"/>
      <c r="B512" s="2"/>
      <c r="C512" s="2"/>
      <c r="D512" s="2"/>
      <c r="E512" s="2"/>
      <c r="F512" s="2"/>
      <c r="U512" s="2"/>
    </row>
    <row r="513" spans="1:21">
      <c r="A513" s="2"/>
      <c r="B513" s="2"/>
      <c r="C513" s="2"/>
      <c r="D513" s="2"/>
      <c r="E513" s="2"/>
      <c r="F513" s="2"/>
      <c r="U513" s="2"/>
    </row>
    <row r="514" spans="1:21">
      <c r="A514" s="2"/>
      <c r="B514" s="2"/>
      <c r="C514" s="2"/>
      <c r="D514" s="2"/>
      <c r="E514" s="2"/>
      <c r="F514" s="2"/>
      <c r="U514" s="2"/>
    </row>
    <row r="515" spans="1:21">
      <c r="A515" s="2"/>
      <c r="B515" s="2"/>
      <c r="C515" s="2"/>
      <c r="D515" s="2"/>
      <c r="E515" s="2"/>
      <c r="F515" s="2"/>
      <c r="U515" s="2"/>
    </row>
    <row r="516" spans="1:21">
      <c r="A516" s="2"/>
      <c r="B516" s="2"/>
      <c r="C516" s="2"/>
      <c r="D516" s="2"/>
      <c r="E516" s="2"/>
      <c r="F516" s="2"/>
      <c r="U516" s="2"/>
    </row>
    <row r="517" spans="1:21">
      <c r="A517" s="2"/>
      <c r="B517" s="2"/>
      <c r="C517" s="2"/>
      <c r="D517" s="2"/>
      <c r="E517" s="2"/>
      <c r="F517" s="2"/>
      <c r="U517" s="2"/>
    </row>
    <row r="518" spans="1:21">
      <c r="A518" s="2"/>
      <c r="B518" s="2"/>
      <c r="C518" s="2"/>
      <c r="D518" s="2"/>
      <c r="E518" s="2"/>
      <c r="F518" s="2"/>
      <c r="U518" s="2"/>
    </row>
    <row r="519" spans="1:21">
      <c r="A519" s="2"/>
      <c r="B519" s="2"/>
      <c r="C519" s="2"/>
      <c r="D519" s="2"/>
      <c r="E519" s="2"/>
      <c r="F519" s="2"/>
      <c r="U519" s="2"/>
    </row>
    <row r="520" spans="1:21">
      <c r="A520" s="2"/>
      <c r="B520" s="2"/>
      <c r="C520" s="2"/>
      <c r="D520" s="2"/>
      <c r="E520" s="2"/>
      <c r="F520" s="2"/>
      <c r="U520" s="2"/>
    </row>
    <row r="521" spans="1:21">
      <c r="A521" s="2"/>
      <c r="B521" s="2"/>
      <c r="C521" s="2"/>
      <c r="D521" s="2"/>
      <c r="E521" s="2"/>
      <c r="F521" s="2"/>
      <c r="U521" s="2"/>
    </row>
    <row r="522" spans="1:21">
      <c r="A522" s="2"/>
      <c r="B522" s="2"/>
      <c r="C522" s="2"/>
      <c r="D522" s="2"/>
      <c r="E522" s="2"/>
      <c r="F522" s="2"/>
      <c r="U522" s="2"/>
    </row>
    <row r="523" spans="1:21">
      <c r="A523" s="2"/>
      <c r="B523" s="2"/>
      <c r="C523" s="2"/>
      <c r="D523" s="2"/>
      <c r="E523" s="2"/>
      <c r="F523" s="2"/>
      <c r="U523" s="2"/>
    </row>
    <row r="524" spans="1:21">
      <c r="A524" s="2"/>
      <c r="B524" s="2"/>
      <c r="C524" s="2"/>
      <c r="D524" s="2"/>
      <c r="E524" s="2"/>
      <c r="F524" s="2"/>
      <c r="U524" s="2"/>
    </row>
    <row r="525" spans="1:21">
      <c r="A525" s="2"/>
      <c r="B525" s="2"/>
      <c r="C525" s="2"/>
      <c r="D525" s="2"/>
      <c r="E525" s="2"/>
      <c r="F525" s="2"/>
      <c r="U525" s="2"/>
    </row>
    <row r="526" spans="1:21">
      <c r="A526" s="2"/>
      <c r="B526" s="2"/>
      <c r="C526" s="2"/>
      <c r="D526" s="2"/>
      <c r="E526" s="2"/>
      <c r="F526" s="2"/>
      <c r="U526" s="2"/>
    </row>
    <row r="527" spans="1:21">
      <c r="A527" s="2"/>
      <c r="B527" s="2"/>
      <c r="C527" s="2"/>
      <c r="D527" s="2"/>
      <c r="E527" s="2"/>
      <c r="F527" s="2"/>
      <c r="U527" s="2"/>
    </row>
    <row r="528" spans="1:21">
      <c r="A528" s="2"/>
      <c r="B528" s="2"/>
      <c r="C528" s="2"/>
      <c r="D528" s="2"/>
      <c r="E528" s="2"/>
      <c r="F528" s="2"/>
      <c r="U528" s="2"/>
    </row>
    <row r="529" spans="1:21">
      <c r="A529" s="2"/>
      <c r="B529" s="2"/>
      <c r="C529" s="2"/>
      <c r="D529" s="2"/>
      <c r="E529" s="2"/>
      <c r="F529" s="2"/>
      <c r="U529" s="2"/>
    </row>
    <row r="530" spans="1:21">
      <c r="A530" s="2"/>
      <c r="B530" s="2"/>
      <c r="C530" s="2"/>
      <c r="D530" s="2"/>
      <c r="E530" s="2"/>
      <c r="F530" s="2"/>
      <c r="U530" s="2"/>
    </row>
    <row r="531" spans="1:21">
      <c r="A531" s="2"/>
      <c r="B531" s="2"/>
      <c r="C531" s="2"/>
      <c r="D531" s="2"/>
      <c r="E531" s="2"/>
      <c r="F531" s="2"/>
      <c r="U531" s="2"/>
    </row>
    <row r="532" spans="1:21">
      <c r="A532" s="2"/>
      <c r="B532" s="2"/>
      <c r="C532" s="2"/>
      <c r="D532" s="2"/>
      <c r="E532" s="2"/>
      <c r="F532" s="2"/>
      <c r="U532" s="2"/>
    </row>
    <row r="533" spans="1:21">
      <c r="A533" s="2"/>
      <c r="B533" s="2"/>
      <c r="C533" s="2"/>
      <c r="D533" s="2"/>
      <c r="E533" s="2"/>
      <c r="F533" s="2"/>
      <c r="U533" s="2"/>
    </row>
    <row r="534" spans="1:21">
      <c r="A534" s="2"/>
      <c r="B534" s="2"/>
      <c r="C534" s="2"/>
      <c r="D534" s="2"/>
      <c r="E534" s="2"/>
      <c r="F534" s="2"/>
      <c r="U534" s="2"/>
    </row>
    <row r="535" spans="1:21">
      <c r="A535" s="2"/>
      <c r="B535" s="2"/>
      <c r="C535" s="2"/>
      <c r="D535" s="2"/>
      <c r="E535" s="2"/>
      <c r="F535" s="2"/>
      <c r="U535" s="2"/>
    </row>
    <row r="536" spans="1:21">
      <c r="A536" s="2"/>
      <c r="B536" s="2"/>
      <c r="C536" s="2"/>
      <c r="D536" s="2"/>
      <c r="E536" s="2"/>
      <c r="F536" s="2"/>
      <c r="U536" s="2"/>
    </row>
    <row r="537" spans="1:21">
      <c r="A537" s="2"/>
      <c r="B537" s="2"/>
      <c r="C537" s="2"/>
      <c r="D537" s="2"/>
      <c r="E537" s="2"/>
      <c r="F537" s="2"/>
      <c r="U537" s="2"/>
    </row>
    <row r="538" spans="1:21">
      <c r="A538" s="2"/>
      <c r="B538" s="2"/>
      <c r="C538" s="2"/>
      <c r="D538" s="2"/>
      <c r="E538" s="2"/>
      <c r="F538" s="2"/>
      <c r="U538" s="2"/>
    </row>
    <row r="539" spans="1:21">
      <c r="A539" s="2"/>
      <c r="B539" s="2"/>
      <c r="C539" s="2"/>
      <c r="D539" s="2"/>
      <c r="E539" s="2"/>
      <c r="F539" s="2"/>
      <c r="U539" s="2"/>
    </row>
    <row r="540" spans="1:21">
      <c r="A540" s="2"/>
      <c r="B540" s="2"/>
      <c r="C540" s="2"/>
      <c r="D540" s="2"/>
      <c r="E540" s="2"/>
      <c r="F540" s="2"/>
      <c r="U540" s="2"/>
    </row>
    <row r="541" spans="1:21">
      <c r="A541" s="2"/>
      <c r="B541" s="2"/>
      <c r="C541" s="2"/>
      <c r="D541" s="2"/>
      <c r="E541" s="2"/>
      <c r="F541" s="2"/>
      <c r="U541" s="2"/>
    </row>
    <row r="542" spans="1:21">
      <c r="A542" s="2"/>
      <c r="B542" s="2"/>
      <c r="C542" s="2"/>
      <c r="D542" s="2"/>
      <c r="E542" s="2"/>
      <c r="F542" s="2"/>
      <c r="U542" s="2"/>
    </row>
    <row r="543" spans="1:21">
      <c r="A543" s="2"/>
      <c r="B543" s="2"/>
      <c r="C543" s="2"/>
      <c r="D543" s="2"/>
      <c r="E543" s="2"/>
      <c r="F543" s="2"/>
      <c r="U543" s="2"/>
    </row>
    <row r="544" spans="1:21">
      <c r="A544" s="2"/>
      <c r="B544" s="2"/>
      <c r="C544" s="2"/>
      <c r="D544" s="2"/>
      <c r="E544" s="2"/>
      <c r="F544" s="2"/>
      <c r="U544" s="2"/>
    </row>
    <row r="545" spans="1:21">
      <c r="A545" s="2"/>
      <c r="B545" s="2"/>
      <c r="C545" s="2"/>
      <c r="D545" s="2"/>
      <c r="E545" s="2"/>
      <c r="F545" s="2"/>
      <c r="U545" s="2"/>
    </row>
    <row r="546" spans="1:21">
      <c r="A546" s="2"/>
      <c r="B546" s="2"/>
      <c r="C546" s="2"/>
      <c r="D546" s="2"/>
      <c r="E546" s="2"/>
      <c r="F546" s="2"/>
      <c r="U546" s="2"/>
    </row>
    <row r="547" spans="1:21">
      <c r="A547" s="2"/>
      <c r="B547" s="2"/>
      <c r="C547" s="2"/>
      <c r="D547" s="2"/>
      <c r="E547" s="2"/>
      <c r="F547" s="2"/>
      <c r="U547" s="2"/>
    </row>
    <row r="548" spans="1:21">
      <c r="A548" s="2"/>
      <c r="B548" s="2"/>
      <c r="C548" s="2"/>
      <c r="D548" s="2"/>
      <c r="E548" s="2"/>
      <c r="F548" s="2"/>
      <c r="U548" s="2"/>
    </row>
    <row r="549" spans="1:21">
      <c r="A549" s="2"/>
      <c r="B549" s="2"/>
      <c r="C549" s="2"/>
      <c r="D549" s="2"/>
      <c r="E549" s="2"/>
      <c r="F549" s="2"/>
      <c r="U549" s="2"/>
    </row>
    <row r="550" spans="1:21">
      <c r="A550" s="2"/>
      <c r="B550" s="2"/>
      <c r="C550" s="2"/>
      <c r="D550" s="2"/>
      <c r="E550" s="2"/>
      <c r="F550" s="2"/>
      <c r="U550" s="2"/>
    </row>
    <row r="551" spans="1:21">
      <c r="A551" s="2"/>
      <c r="B551" s="2"/>
      <c r="C551" s="2"/>
      <c r="D551" s="2"/>
      <c r="E551" s="2"/>
      <c r="F551" s="2"/>
      <c r="U551" s="2"/>
    </row>
    <row r="552" spans="1:21">
      <c r="A552" s="2"/>
      <c r="B552" s="2"/>
      <c r="C552" s="2"/>
      <c r="D552" s="2"/>
      <c r="E552" s="2"/>
      <c r="F552" s="2"/>
      <c r="U552" s="2"/>
    </row>
    <row r="553" spans="1:21">
      <c r="A553" s="2"/>
      <c r="B553" s="2"/>
      <c r="C553" s="2"/>
      <c r="D553" s="2"/>
      <c r="E553" s="2"/>
      <c r="F553" s="2"/>
      <c r="U553" s="2"/>
    </row>
    <row r="554" spans="1:21">
      <c r="A554" s="2"/>
      <c r="B554" s="2"/>
      <c r="C554" s="2"/>
      <c r="D554" s="2"/>
      <c r="E554" s="2"/>
      <c r="F554" s="2"/>
      <c r="U554" s="2"/>
    </row>
    <row r="555" spans="1:21">
      <c r="A555" s="2"/>
      <c r="B555" s="2"/>
      <c r="C555" s="2"/>
      <c r="D555" s="2"/>
      <c r="E555" s="2"/>
      <c r="F555" s="2"/>
      <c r="U555" s="2"/>
    </row>
    <row r="556" spans="1:21">
      <c r="A556" s="2"/>
      <c r="B556" s="2"/>
      <c r="C556" s="2"/>
      <c r="D556" s="2"/>
      <c r="E556" s="2"/>
      <c r="F556" s="2"/>
      <c r="U556" s="2"/>
    </row>
    <row r="557" spans="1:21">
      <c r="A557" s="2"/>
      <c r="B557" s="2"/>
      <c r="C557" s="2"/>
      <c r="D557" s="2"/>
      <c r="E557" s="2"/>
      <c r="F557" s="2"/>
      <c r="U557" s="2"/>
    </row>
    <row r="558" spans="1:21">
      <c r="A558" s="2"/>
      <c r="B558" s="2"/>
      <c r="C558" s="2"/>
      <c r="D558" s="2"/>
      <c r="E558" s="2"/>
      <c r="F558" s="2"/>
      <c r="U558" s="2"/>
    </row>
    <row r="559" spans="1:21">
      <c r="A559" s="2"/>
      <c r="B559" s="2"/>
      <c r="C559" s="2"/>
      <c r="D559" s="2"/>
      <c r="E559" s="2"/>
      <c r="F559" s="2"/>
      <c r="U559" s="2"/>
    </row>
    <row r="560" spans="1:21">
      <c r="A560" s="2"/>
      <c r="B560" s="2"/>
      <c r="C560" s="2"/>
      <c r="D560" s="2"/>
      <c r="E560" s="2"/>
      <c r="F560" s="2"/>
      <c r="U560" s="2"/>
    </row>
    <row r="561" spans="1:21">
      <c r="A561" s="2"/>
      <c r="B561" s="2"/>
      <c r="C561" s="2"/>
      <c r="D561" s="2"/>
      <c r="E561" s="2"/>
      <c r="F561" s="2"/>
      <c r="U561" s="2"/>
    </row>
    <row r="562" spans="1:21">
      <c r="A562" s="2"/>
      <c r="B562" s="2"/>
      <c r="C562" s="2"/>
      <c r="D562" s="2"/>
      <c r="E562" s="2"/>
      <c r="F562" s="2"/>
      <c r="U562" s="2"/>
    </row>
    <row r="563" spans="1:21">
      <c r="A563" s="2"/>
      <c r="B563" s="2"/>
      <c r="C563" s="2"/>
      <c r="D563" s="2"/>
      <c r="E563" s="2"/>
      <c r="F563" s="2"/>
      <c r="U563" s="2"/>
    </row>
    <row r="564" spans="1:21">
      <c r="A564" s="2"/>
      <c r="B564" s="2"/>
      <c r="C564" s="2"/>
      <c r="D564" s="2"/>
      <c r="E564" s="2"/>
      <c r="F564" s="2"/>
      <c r="U564" s="2"/>
    </row>
    <row r="565" spans="1:21">
      <c r="A565" s="2"/>
      <c r="B565" s="2"/>
      <c r="C565" s="2"/>
      <c r="D565" s="2"/>
      <c r="E565" s="2"/>
      <c r="F565" s="2"/>
      <c r="U565" s="2"/>
    </row>
    <row r="566" spans="1:21">
      <c r="A566" s="2"/>
      <c r="B566" s="2"/>
      <c r="C566" s="2"/>
      <c r="D566" s="2"/>
      <c r="E566" s="2"/>
      <c r="F566" s="2"/>
      <c r="U566" s="2"/>
    </row>
    <row r="567" spans="1:21">
      <c r="A567" s="2"/>
      <c r="B567" s="2"/>
      <c r="C567" s="2"/>
      <c r="D567" s="2"/>
      <c r="E567" s="2"/>
      <c r="F567" s="2"/>
      <c r="U567" s="2"/>
    </row>
    <row r="568" spans="1:21">
      <c r="A568" s="2"/>
      <c r="B568" s="2"/>
      <c r="C568" s="2"/>
      <c r="D568" s="2"/>
      <c r="E568" s="2"/>
      <c r="F568" s="2"/>
      <c r="U568" s="2"/>
    </row>
    <row r="569" spans="1:21">
      <c r="A569" s="2"/>
      <c r="B569" s="2"/>
      <c r="C569" s="2"/>
      <c r="D569" s="2"/>
      <c r="E569" s="2"/>
      <c r="F569" s="2"/>
      <c r="U569" s="2"/>
    </row>
    <row r="570" spans="1:21">
      <c r="A570" s="2"/>
      <c r="B570" s="2"/>
      <c r="C570" s="2"/>
      <c r="D570" s="2"/>
      <c r="E570" s="2"/>
      <c r="F570" s="2"/>
      <c r="U570" s="2"/>
    </row>
    <row r="571" spans="1:21">
      <c r="A571" s="2"/>
      <c r="B571" s="2"/>
      <c r="C571" s="2"/>
      <c r="D571" s="2"/>
      <c r="E571" s="2"/>
      <c r="F571" s="2"/>
      <c r="U571" s="2"/>
    </row>
    <row r="572" spans="1:21">
      <c r="A572" s="2"/>
      <c r="B572" s="2"/>
      <c r="C572" s="2"/>
      <c r="D572" s="2"/>
      <c r="E572" s="2"/>
      <c r="F572" s="2"/>
      <c r="U572" s="2"/>
    </row>
    <row r="573" spans="1:21">
      <c r="A573" s="2"/>
      <c r="B573" s="2"/>
      <c r="C573" s="2"/>
      <c r="D573" s="2"/>
      <c r="E573" s="2"/>
      <c r="F573" s="2"/>
      <c r="U573" s="2"/>
    </row>
    <row r="574" spans="1:21">
      <c r="A574" s="2"/>
      <c r="B574" s="2"/>
      <c r="C574" s="2"/>
      <c r="D574" s="2"/>
      <c r="E574" s="2"/>
      <c r="F574" s="2"/>
      <c r="U574" s="2"/>
    </row>
    <row r="575" spans="1:21">
      <c r="A575" s="2"/>
      <c r="B575" s="2"/>
      <c r="C575" s="2"/>
      <c r="D575" s="2"/>
      <c r="E575" s="2"/>
      <c r="F575" s="2"/>
      <c r="U575" s="2"/>
    </row>
    <row r="576" spans="1:21">
      <c r="A576" s="2"/>
      <c r="B576" s="2"/>
      <c r="C576" s="2"/>
      <c r="D576" s="2"/>
      <c r="E576" s="2"/>
      <c r="F576" s="2"/>
      <c r="U576" s="2"/>
    </row>
    <row r="577" spans="1:21">
      <c r="A577" s="2"/>
      <c r="B577" s="2"/>
      <c r="C577" s="2"/>
      <c r="D577" s="2"/>
      <c r="E577" s="2"/>
      <c r="F577" s="2"/>
      <c r="U577" s="2"/>
    </row>
    <row r="578" spans="1:21">
      <c r="A578" s="2"/>
      <c r="B578" s="2"/>
      <c r="C578" s="2"/>
      <c r="D578" s="2"/>
      <c r="E578" s="2"/>
      <c r="F578" s="2"/>
      <c r="U578" s="2"/>
    </row>
    <row r="579" spans="1:21">
      <c r="A579" s="2"/>
      <c r="B579" s="2"/>
      <c r="C579" s="2"/>
      <c r="D579" s="2"/>
      <c r="E579" s="2"/>
      <c r="F579" s="2"/>
      <c r="U579" s="2"/>
    </row>
    <row r="580" spans="1:21">
      <c r="A580" s="2"/>
      <c r="B580" s="2"/>
      <c r="C580" s="2"/>
      <c r="D580" s="2"/>
      <c r="E580" s="2"/>
      <c r="F580" s="2"/>
      <c r="U580" s="2"/>
    </row>
    <row r="581" spans="1:21">
      <c r="A581" s="2"/>
      <c r="B581" s="2"/>
      <c r="C581" s="2"/>
      <c r="D581" s="2"/>
      <c r="E581" s="2"/>
      <c r="F581" s="2"/>
      <c r="U581" s="2"/>
    </row>
    <row r="582" spans="1:21">
      <c r="A582" s="2"/>
      <c r="B582" s="2"/>
      <c r="C582" s="2"/>
      <c r="D582" s="2"/>
      <c r="E582" s="2"/>
      <c r="F582" s="2"/>
      <c r="U582" s="2"/>
    </row>
    <row r="583" spans="1:21">
      <c r="A583" s="2"/>
      <c r="B583" s="2"/>
      <c r="C583" s="2"/>
      <c r="D583" s="2"/>
      <c r="E583" s="2"/>
      <c r="F583" s="2"/>
      <c r="U583" s="2"/>
    </row>
    <row r="584" spans="1:21">
      <c r="A584" s="2"/>
      <c r="B584" s="2"/>
      <c r="C584" s="2"/>
      <c r="D584" s="2"/>
      <c r="E584" s="2"/>
      <c r="F584" s="2"/>
      <c r="U584" s="2"/>
    </row>
    <row r="585" spans="1:21">
      <c r="A585" s="2"/>
      <c r="B585" s="2"/>
      <c r="C585" s="2"/>
      <c r="D585" s="2"/>
      <c r="E585" s="2"/>
      <c r="F585" s="2"/>
      <c r="U585" s="2"/>
    </row>
    <row r="586" spans="1:21">
      <c r="A586" s="2"/>
      <c r="B586" s="2"/>
      <c r="C586" s="2"/>
      <c r="D586" s="2"/>
      <c r="E586" s="2"/>
      <c r="F586" s="2"/>
      <c r="U586" s="2"/>
    </row>
    <row r="587" spans="1:21">
      <c r="A587" s="2"/>
      <c r="B587" s="2"/>
      <c r="C587" s="2"/>
      <c r="D587" s="2"/>
      <c r="E587" s="2"/>
      <c r="F587" s="2"/>
      <c r="U587" s="2"/>
    </row>
    <row r="588" spans="1:21">
      <c r="A588" s="2"/>
      <c r="B588" s="2"/>
      <c r="C588" s="2"/>
      <c r="D588" s="2"/>
      <c r="E588" s="2"/>
      <c r="F588" s="2"/>
      <c r="U588" s="2"/>
    </row>
    <row r="589" spans="1:21">
      <c r="A589" s="2"/>
      <c r="B589" s="2"/>
      <c r="C589" s="2"/>
      <c r="D589" s="2"/>
      <c r="E589" s="2"/>
      <c r="F589" s="2"/>
      <c r="U589" s="2"/>
    </row>
    <row r="590" spans="1:21">
      <c r="A590" s="2"/>
      <c r="B590" s="2"/>
      <c r="C590" s="2"/>
      <c r="D590" s="2"/>
      <c r="E590" s="2"/>
      <c r="F590" s="2"/>
      <c r="U590" s="2"/>
    </row>
    <row r="591" spans="1:21">
      <c r="A591" s="2"/>
      <c r="B591" s="2"/>
      <c r="C591" s="2"/>
      <c r="D591" s="2"/>
      <c r="E591" s="2"/>
      <c r="F591" s="2"/>
      <c r="U591" s="2"/>
    </row>
    <row r="592" spans="1:21">
      <c r="A592" s="2"/>
      <c r="B592" s="2"/>
      <c r="C592" s="2"/>
      <c r="D592" s="2"/>
      <c r="E592" s="2"/>
      <c r="F592" s="2"/>
      <c r="U592" s="2"/>
    </row>
    <row r="593" spans="1:21">
      <c r="A593" s="2"/>
      <c r="B593" s="2"/>
      <c r="C593" s="2"/>
      <c r="D593" s="2"/>
      <c r="E593" s="2"/>
      <c r="F593" s="2"/>
      <c r="U593" s="2"/>
    </row>
    <row r="594" spans="1:21">
      <c r="A594" s="2"/>
      <c r="B594" s="2"/>
      <c r="C594" s="2"/>
      <c r="D594" s="2"/>
      <c r="E594" s="2"/>
      <c r="F594" s="2"/>
      <c r="U594" s="2"/>
    </row>
    <row r="595" spans="1:21">
      <c r="A595" s="2"/>
      <c r="B595" s="2"/>
      <c r="C595" s="2"/>
      <c r="D595" s="2"/>
      <c r="E595" s="2"/>
      <c r="F595" s="2"/>
      <c r="U595" s="2"/>
    </row>
    <row r="596" spans="1:21">
      <c r="A596" s="2"/>
      <c r="B596" s="2"/>
      <c r="C596" s="2"/>
      <c r="D596" s="2"/>
      <c r="E596" s="2"/>
      <c r="F596" s="2"/>
      <c r="U596" s="2"/>
    </row>
    <row r="597" spans="1:21">
      <c r="A597" s="2"/>
      <c r="B597" s="2"/>
      <c r="C597" s="2"/>
      <c r="D597" s="2"/>
      <c r="E597" s="2"/>
      <c r="F597" s="2"/>
      <c r="U597" s="2"/>
    </row>
    <row r="598" spans="1:21">
      <c r="A598" s="2"/>
      <c r="B598" s="2"/>
      <c r="C598" s="2"/>
      <c r="D598" s="2"/>
      <c r="E598" s="2"/>
      <c r="F598" s="2"/>
      <c r="U598" s="2"/>
    </row>
    <row r="599" spans="1:21">
      <c r="A599" s="2"/>
      <c r="B599" s="2"/>
      <c r="C599" s="2"/>
      <c r="D599" s="2"/>
      <c r="E599" s="2"/>
      <c r="F599" s="2"/>
      <c r="U599" s="2"/>
    </row>
    <row r="600" spans="1:21">
      <c r="A600" s="2"/>
      <c r="B600" s="2"/>
      <c r="C600" s="2"/>
      <c r="D600" s="2"/>
      <c r="E600" s="2"/>
      <c r="F600" s="2"/>
      <c r="U600" s="2"/>
    </row>
    <row r="601" spans="1:21">
      <c r="A601" s="2"/>
      <c r="B601" s="2"/>
      <c r="C601" s="2"/>
      <c r="D601" s="2"/>
      <c r="E601" s="2"/>
      <c r="F601" s="2"/>
      <c r="U601" s="2"/>
    </row>
    <row r="602" spans="1:21">
      <c r="A602" s="2"/>
      <c r="B602" s="2"/>
      <c r="C602" s="2"/>
      <c r="D602" s="2"/>
      <c r="E602" s="2"/>
      <c r="F602" s="2"/>
      <c r="U602" s="2"/>
    </row>
    <row r="603" spans="1:21">
      <c r="A603" s="2"/>
      <c r="B603" s="2"/>
      <c r="C603" s="2"/>
      <c r="D603" s="2"/>
      <c r="E603" s="2"/>
      <c r="F603" s="2"/>
      <c r="U603" s="2"/>
    </row>
    <row r="604" spans="1:21">
      <c r="A604" s="2"/>
      <c r="B604" s="2"/>
      <c r="C604" s="2"/>
      <c r="D604" s="2"/>
      <c r="E604" s="2"/>
      <c r="F604" s="2"/>
      <c r="U604" s="2"/>
    </row>
    <row r="605" spans="1:21">
      <c r="A605" s="2"/>
      <c r="B605" s="2"/>
      <c r="C605" s="2"/>
      <c r="D605" s="2"/>
      <c r="E605" s="2"/>
      <c r="F605" s="2"/>
      <c r="U605" s="2"/>
    </row>
    <row r="606" spans="1:21">
      <c r="A606" s="2"/>
      <c r="B606" s="2"/>
      <c r="C606" s="2"/>
      <c r="D606" s="2"/>
      <c r="E606" s="2"/>
      <c r="F606" s="2"/>
      <c r="U606" s="2"/>
    </row>
    <row r="607" spans="1:21">
      <c r="A607" s="2"/>
      <c r="B607" s="2"/>
      <c r="C607" s="2"/>
      <c r="D607" s="2"/>
      <c r="E607" s="2"/>
      <c r="F607" s="2"/>
      <c r="U607" s="2"/>
    </row>
    <row r="608" spans="1:21">
      <c r="A608" s="2"/>
      <c r="B608" s="2"/>
      <c r="C608" s="2"/>
      <c r="D608" s="2"/>
      <c r="E608" s="2"/>
      <c r="F608" s="2"/>
      <c r="U608" s="2"/>
    </row>
    <row r="609" spans="1:21">
      <c r="A609" s="2"/>
      <c r="B609" s="2"/>
      <c r="C609" s="2"/>
      <c r="D609" s="2"/>
      <c r="E609" s="2"/>
      <c r="F609" s="2"/>
      <c r="U609" s="2"/>
    </row>
    <row r="610" spans="1:21">
      <c r="A610" s="2"/>
      <c r="B610" s="2"/>
      <c r="C610" s="2"/>
      <c r="D610" s="2"/>
      <c r="E610" s="2"/>
      <c r="F610" s="2"/>
      <c r="U610" s="2"/>
    </row>
    <row r="611" spans="1:21">
      <c r="A611" s="2"/>
      <c r="B611" s="2"/>
      <c r="C611" s="2"/>
      <c r="D611" s="2"/>
      <c r="E611" s="2"/>
      <c r="F611" s="2"/>
      <c r="U611" s="2"/>
    </row>
    <row r="612" spans="1:21">
      <c r="A612" s="2"/>
      <c r="B612" s="2"/>
      <c r="C612" s="2"/>
      <c r="D612" s="2"/>
      <c r="E612" s="2"/>
      <c r="F612" s="2"/>
      <c r="U612" s="2"/>
    </row>
    <row r="613" spans="1:21">
      <c r="A613" s="2"/>
      <c r="B613" s="2"/>
      <c r="C613" s="2"/>
      <c r="D613" s="2"/>
      <c r="E613" s="2"/>
      <c r="F613" s="2"/>
      <c r="U613" s="2"/>
    </row>
    <row r="614" spans="1:21">
      <c r="A614" s="2"/>
      <c r="B614" s="2"/>
      <c r="C614" s="2"/>
      <c r="D614" s="2"/>
      <c r="E614" s="2"/>
      <c r="F614" s="2"/>
      <c r="U614" s="2"/>
    </row>
    <row r="615" spans="1:21">
      <c r="A615" s="2"/>
      <c r="B615" s="2"/>
      <c r="C615" s="2"/>
      <c r="D615" s="2"/>
      <c r="E615" s="2"/>
      <c r="F615" s="2"/>
      <c r="U615" s="2"/>
    </row>
    <row r="616" spans="1:21">
      <c r="A616" s="2"/>
      <c r="B616" s="2"/>
      <c r="C616" s="2"/>
      <c r="D616" s="2"/>
      <c r="E616" s="2"/>
      <c r="F616" s="2"/>
      <c r="U616" s="2"/>
    </row>
    <row r="617" spans="1:21">
      <c r="A617" s="2"/>
      <c r="B617" s="2"/>
      <c r="C617" s="2"/>
      <c r="D617" s="2"/>
      <c r="E617" s="2"/>
      <c r="F617" s="2"/>
      <c r="U617" s="2"/>
    </row>
    <row r="618" spans="1:21">
      <c r="A618" s="2"/>
      <c r="B618" s="2"/>
      <c r="C618" s="2"/>
      <c r="D618" s="2"/>
      <c r="E618" s="2"/>
      <c r="F618" s="2"/>
      <c r="U618" s="2"/>
    </row>
    <row r="619" spans="1:21">
      <c r="A619" s="2"/>
      <c r="B619" s="2"/>
      <c r="C619" s="2"/>
      <c r="D619" s="2"/>
      <c r="E619" s="2"/>
      <c r="F619" s="2"/>
      <c r="U619" s="2"/>
    </row>
    <row r="620" spans="1:21">
      <c r="A620" s="2"/>
      <c r="B620" s="2"/>
      <c r="C620" s="2"/>
      <c r="D620" s="2"/>
      <c r="E620" s="2"/>
      <c r="F620" s="2"/>
      <c r="U620" s="2"/>
    </row>
    <row r="621" spans="1:21">
      <c r="A621" s="2"/>
      <c r="B621" s="2"/>
      <c r="C621" s="2"/>
      <c r="D621" s="2"/>
      <c r="E621" s="2"/>
      <c r="F621" s="2"/>
      <c r="U621" s="2"/>
    </row>
    <row r="622" spans="1:21">
      <c r="A622" s="2"/>
      <c r="B622" s="2"/>
      <c r="C622" s="2"/>
      <c r="D622" s="2"/>
      <c r="E622" s="2"/>
      <c r="F622" s="2"/>
      <c r="U622" s="2"/>
    </row>
    <row r="623" spans="1:21">
      <c r="A623" s="2"/>
      <c r="B623" s="2"/>
      <c r="C623" s="2"/>
      <c r="D623" s="2"/>
      <c r="E623" s="2"/>
      <c r="F623" s="2"/>
      <c r="U623" s="2"/>
    </row>
    <row r="624" spans="1:21">
      <c r="A624" s="2"/>
      <c r="B624" s="2"/>
      <c r="C624" s="2"/>
      <c r="D624" s="2"/>
      <c r="E624" s="2"/>
      <c r="F624" s="2"/>
      <c r="U624" s="2"/>
    </row>
    <row r="625" spans="1:21">
      <c r="A625" s="2"/>
      <c r="B625" s="2"/>
      <c r="C625" s="2"/>
      <c r="D625" s="2"/>
      <c r="E625" s="2"/>
      <c r="F625" s="2"/>
      <c r="U625" s="2"/>
    </row>
    <row r="626" spans="1:21">
      <c r="A626" s="2"/>
      <c r="B626" s="2"/>
      <c r="C626" s="2"/>
      <c r="D626" s="2"/>
      <c r="E626" s="2"/>
      <c r="F626" s="2"/>
      <c r="U626" s="2"/>
    </row>
    <row r="627" spans="1:21">
      <c r="A627" s="2"/>
      <c r="B627" s="2"/>
      <c r="C627" s="2"/>
      <c r="D627" s="2"/>
      <c r="E627" s="2"/>
      <c r="F627" s="2"/>
      <c r="U627" s="2"/>
    </row>
    <row r="628" spans="1:21">
      <c r="A628" s="2"/>
      <c r="B628" s="2"/>
      <c r="C628" s="2"/>
      <c r="D628" s="2"/>
      <c r="E628" s="2"/>
      <c r="F628" s="2"/>
      <c r="U628" s="2"/>
    </row>
    <row r="629" spans="1:21">
      <c r="A629" s="2"/>
      <c r="B629" s="2"/>
      <c r="C629" s="2"/>
      <c r="D629" s="2"/>
      <c r="E629" s="2"/>
      <c r="F629" s="2"/>
      <c r="U629" s="2"/>
    </row>
    <row r="630" spans="1:21">
      <c r="A630" s="2"/>
      <c r="B630" s="2"/>
      <c r="C630" s="2"/>
      <c r="D630" s="2"/>
      <c r="E630" s="2"/>
      <c r="F630" s="2"/>
      <c r="U630" s="2"/>
    </row>
    <row r="631" spans="1:21">
      <c r="A631" s="2"/>
      <c r="B631" s="2"/>
      <c r="C631" s="2"/>
      <c r="D631" s="2"/>
      <c r="E631" s="2"/>
      <c r="F631" s="2"/>
      <c r="U631" s="2"/>
    </row>
    <row r="632" spans="1:21">
      <c r="A632" s="2"/>
      <c r="B632" s="2"/>
      <c r="C632" s="2"/>
      <c r="D632" s="2"/>
      <c r="E632" s="2"/>
      <c r="F632" s="2"/>
      <c r="U632" s="2"/>
    </row>
    <row r="633" spans="1:21">
      <c r="A633" s="2"/>
      <c r="B633" s="2"/>
      <c r="C633" s="2"/>
      <c r="D633" s="2"/>
      <c r="E633" s="2"/>
      <c r="F633" s="2"/>
      <c r="U633" s="2"/>
    </row>
    <row r="634" spans="1:21">
      <c r="A634" s="2"/>
      <c r="B634" s="2"/>
      <c r="C634" s="2"/>
      <c r="D634" s="2"/>
      <c r="E634" s="2"/>
      <c r="F634" s="2"/>
      <c r="U634" s="2"/>
    </row>
    <row r="635" spans="1:21">
      <c r="A635" s="2"/>
      <c r="B635" s="2"/>
      <c r="C635" s="2"/>
      <c r="D635" s="2"/>
      <c r="E635" s="2"/>
      <c r="F635" s="2"/>
      <c r="U635" s="2"/>
    </row>
    <row r="636" spans="1:21">
      <c r="A636" s="2"/>
      <c r="B636" s="2"/>
      <c r="C636" s="2"/>
      <c r="D636" s="2"/>
      <c r="E636" s="2"/>
      <c r="F636" s="2"/>
      <c r="U636" s="2"/>
    </row>
    <row r="637" spans="1:21">
      <c r="A637" s="2"/>
      <c r="B637" s="2"/>
      <c r="C637" s="2"/>
      <c r="D637" s="2"/>
      <c r="E637" s="2"/>
      <c r="F637" s="2"/>
      <c r="U637" s="2"/>
    </row>
    <row r="638" spans="1:21">
      <c r="A638" s="2"/>
      <c r="B638" s="2"/>
      <c r="C638" s="2"/>
      <c r="D638" s="2"/>
      <c r="E638" s="2"/>
      <c r="F638" s="2"/>
      <c r="U638" s="2"/>
    </row>
    <row r="639" spans="1:21">
      <c r="A639" s="2"/>
      <c r="B639" s="2"/>
      <c r="C639" s="2"/>
      <c r="D639" s="2"/>
      <c r="E639" s="2"/>
      <c r="F639" s="2"/>
      <c r="U639" s="2"/>
    </row>
    <row r="640" spans="1:21">
      <c r="A640" s="2"/>
      <c r="B640" s="2"/>
      <c r="C640" s="2"/>
      <c r="D640" s="2"/>
      <c r="E640" s="2"/>
      <c r="F640" s="2"/>
      <c r="U640" s="2"/>
    </row>
    <row r="641" spans="1:21">
      <c r="A641" s="2"/>
      <c r="B641" s="2"/>
      <c r="C641" s="2"/>
      <c r="D641" s="2"/>
      <c r="E641" s="2"/>
      <c r="F641" s="2"/>
      <c r="U641" s="2"/>
    </row>
    <row r="642" spans="1:21">
      <c r="A642" s="2"/>
      <c r="B642" s="2"/>
      <c r="C642" s="2"/>
      <c r="D642" s="2"/>
      <c r="E642" s="2"/>
      <c r="F642" s="2"/>
      <c r="U642" s="2"/>
    </row>
    <row r="643" spans="1:21">
      <c r="A643" s="2"/>
      <c r="B643" s="2"/>
      <c r="C643" s="2"/>
      <c r="D643" s="2"/>
      <c r="E643" s="2"/>
      <c r="F643" s="2"/>
      <c r="U643" s="2"/>
    </row>
    <row r="644" spans="1:21">
      <c r="A644" s="2"/>
      <c r="B644" s="2"/>
      <c r="C644" s="2"/>
      <c r="D644" s="2"/>
      <c r="E644" s="2"/>
      <c r="F644" s="2"/>
      <c r="U644" s="2"/>
    </row>
    <row r="645" spans="1:21">
      <c r="A645" s="2"/>
      <c r="B645" s="2"/>
      <c r="C645" s="2"/>
      <c r="D645" s="2"/>
      <c r="E645" s="2"/>
      <c r="F645" s="2"/>
      <c r="U645" s="2"/>
    </row>
    <row r="646" spans="1:21">
      <c r="A646" s="2"/>
      <c r="B646" s="2"/>
      <c r="C646" s="2"/>
      <c r="D646" s="2"/>
      <c r="E646" s="2"/>
      <c r="F646" s="2"/>
      <c r="U646" s="2"/>
    </row>
    <row r="647" spans="1:21">
      <c r="A647" s="2"/>
      <c r="B647" s="2"/>
      <c r="C647" s="2"/>
      <c r="D647" s="2"/>
      <c r="E647" s="2"/>
      <c r="F647" s="2"/>
      <c r="U647" s="2"/>
    </row>
    <row r="648" spans="1:21">
      <c r="A648" s="2"/>
      <c r="B648" s="2"/>
      <c r="C648" s="2"/>
      <c r="D648" s="2"/>
      <c r="E648" s="2"/>
      <c r="F648" s="2"/>
      <c r="U648" s="2"/>
    </row>
    <row r="649" spans="1:21">
      <c r="A649" s="2"/>
      <c r="B649" s="2"/>
      <c r="C649" s="2"/>
      <c r="D649" s="2"/>
      <c r="E649" s="2"/>
      <c r="F649" s="2"/>
      <c r="U649" s="2"/>
    </row>
    <row r="650" spans="1:21">
      <c r="A650" s="2"/>
      <c r="B650" s="2"/>
      <c r="C650" s="2"/>
      <c r="D650" s="2"/>
      <c r="E650" s="2"/>
      <c r="F650" s="2"/>
      <c r="U650" s="2"/>
    </row>
    <row r="651" spans="1:21">
      <c r="A651" s="2"/>
      <c r="B651" s="2"/>
      <c r="C651" s="2"/>
      <c r="D651" s="2"/>
      <c r="E651" s="2"/>
      <c r="F651" s="2"/>
      <c r="U651" s="2"/>
    </row>
    <row r="652" spans="1:21">
      <c r="A652" s="2"/>
      <c r="B652" s="2"/>
      <c r="C652" s="2"/>
      <c r="D652" s="2"/>
      <c r="E652" s="2"/>
      <c r="F652" s="2"/>
      <c r="U652" s="2"/>
    </row>
    <row r="653" spans="1:21">
      <c r="A653" s="2"/>
      <c r="B653" s="2"/>
      <c r="C653" s="2"/>
      <c r="D653" s="2"/>
      <c r="E653" s="2"/>
      <c r="F653" s="2"/>
      <c r="U653" s="2"/>
    </row>
    <row r="654" spans="1:21">
      <c r="A654" s="2"/>
      <c r="B654" s="2"/>
      <c r="C654" s="2"/>
      <c r="D654" s="2"/>
      <c r="E654" s="2"/>
      <c r="F654" s="2"/>
      <c r="U654" s="2"/>
    </row>
    <row r="655" spans="1:21">
      <c r="A655" s="2"/>
      <c r="B655" s="2"/>
      <c r="C655" s="2"/>
      <c r="D655" s="2"/>
      <c r="E655" s="2"/>
      <c r="F655" s="2"/>
      <c r="U655" s="2"/>
    </row>
    <row r="656" spans="1:21">
      <c r="A656" s="2"/>
      <c r="B656" s="2"/>
      <c r="C656" s="2"/>
      <c r="D656" s="2"/>
      <c r="E656" s="2"/>
      <c r="F656" s="2"/>
      <c r="U656" s="2"/>
    </row>
    <row r="657" spans="1:21">
      <c r="A657" s="2"/>
      <c r="B657" s="2"/>
      <c r="C657" s="2"/>
      <c r="D657" s="2"/>
      <c r="E657" s="2"/>
      <c r="F657" s="2"/>
      <c r="U657" s="2"/>
    </row>
    <row r="658" spans="1:21">
      <c r="A658" s="2"/>
      <c r="B658" s="2"/>
      <c r="C658" s="2"/>
      <c r="D658" s="2"/>
      <c r="E658" s="2"/>
      <c r="F658" s="2"/>
      <c r="U658" s="2"/>
    </row>
    <row r="659" spans="1:21">
      <c r="A659" s="2"/>
      <c r="B659" s="2"/>
      <c r="C659" s="2"/>
      <c r="D659" s="2"/>
      <c r="E659" s="2"/>
      <c r="F659" s="2"/>
      <c r="U659" s="2"/>
    </row>
    <row r="660" spans="1:21">
      <c r="A660" s="2"/>
      <c r="B660" s="2"/>
      <c r="C660" s="2"/>
      <c r="D660" s="2"/>
      <c r="E660" s="2"/>
      <c r="F660" s="2"/>
      <c r="U660" s="2"/>
    </row>
    <row r="661" spans="1:21">
      <c r="A661" s="2"/>
      <c r="B661" s="2"/>
      <c r="C661" s="2"/>
      <c r="D661" s="2"/>
      <c r="E661" s="2"/>
      <c r="F661" s="2"/>
      <c r="U661" s="2"/>
    </row>
    <row r="662" spans="1:21">
      <c r="A662" s="2"/>
      <c r="B662" s="2"/>
      <c r="C662" s="2"/>
      <c r="D662" s="2"/>
      <c r="E662" s="2"/>
      <c r="F662" s="2"/>
      <c r="U662" s="2"/>
    </row>
    <row r="663" spans="1:21">
      <c r="A663" s="2"/>
      <c r="B663" s="2"/>
      <c r="C663" s="2"/>
      <c r="D663" s="2"/>
      <c r="E663" s="2"/>
      <c r="F663" s="2"/>
      <c r="U663" s="2"/>
    </row>
    <row r="664" spans="1:21">
      <c r="A664" s="2"/>
      <c r="B664" s="2"/>
      <c r="C664" s="2"/>
      <c r="D664" s="2"/>
      <c r="E664" s="2"/>
      <c r="F664" s="2"/>
      <c r="U664" s="2"/>
    </row>
    <row r="665" spans="1:21">
      <c r="A665" s="2"/>
      <c r="B665" s="2"/>
      <c r="C665" s="2"/>
      <c r="D665" s="2"/>
      <c r="E665" s="2"/>
      <c r="F665" s="2"/>
      <c r="U665" s="2"/>
    </row>
    <row r="666" spans="1:21">
      <c r="A666" s="2"/>
      <c r="B666" s="2"/>
      <c r="C666" s="2"/>
      <c r="D666" s="2"/>
      <c r="E666" s="2"/>
      <c r="F666" s="2"/>
      <c r="U666" s="2"/>
    </row>
    <row r="667" spans="1:21">
      <c r="A667" s="2"/>
      <c r="B667" s="2"/>
      <c r="C667" s="2"/>
      <c r="D667" s="2"/>
      <c r="E667" s="2"/>
      <c r="F667" s="2"/>
      <c r="U667" s="2"/>
    </row>
    <row r="668" spans="1:21">
      <c r="A668" s="2"/>
      <c r="B668" s="2"/>
      <c r="C668" s="2"/>
      <c r="D668" s="2"/>
      <c r="E668" s="2"/>
      <c r="F668" s="2"/>
      <c r="U668" s="2"/>
    </row>
    <row r="669" spans="1:21">
      <c r="A669" s="2"/>
      <c r="B669" s="2"/>
      <c r="C669" s="2"/>
      <c r="D669" s="2"/>
      <c r="E669" s="2"/>
      <c r="F669" s="2"/>
      <c r="U669" s="2"/>
    </row>
    <row r="670" spans="1:21">
      <c r="A670" s="2"/>
      <c r="B670" s="2"/>
      <c r="C670" s="2"/>
      <c r="D670" s="2"/>
      <c r="E670" s="2"/>
      <c r="F670" s="2"/>
      <c r="U670" s="2"/>
    </row>
    <row r="671" spans="1:21">
      <c r="A671" s="2"/>
      <c r="B671" s="2"/>
      <c r="C671" s="2"/>
      <c r="D671" s="2"/>
      <c r="E671" s="2"/>
      <c r="F671" s="2"/>
      <c r="U671" s="2"/>
    </row>
    <row r="672" spans="1:21">
      <c r="A672" s="2"/>
      <c r="B672" s="2"/>
      <c r="C672" s="2"/>
      <c r="D672" s="2"/>
      <c r="E672" s="2"/>
      <c r="F672" s="2"/>
      <c r="U672" s="2"/>
    </row>
    <row r="673" spans="1:21">
      <c r="A673" s="2"/>
      <c r="B673" s="2"/>
      <c r="C673" s="2"/>
      <c r="D673" s="2"/>
      <c r="E673" s="2"/>
      <c r="F673" s="2"/>
      <c r="U673" s="2"/>
    </row>
    <row r="674" spans="1:21">
      <c r="A674" s="2"/>
      <c r="B674" s="2"/>
      <c r="C674" s="2"/>
      <c r="D674" s="2"/>
      <c r="E674" s="2"/>
      <c r="F674" s="2"/>
      <c r="U674" s="2"/>
    </row>
    <row r="675" spans="1:21">
      <c r="A675" s="2"/>
      <c r="B675" s="2"/>
      <c r="C675" s="2"/>
      <c r="D675" s="2"/>
      <c r="E675" s="2"/>
      <c r="F675" s="2"/>
      <c r="U675" s="2"/>
    </row>
    <row r="676" spans="1:21">
      <c r="A676" s="2"/>
      <c r="B676" s="2"/>
      <c r="C676" s="2"/>
      <c r="D676" s="2"/>
      <c r="E676" s="2"/>
      <c r="F676" s="2"/>
      <c r="U676" s="2"/>
    </row>
    <row r="677" spans="1:21">
      <c r="A677" s="2"/>
      <c r="B677" s="2"/>
      <c r="C677" s="2"/>
      <c r="D677" s="2"/>
      <c r="E677" s="2"/>
      <c r="F677" s="2"/>
      <c r="U677" s="2"/>
    </row>
    <row r="678" spans="1:21">
      <c r="A678" s="2"/>
      <c r="B678" s="2"/>
      <c r="C678" s="2"/>
      <c r="D678" s="2"/>
      <c r="E678" s="2"/>
      <c r="F678" s="2"/>
      <c r="U678" s="2"/>
    </row>
    <row r="679" spans="1:21">
      <c r="A679" s="2"/>
      <c r="B679" s="2"/>
      <c r="C679" s="2"/>
      <c r="D679" s="2"/>
      <c r="E679" s="2"/>
      <c r="F679" s="2"/>
      <c r="U679" s="2"/>
    </row>
    <row r="680" spans="1:21">
      <c r="A680" s="2"/>
      <c r="B680" s="2"/>
      <c r="C680" s="2"/>
      <c r="D680" s="2"/>
      <c r="E680" s="2"/>
      <c r="F680" s="2"/>
      <c r="U680" s="2"/>
    </row>
    <row r="681" spans="1:21">
      <c r="A681" s="2"/>
      <c r="B681" s="2"/>
      <c r="C681" s="2"/>
      <c r="D681" s="2"/>
      <c r="E681" s="2"/>
      <c r="F681" s="2"/>
      <c r="U681" s="2"/>
    </row>
    <row r="682" spans="1:21">
      <c r="A682" s="2"/>
      <c r="B682" s="2"/>
      <c r="C682" s="2"/>
      <c r="D682" s="2"/>
      <c r="E682" s="2"/>
      <c r="F682" s="2"/>
      <c r="U682" s="2"/>
    </row>
    <row r="683" spans="1:21">
      <c r="A683" s="2"/>
      <c r="B683" s="2"/>
      <c r="C683" s="2"/>
      <c r="D683" s="2"/>
      <c r="E683" s="2"/>
      <c r="F683" s="2"/>
      <c r="U683" s="2"/>
    </row>
    <row r="684" spans="1:21">
      <c r="A684" s="2"/>
      <c r="B684" s="2"/>
      <c r="C684" s="2"/>
      <c r="D684" s="2"/>
      <c r="E684" s="2"/>
      <c r="F684" s="2"/>
      <c r="U684" s="2"/>
    </row>
    <row r="685" spans="1:21">
      <c r="A685" s="2"/>
      <c r="B685" s="2"/>
      <c r="C685" s="2"/>
      <c r="D685" s="2"/>
      <c r="E685" s="2"/>
      <c r="F685" s="2"/>
      <c r="U685" s="2"/>
    </row>
    <row r="686" spans="1:21">
      <c r="A686" s="2"/>
      <c r="B686" s="2"/>
      <c r="C686" s="2"/>
      <c r="D686" s="2"/>
      <c r="E686" s="2"/>
      <c r="F686" s="2"/>
      <c r="U686" s="2"/>
    </row>
    <row r="687" spans="1:21">
      <c r="A687" s="2"/>
      <c r="B687" s="2"/>
      <c r="C687" s="2"/>
      <c r="D687" s="2"/>
      <c r="E687" s="2"/>
      <c r="F687" s="2"/>
      <c r="U687" s="2"/>
    </row>
    <row r="688" spans="1:21">
      <c r="A688" s="2"/>
      <c r="B688" s="2"/>
      <c r="C688" s="2"/>
      <c r="D688" s="2"/>
      <c r="E688" s="2"/>
      <c r="F688" s="2"/>
      <c r="U688" s="2"/>
    </row>
    <row r="689" spans="1:21">
      <c r="A689" s="2"/>
      <c r="B689" s="2"/>
      <c r="C689" s="2"/>
      <c r="D689" s="2"/>
      <c r="E689" s="2"/>
      <c r="F689" s="2"/>
      <c r="U689" s="2"/>
    </row>
    <row r="690" spans="1:21">
      <c r="A690" s="2"/>
      <c r="B690" s="2"/>
      <c r="C690" s="2"/>
      <c r="D690" s="2"/>
      <c r="E690" s="2"/>
      <c r="F690" s="2"/>
      <c r="U690" s="2"/>
    </row>
    <row r="691" spans="1:21">
      <c r="A691" s="2"/>
      <c r="B691" s="2"/>
      <c r="C691" s="2"/>
      <c r="D691" s="2"/>
      <c r="E691" s="2"/>
      <c r="F691" s="2"/>
      <c r="U691" s="2"/>
    </row>
    <row r="692" spans="1:21">
      <c r="A692" s="2"/>
      <c r="B692" s="2"/>
      <c r="C692" s="2"/>
      <c r="D692" s="2"/>
      <c r="E692" s="2"/>
      <c r="F692" s="2"/>
      <c r="U692" s="2"/>
    </row>
    <row r="693" spans="1:21">
      <c r="A693" s="2"/>
      <c r="B693" s="2"/>
      <c r="C693" s="2"/>
      <c r="D693" s="2"/>
      <c r="E693" s="2"/>
      <c r="F693" s="2"/>
      <c r="U693" s="2"/>
    </row>
    <row r="694" spans="1:21">
      <c r="A694" s="2"/>
      <c r="B694" s="2"/>
      <c r="C694" s="2"/>
      <c r="D694" s="2"/>
      <c r="E694" s="2"/>
      <c r="F694" s="2"/>
      <c r="U694" s="2"/>
    </row>
    <row r="695" spans="1:21">
      <c r="A695" s="2"/>
      <c r="B695" s="2"/>
      <c r="C695" s="2"/>
      <c r="D695" s="2"/>
      <c r="E695" s="2"/>
      <c r="F695" s="2"/>
      <c r="U695" s="2"/>
    </row>
    <row r="696" spans="1:21">
      <c r="A696" s="2"/>
      <c r="B696" s="2"/>
      <c r="C696" s="2"/>
      <c r="D696" s="2"/>
      <c r="E696" s="2"/>
      <c r="F696" s="2"/>
      <c r="U696" s="2"/>
    </row>
    <row r="697" spans="1:21">
      <c r="A697" s="2"/>
      <c r="B697" s="2"/>
      <c r="C697" s="2"/>
      <c r="D697" s="2"/>
      <c r="E697" s="2"/>
      <c r="F697" s="2"/>
      <c r="U697" s="2"/>
    </row>
    <row r="698" spans="1:21">
      <c r="A698" s="2"/>
      <c r="B698" s="2"/>
      <c r="C698" s="2"/>
      <c r="D698" s="2"/>
      <c r="E698" s="2"/>
      <c r="F698" s="2"/>
      <c r="U698" s="2"/>
    </row>
    <row r="699" spans="1:21">
      <c r="A699" s="2"/>
      <c r="B699" s="2"/>
      <c r="C699" s="2"/>
      <c r="D699" s="2"/>
      <c r="E699" s="2"/>
      <c r="F699" s="2"/>
      <c r="U699" s="2"/>
    </row>
    <row r="700" spans="1:21">
      <c r="A700" s="2"/>
      <c r="B700" s="2"/>
      <c r="C700" s="2"/>
      <c r="D700" s="2"/>
      <c r="E700" s="2"/>
      <c r="F700" s="2"/>
      <c r="U700" s="2"/>
    </row>
    <row r="701" spans="1:21">
      <c r="A701" s="2"/>
      <c r="B701" s="2"/>
      <c r="C701" s="2"/>
      <c r="D701" s="2"/>
      <c r="E701" s="2"/>
      <c r="F701" s="2"/>
      <c r="U701" s="2"/>
    </row>
    <row r="702" spans="1:21">
      <c r="A702" s="2"/>
      <c r="B702" s="2"/>
      <c r="C702" s="2"/>
      <c r="D702" s="2"/>
      <c r="E702" s="2"/>
      <c r="F702" s="2"/>
      <c r="U702" s="2"/>
    </row>
    <row r="703" spans="1:21">
      <c r="A703" s="2"/>
      <c r="B703" s="2"/>
      <c r="C703" s="2"/>
      <c r="D703" s="2"/>
      <c r="E703" s="2"/>
      <c r="F703" s="2"/>
      <c r="U703" s="2"/>
    </row>
    <row r="704" spans="1:21">
      <c r="A704" s="2"/>
      <c r="B704" s="2"/>
      <c r="C704" s="2"/>
      <c r="D704" s="2"/>
      <c r="E704" s="2"/>
      <c r="F704" s="2"/>
      <c r="U704" s="2"/>
    </row>
    <row r="705" spans="1:21">
      <c r="A705" s="2"/>
      <c r="B705" s="2"/>
      <c r="C705" s="2"/>
      <c r="D705" s="2"/>
      <c r="E705" s="2"/>
      <c r="F705" s="2"/>
      <c r="U705" s="2"/>
    </row>
    <row r="706" spans="1:21">
      <c r="A706" s="2"/>
      <c r="B706" s="2"/>
      <c r="C706" s="2"/>
      <c r="D706" s="2"/>
      <c r="E706" s="2"/>
      <c r="F706" s="2"/>
      <c r="U706" s="2"/>
    </row>
    <row r="707" spans="1:21">
      <c r="A707" s="2"/>
      <c r="B707" s="2"/>
      <c r="C707" s="2"/>
      <c r="D707" s="2"/>
      <c r="E707" s="2"/>
      <c r="F707" s="2"/>
      <c r="U707" s="2"/>
    </row>
    <row r="708" spans="1:21">
      <c r="A708" s="2"/>
      <c r="B708" s="2"/>
      <c r="C708" s="2"/>
      <c r="D708" s="2"/>
      <c r="E708" s="2"/>
      <c r="F708" s="2"/>
      <c r="U708" s="2"/>
    </row>
    <row r="709" spans="1:21">
      <c r="A709" s="2"/>
      <c r="B709" s="2"/>
      <c r="C709" s="2"/>
      <c r="D709" s="2"/>
      <c r="E709" s="2"/>
      <c r="F709" s="2"/>
      <c r="U709" s="2"/>
    </row>
    <row r="710" spans="1:21">
      <c r="A710" s="2"/>
      <c r="B710" s="2"/>
      <c r="C710" s="2"/>
      <c r="D710" s="2"/>
      <c r="E710" s="2"/>
      <c r="F710" s="2"/>
      <c r="U710" s="2"/>
    </row>
    <row r="711" spans="1:21">
      <c r="A711" s="2"/>
      <c r="B711" s="2"/>
      <c r="C711" s="2"/>
      <c r="D711" s="2"/>
      <c r="E711" s="2"/>
      <c r="F711" s="2"/>
      <c r="U711" s="2"/>
    </row>
    <row r="712" spans="1:21">
      <c r="A712" s="2"/>
      <c r="B712" s="2"/>
      <c r="C712" s="2"/>
      <c r="D712" s="2"/>
      <c r="E712" s="2"/>
      <c r="F712" s="2"/>
      <c r="U712" s="2"/>
    </row>
    <row r="713" spans="1:21">
      <c r="A713" s="2"/>
      <c r="B713" s="2"/>
      <c r="C713" s="2"/>
      <c r="D713" s="2"/>
      <c r="E713" s="2"/>
      <c r="F713" s="2"/>
      <c r="U713" s="2"/>
    </row>
    <row r="714" spans="1:21">
      <c r="A714" s="2"/>
      <c r="B714" s="2"/>
      <c r="C714" s="2"/>
      <c r="D714" s="2"/>
      <c r="E714" s="2"/>
      <c r="F714" s="2"/>
      <c r="U714" s="2"/>
    </row>
    <row r="715" spans="1:21">
      <c r="A715" s="2"/>
      <c r="B715" s="2"/>
      <c r="C715" s="2"/>
      <c r="D715" s="2"/>
      <c r="E715" s="2"/>
      <c r="F715" s="2"/>
      <c r="U715" s="2"/>
    </row>
    <row r="716" spans="1:21">
      <c r="A716" s="2"/>
      <c r="B716" s="2"/>
      <c r="C716" s="2"/>
      <c r="D716" s="2"/>
      <c r="E716" s="2"/>
      <c r="F716" s="2"/>
      <c r="U716" s="2"/>
    </row>
    <row r="717" spans="1:21">
      <c r="A717" s="2"/>
      <c r="B717" s="2"/>
      <c r="C717" s="2"/>
      <c r="D717" s="2"/>
      <c r="E717" s="2"/>
      <c r="F717" s="2"/>
      <c r="U717" s="2"/>
    </row>
    <row r="718" spans="1:21">
      <c r="A718" s="2"/>
      <c r="B718" s="2"/>
      <c r="C718" s="2"/>
      <c r="D718" s="2"/>
      <c r="E718" s="2"/>
      <c r="F718" s="2"/>
      <c r="U718" s="2"/>
    </row>
    <row r="719" spans="1:21">
      <c r="A719" s="2"/>
      <c r="B719" s="2"/>
      <c r="C719" s="2"/>
      <c r="D719" s="2"/>
      <c r="E719" s="2"/>
      <c r="F719" s="2"/>
      <c r="U719" s="2"/>
    </row>
    <row r="720" spans="1:21">
      <c r="A720" s="2"/>
      <c r="B720" s="2"/>
      <c r="C720" s="2"/>
      <c r="D720" s="2"/>
      <c r="E720" s="2"/>
      <c r="F720" s="2"/>
      <c r="U720" s="2"/>
    </row>
    <row r="721" spans="1:21">
      <c r="A721" s="2"/>
      <c r="B721" s="2"/>
      <c r="C721" s="2"/>
      <c r="D721" s="2"/>
      <c r="E721" s="2"/>
      <c r="F721" s="2"/>
      <c r="U721" s="2"/>
    </row>
    <row r="722" spans="1:21">
      <c r="A722" s="2"/>
      <c r="B722" s="2"/>
      <c r="C722" s="2"/>
      <c r="D722" s="2"/>
      <c r="E722" s="2"/>
      <c r="F722" s="2"/>
      <c r="U722" s="2"/>
    </row>
    <row r="723" spans="1:21">
      <c r="A723" s="2"/>
      <c r="B723" s="2"/>
      <c r="C723" s="2"/>
      <c r="D723" s="2"/>
      <c r="E723" s="2"/>
      <c r="F723" s="2"/>
      <c r="U723" s="2"/>
    </row>
    <row r="724" spans="1:21">
      <c r="A724" s="2"/>
      <c r="B724" s="2"/>
      <c r="C724" s="2"/>
      <c r="D724" s="2"/>
      <c r="E724" s="2"/>
      <c r="F724" s="2"/>
      <c r="U724" s="2"/>
    </row>
    <row r="725" spans="1:21">
      <c r="A725" s="2"/>
      <c r="B725" s="2"/>
      <c r="C725" s="2"/>
      <c r="D725" s="2"/>
      <c r="E725" s="2"/>
      <c r="F725" s="2"/>
      <c r="U725" s="2"/>
    </row>
    <row r="726" spans="1:21">
      <c r="A726" s="2"/>
      <c r="B726" s="2"/>
      <c r="C726" s="2"/>
      <c r="D726" s="2"/>
      <c r="E726" s="2"/>
      <c r="F726" s="2"/>
      <c r="U726" s="2"/>
    </row>
    <row r="727" spans="1:21">
      <c r="A727" s="2"/>
      <c r="B727" s="2"/>
      <c r="C727" s="2"/>
      <c r="D727" s="2"/>
      <c r="E727" s="2"/>
      <c r="F727" s="2"/>
      <c r="U727" s="2"/>
    </row>
    <row r="728" spans="1:21">
      <c r="A728" s="2"/>
      <c r="B728" s="2"/>
      <c r="C728" s="2"/>
      <c r="D728" s="2"/>
      <c r="E728" s="2"/>
      <c r="F728" s="2"/>
      <c r="U728" s="2"/>
    </row>
    <row r="729" spans="1:21">
      <c r="A729" s="2"/>
      <c r="B729" s="2"/>
      <c r="C729" s="2"/>
      <c r="D729" s="2"/>
      <c r="E729" s="2"/>
      <c r="F729" s="2"/>
      <c r="U729" s="2"/>
    </row>
    <row r="730" spans="1:21">
      <c r="A730" s="2"/>
      <c r="B730" s="2"/>
      <c r="C730" s="2"/>
      <c r="D730" s="2"/>
      <c r="E730" s="2"/>
      <c r="F730" s="2"/>
      <c r="U730" s="2"/>
    </row>
    <row r="731" spans="1:21">
      <c r="A731" s="2"/>
      <c r="B731" s="2"/>
      <c r="C731" s="2"/>
      <c r="D731" s="2"/>
      <c r="E731" s="2"/>
      <c r="F731" s="2"/>
      <c r="U731" s="2"/>
    </row>
    <row r="732" spans="1:21">
      <c r="A732" s="2"/>
      <c r="B732" s="2"/>
      <c r="C732" s="2"/>
      <c r="D732" s="2"/>
      <c r="E732" s="2"/>
      <c r="F732" s="2"/>
      <c r="U732" s="2"/>
    </row>
    <row r="733" spans="1:21">
      <c r="A733" s="2"/>
      <c r="B733" s="2"/>
      <c r="C733" s="2"/>
      <c r="D733" s="2"/>
      <c r="E733" s="2"/>
      <c r="F733" s="2"/>
      <c r="U733" s="2"/>
    </row>
    <row r="734" spans="1:21">
      <c r="A734" s="2"/>
      <c r="B734" s="2"/>
      <c r="C734" s="2"/>
      <c r="D734" s="2"/>
      <c r="E734" s="2"/>
      <c r="F734" s="2"/>
      <c r="U734" s="2"/>
    </row>
    <row r="735" spans="1:21">
      <c r="A735" s="2"/>
      <c r="B735" s="2"/>
      <c r="C735" s="2"/>
      <c r="D735" s="2"/>
      <c r="E735" s="2"/>
      <c r="F735" s="2"/>
      <c r="U735" s="2"/>
    </row>
    <row r="736" spans="1:21">
      <c r="A736" s="2"/>
      <c r="B736" s="2"/>
      <c r="C736" s="2"/>
      <c r="D736" s="2"/>
      <c r="E736" s="2"/>
      <c r="F736" s="2"/>
      <c r="U736" s="2"/>
    </row>
    <row r="737" spans="1:21">
      <c r="A737" s="2"/>
      <c r="B737" s="2"/>
      <c r="C737" s="2"/>
      <c r="D737" s="2"/>
      <c r="E737" s="2"/>
      <c r="F737" s="2"/>
      <c r="U737" s="2"/>
    </row>
    <row r="738" spans="1:21">
      <c r="A738" s="2"/>
      <c r="B738" s="2"/>
      <c r="C738" s="2"/>
      <c r="D738" s="2"/>
      <c r="E738" s="2"/>
      <c r="F738" s="2"/>
      <c r="U738" s="2"/>
    </row>
    <row r="739" spans="1:21">
      <c r="A739" s="2"/>
      <c r="B739" s="2"/>
      <c r="C739" s="2"/>
      <c r="D739" s="2"/>
      <c r="E739" s="2"/>
      <c r="F739" s="2"/>
      <c r="U739" s="2"/>
    </row>
    <row r="740" spans="1:21">
      <c r="A740" s="2"/>
      <c r="B740" s="2"/>
      <c r="C740" s="2"/>
      <c r="D740" s="2"/>
      <c r="E740" s="2"/>
      <c r="F740" s="2"/>
      <c r="U740" s="2"/>
    </row>
    <row r="741" spans="1:21">
      <c r="A741" s="2"/>
      <c r="B741" s="2"/>
      <c r="C741" s="2"/>
      <c r="D741" s="2"/>
      <c r="E741" s="2"/>
      <c r="F741" s="2"/>
      <c r="U741" s="2"/>
    </row>
    <row r="742" spans="1:21">
      <c r="A742" s="2"/>
      <c r="B742" s="2"/>
      <c r="C742" s="2"/>
      <c r="D742" s="2"/>
      <c r="E742" s="2"/>
      <c r="F742" s="2"/>
      <c r="U742" s="2"/>
    </row>
    <row r="743" spans="1:21">
      <c r="A743" s="2"/>
      <c r="B743" s="2"/>
      <c r="C743" s="2"/>
      <c r="D743" s="2"/>
      <c r="E743" s="2"/>
      <c r="F743" s="2"/>
      <c r="U743" s="2"/>
    </row>
    <row r="744" spans="1:21">
      <c r="A744" s="2"/>
      <c r="B744" s="2"/>
      <c r="C744" s="2"/>
      <c r="D744" s="2"/>
      <c r="E744" s="2"/>
      <c r="F744" s="2"/>
      <c r="U744" s="2"/>
    </row>
    <row r="745" spans="1:21">
      <c r="A745" s="2"/>
      <c r="B745" s="2"/>
      <c r="C745" s="2"/>
      <c r="D745" s="2"/>
      <c r="E745" s="2"/>
      <c r="F745" s="2"/>
      <c r="U745" s="2"/>
    </row>
    <row r="746" spans="1:21">
      <c r="A746" s="2"/>
      <c r="B746" s="2"/>
      <c r="C746" s="2"/>
      <c r="D746" s="2"/>
      <c r="E746" s="2"/>
      <c r="F746" s="2"/>
      <c r="U746" s="2"/>
    </row>
    <row r="747" spans="1:21">
      <c r="A747" s="2"/>
      <c r="B747" s="2"/>
      <c r="C747" s="2"/>
      <c r="D747" s="2"/>
      <c r="E747" s="2"/>
      <c r="F747" s="2"/>
      <c r="U747" s="2"/>
    </row>
    <row r="748" spans="1:21">
      <c r="A748" s="2"/>
      <c r="B748" s="2"/>
      <c r="C748" s="2"/>
      <c r="D748" s="2"/>
      <c r="E748" s="2"/>
      <c r="F748" s="2"/>
      <c r="U748" s="2"/>
    </row>
    <row r="749" spans="1:21">
      <c r="A749" s="2"/>
      <c r="B749" s="2"/>
      <c r="C749" s="2"/>
      <c r="D749" s="2"/>
      <c r="E749" s="2"/>
      <c r="F749" s="2"/>
      <c r="U749" s="2"/>
    </row>
    <row r="750" spans="1:21">
      <c r="A750" s="2"/>
      <c r="B750" s="2"/>
      <c r="C750" s="2"/>
      <c r="D750" s="2"/>
      <c r="E750" s="2"/>
      <c r="F750" s="2"/>
      <c r="U750" s="2"/>
    </row>
    <row r="751" spans="1:21">
      <c r="A751" s="2"/>
      <c r="B751" s="2"/>
      <c r="C751" s="2"/>
      <c r="D751" s="2"/>
      <c r="E751" s="2"/>
      <c r="F751" s="2"/>
      <c r="U751" s="2"/>
    </row>
    <row r="752" spans="1:21">
      <c r="A752" s="2"/>
      <c r="B752" s="2"/>
      <c r="C752" s="2"/>
      <c r="D752" s="2"/>
      <c r="E752" s="2"/>
      <c r="F752" s="2"/>
      <c r="U752" s="2"/>
    </row>
    <row r="753" spans="1:21">
      <c r="A753" s="2"/>
      <c r="B753" s="2"/>
      <c r="C753" s="2"/>
      <c r="D753" s="2"/>
      <c r="E753" s="2"/>
      <c r="F753" s="2"/>
      <c r="U753" s="2"/>
    </row>
    <row r="754" spans="1:21">
      <c r="A754" s="2"/>
      <c r="B754" s="2"/>
      <c r="C754" s="2"/>
      <c r="D754" s="2"/>
      <c r="E754" s="2"/>
      <c r="F754" s="2"/>
      <c r="U754" s="2"/>
    </row>
    <row r="755" spans="1:21">
      <c r="A755" s="2"/>
      <c r="B755" s="2"/>
      <c r="C755" s="2"/>
      <c r="D755" s="2"/>
      <c r="E755" s="2"/>
      <c r="F755" s="2"/>
      <c r="U755" s="2"/>
    </row>
    <row r="756" spans="1:21">
      <c r="A756" s="2"/>
      <c r="B756" s="2"/>
      <c r="C756" s="2"/>
      <c r="D756" s="2"/>
      <c r="E756" s="2"/>
      <c r="F756" s="2"/>
      <c r="U756" s="2"/>
    </row>
    <row r="757" spans="1:21">
      <c r="A757" s="2"/>
      <c r="B757" s="2"/>
      <c r="C757" s="2"/>
      <c r="D757" s="2"/>
      <c r="E757" s="2"/>
      <c r="F757" s="2"/>
      <c r="U757" s="2"/>
    </row>
    <row r="758" spans="1:21">
      <c r="A758" s="2"/>
      <c r="B758" s="2"/>
      <c r="C758" s="2"/>
      <c r="D758" s="2"/>
      <c r="E758" s="2"/>
      <c r="F758" s="2"/>
      <c r="U758" s="2"/>
    </row>
    <row r="759" spans="1:21">
      <c r="A759" s="2"/>
      <c r="B759" s="2"/>
      <c r="C759" s="2"/>
      <c r="D759" s="2"/>
      <c r="E759" s="2"/>
      <c r="F759" s="2"/>
      <c r="U759" s="2"/>
    </row>
    <row r="760" spans="1:21">
      <c r="A760" s="2"/>
      <c r="B760" s="2"/>
      <c r="C760" s="2"/>
      <c r="D760" s="2"/>
      <c r="E760" s="2"/>
      <c r="F760" s="2"/>
      <c r="U760" s="2"/>
    </row>
    <row r="761" spans="1:21">
      <c r="A761" s="2"/>
      <c r="B761" s="2"/>
      <c r="C761" s="2"/>
      <c r="D761" s="2"/>
      <c r="E761" s="2"/>
      <c r="F761" s="2"/>
      <c r="U761" s="2"/>
    </row>
    <row r="762" spans="1:21">
      <c r="A762" s="2"/>
      <c r="B762" s="2"/>
      <c r="C762" s="2"/>
      <c r="D762" s="2"/>
      <c r="E762" s="2"/>
      <c r="F762" s="2"/>
      <c r="U762" s="2"/>
    </row>
    <row r="763" spans="1:21">
      <c r="A763" s="2"/>
      <c r="B763" s="2"/>
      <c r="C763" s="2"/>
      <c r="D763" s="2"/>
      <c r="E763" s="2"/>
      <c r="F763" s="2"/>
      <c r="U763" s="2"/>
    </row>
    <row r="764" spans="1:21">
      <c r="A764" s="2"/>
      <c r="B764" s="2"/>
      <c r="C764" s="2"/>
      <c r="D764" s="2"/>
      <c r="E764" s="2"/>
      <c r="F764" s="2"/>
      <c r="U764" s="2"/>
    </row>
    <row r="765" spans="1:21">
      <c r="A765" s="2"/>
      <c r="B765" s="2"/>
      <c r="C765" s="2"/>
      <c r="D765" s="2"/>
      <c r="E765" s="2"/>
      <c r="F765" s="2"/>
      <c r="U765" s="2"/>
    </row>
    <row r="766" spans="1:21">
      <c r="A766" s="2"/>
      <c r="B766" s="2"/>
      <c r="C766" s="2"/>
      <c r="D766" s="2"/>
      <c r="E766" s="2"/>
      <c r="F766" s="2"/>
      <c r="U766" s="2"/>
    </row>
    <row r="767" spans="1:21">
      <c r="A767" s="2"/>
      <c r="B767" s="2"/>
      <c r="C767" s="2"/>
      <c r="D767" s="2"/>
      <c r="E767" s="2"/>
      <c r="F767" s="2"/>
      <c r="U767" s="2"/>
    </row>
    <row r="768" spans="1:21">
      <c r="A768" s="2"/>
      <c r="B768" s="2"/>
      <c r="C768" s="2"/>
      <c r="D768" s="2"/>
      <c r="E768" s="2"/>
      <c r="F768" s="2"/>
      <c r="U768" s="2"/>
    </row>
    <row r="769" spans="1:21">
      <c r="A769" s="2"/>
      <c r="B769" s="2"/>
      <c r="C769" s="2"/>
      <c r="D769" s="2"/>
      <c r="E769" s="2"/>
      <c r="F769" s="2"/>
      <c r="U769" s="2"/>
    </row>
    <row r="770" spans="1:21">
      <c r="A770" s="2"/>
      <c r="B770" s="2"/>
      <c r="C770" s="2"/>
      <c r="D770" s="2"/>
      <c r="E770" s="2"/>
      <c r="F770" s="2"/>
      <c r="U770" s="2"/>
    </row>
    <row r="771" spans="1:21">
      <c r="A771" s="2"/>
      <c r="B771" s="2"/>
      <c r="C771" s="2"/>
      <c r="D771" s="2"/>
      <c r="E771" s="2"/>
      <c r="F771" s="2"/>
      <c r="U771" s="2"/>
    </row>
    <row r="772" spans="1:21">
      <c r="A772" s="2"/>
      <c r="B772" s="2"/>
      <c r="C772" s="2"/>
      <c r="D772" s="2"/>
      <c r="E772" s="2"/>
      <c r="F772" s="2"/>
      <c r="U772" s="2"/>
    </row>
    <row r="773" spans="1:21">
      <c r="A773" s="2"/>
      <c r="B773" s="2"/>
      <c r="C773" s="2"/>
      <c r="D773" s="2"/>
      <c r="E773" s="2"/>
      <c r="F773" s="2"/>
      <c r="U773" s="2"/>
    </row>
    <row r="774" spans="1:21">
      <c r="A774" s="2"/>
      <c r="B774" s="2"/>
      <c r="C774" s="2"/>
      <c r="D774" s="2"/>
      <c r="E774" s="2"/>
      <c r="F774" s="2"/>
      <c r="U774" s="2"/>
    </row>
    <row r="775" spans="1:21">
      <c r="A775" s="2"/>
      <c r="B775" s="2"/>
      <c r="C775" s="2"/>
      <c r="D775" s="2"/>
      <c r="E775" s="2"/>
      <c r="F775" s="2"/>
      <c r="U775" s="2"/>
    </row>
    <row r="776" spans="1:21">
      <c r="A776" s="2"/>
      <c r="B776" s="2"/>
      <c r="C776" s="2"/>
      <c r="D776" s="2"/>
      <c r="E776" s="2"/>
      <c r="F776" s="2"/>
      <c r="U776" s="2"/>
    </row>
    <row r="777" spans="1:21">
      <c r="A777" s="2"/>
      <c r="B777" s="2"/>
      <c r="C777" s="2"/>
      <c r="D777" s="2"/>
      <c r="E777" s="2"/>
      <c r="F777" s="2"/>
      <c r="U777" s="2"/>
    </row>
    <row r="778" spans="1:21">
      <c r="A778" s="2"/>
      <c r="B778" s="2"/>
      <c r="C778" s="2"/>
      <c r="D778" s="2"/>
      <c r="E778" s="2"/>
      <c r="F778" s="2"/>
      <c r="U778" s="2"/>
    </row>
    <row r="779" spans="1:21">
      <c r="A779" s="2"/>
      <c r="B779" s="2"/>
      <c r="C779" s="2"/>
      <c r="D779" s="2"/>
      <c r="E779" s="2"/>
      <c r="F779" s="2"/>
      <c r="U779" s="2"/>
    </row>
    <row r="780" spans="1:21">
      <c r="A780" s="2"/>
      <c r="B780" s="2"/>
      <c r="C780" s="2"/>
      <c r="D780" s="2"/>
      <c r="E780" s="2"/>
      <c r="F780" s="2"/>
      <c r="U780" s="2"/>
    </row>
    <row r="781" spans="1:21">
      <c r="A781" s="2"/>
      <c r="B781" s="2"/>
      <c r="C781" s="2"/>
      <c r="D781" s="2"/>
      <c r="E781" s="2"/>
      <c r="F781" s="2"/>
      <c r="U781" s="2"/>
    </row>
    <row r="782" spans="1:21">
      <c r="A782" s="2"/>
      <c r="B782" s="2"/>
      <c r="C782" s="2"/>
      <c r="D782" s="2"/>
      <c r="E782" s="2"/>
      <c r="F782" s="2"/>
      <c r="U782" s="2"/>
    </row>
    <row r="783" spans="1:21">
      <c r="A783" s="2"/>
      <c r="B783" s="2"/>
      <c r="C783" s="2"/>
      <c r="D783" s="2"/>
      <c r="E783" s="2"/>
      <c r="F783" s="2"/>
      <c r="U783" s="2"/>
    </row>
    <row r="784" spans="1:21">
      <c r="A784" s="2"/>
      <c r="B784" s="2"/>
      <c r="C784" s="2"/>
      <c r="D784" s="2"/>
      <c r="E784" s="2"/>
      <c r="F784" s="2"/>
      <c r="U784" s="2"/>
    </row>
    <row r="785" spans="1:21">
      <c r="A785" s="2"/>
      <c r="B785" s="2"/>
      <c r="C785" s="2"/>
      <c r="D785" s="2"/>
      <c r="E785" s="2"/>
      <c r="F785" s="2"/>
      <c r="U785" s="2"/>
    </row>
    <row r="786" spans="1:21">
      <c r="A786" s="2"/>
      <c r="B786" s="2"/>
      <c r="C786" s="2"/>
      <c r="D786" s="2"/>
      <c r="E786" s="2"/>
      <c r="F786" s="2"/>
      <c r="U786" s="2"/>
    </row>
    <row r="787" spans="1:21">
      <c r="A787" s="2"/>
      <c r="B787" s="2"/>
      <c r="C787" s="2"/>
      <c r="D787" s="2"/>
      <c r="E787" s="2"/>
      <c r="F787" s="2"/>
      <c r="U787" s="2"/>
    </row>
    <row r="788" spans="1:21">
      <c r="A788" s="2"/>
      <c r="B788" s="2"/>
      <c r="C788" s="2"/>
      <c r="D788" s="2"/>
      <c r="E788" s="2"/>
      <c r="F788" s="2"/>
      <c r="U788" s="2"/>
    </row>
    <row r="789" spans="1:21">
      <c r="A789" s="2"/>
      <c r="B789" s="2"/>
      <c r="C789" s="2"/>
      <c r="D789" s="2"/>
      <c r="E789" s="2"/>
      <c r="F789" s="2"/>
      <c r="U789" s="2"/>
    </row>
    <row r="790" spans="1:21">
      <c r="A790" s="2"/>
      <c r="B790" s="2"/>
      <c r="C790" s="2"/>
      <c r="D790" s="2"/>
      <c r="E790" s="2"/>
      <c r="F790" s="2"/>
      <c r="U790" s="2"/>
    </row>
    <row r="791" spans="1:21">
      <c r="A791" s="2"/>
      <c r="B791" s="2"/>
      <c r="C791" s="2"/>
      <c r="D791" s="2"/>
      <c r="E791" s="2"/>
      <c r="F791" s="2"/>
      <c r="U791" s="2"/>
    </row>
    <row r="792" spans="1:21">
      <c r="A792" s="2"/>
      <c r="B792" s="2"/>
      <c r="C792" s="2"/>
      <c r="D792" s="2"/>
      <c r="E792" s="2"/>
      <c r="F792" s="2"/>
      <c r="U792" s="2"/>
    </row>
    <row r="793" spans="1:21">
      <c r="A793" s="2"/>
      <c r="B793" s="2"/>
      <c r="C793" s="2"/>
      <c r="D793" s="2"/>
      <c r="E793" s="2"/>
      <c r="F793" s="2"/>
      <c r="U793" s="2"/>
    </row>
    <row r="794" spans="1:21">
      <c r="A794" s="2"/>
      <c r="B794" s="2"/>
      <c r="C794" s="2"/>
      <c r="D794" s="2"/>
      <c r="E794" s="2"/>
      <c r="F794" s="2"/>
      <c r="U794" s="2"/>
    </row>
    <row r="795" spans="1:21">
      <c r="A795" s="2"/>
      <c r="B795" s="2"/>
      <c r="C795" s="2"/>
      <c r="D795" s="2"/>
      <c r="E795" s="2"/>
      <c r="F795" s="2"/>
      <c r="U795" s="2"/>
    </row>
    <row r="796" spans="1:21">
      <c r="A796" s="2"/>
      <c r="B796" s="2"/>
      <c r="C796" s="2"/>
      <c r="D796" s="2"/>
      <c r="E796" s="2"/>
      <c r="F796" s="2"/>
      <c r="U796" s="2"/>
    </row>
    <row r="797" spans="1:21">
      <c r="A797" s="2"/>
      <c r="B797" s="2"/>
      <c r="C797" s="2"/>
      <c r="D797" s="2"/>
      <c r="E797" s="2"/>
      <c r="F797" s="2"/>
      <c r="U797" s="2"/>
    </row>
    <row r="798" spans="1:21">
      <c r="A798" s="2"/>
      <c r="B798" s="2"/>
      <c r="C798" s="2"/>
      <c r="D798" s="2"/>
      <c r="E798" s="2"/>
      <c r="F798" s="2"/>
      <c r="U798" s="2"/>
    </row>
    <row r="799" spans="1:21">
      <c r="A799" s="2"/>
      <c r="B799" s="2"/>
      <c r="C799" s="2"/>
      <c r="D799" s="2"/>
      <c r="E799" s="2"/>
      <c r="F799" s="2"/>
      <c r="U799" s="2"/>
    </row>
    <row r="800" spans="1:21">
      <c r="A800" s="2"/>
      <c r="B800" s="2"/>
      <c r="C800" s="2"/>
      <c r="D800" s="2"/>
      <c r="E800" s="2"/>
      <c r="F800" s="2"/>
      <c r="U800" s="2"/>
    </row>
    <row r="801" spans="1:21">
      <c r="A801" s="2"/>
      <c r="B801" s="2"/>
      <c r="C801" s="2"/>
      <c r="D801" s="2"/>
      <c r="E801" s="2"/>
      <c r="F801" s="2"/>
      <c r="U801" s="2"/>
    </row>
    <row r="802" spans="1:21">
      <c r="A802" s="2"/>
      <c r="B802" s="2"/>
      <c r="C802" s="2"/>
      <c r="D802" s="2"/>
      <c r="E802" s="2"/>
      <c r="F802" s="2"/>
      <c r="U802" s="2"/>
    </row>
    <row r="803" spans="1:21">
      <c r="A803" s="2"/>
      <c r="B803" s="2"/>
      <c r="C803" s="2"/>
      <c r="D803" s="2"/>
      <c r="E803" s="2"/>
      <c r="F803" s="2"/>
      <c r="U803" s="2"/>
    </row>
    <row r="804" spans="1:21">
      <c r="A804" s="2"/>
      <c r="B804" s="2"/>
      <c r="C804" s="2"/>
      <c r="D804" s="2"/>
      <c r="E804" s="2"/>
      <c r="F804" s="2"/>
      <c r="U804" s="2"/>
    </row>
    <row r="805" spans="1:21">
      <c r="A805" s="2"/>
      <c r="B805" s="2"/>
      <c r="C805" s="2"/>
      <c r="D805" s="2"/>
      <c r="E805" s="2"/>
      <c r="F805" s="2"/>
      <c r="U805" s="2"/>
    </row>
    <row r="806" spans="1:21">
      <c r="A806" s="2"/>
      <c r="B806" s="2"/>
      <c r="C806" s="2"/>
      <c r="D806" s="2"/>
      <c r="E806" s="2"/>
      <c r="F806" s="2"/>
      <c r="U806" s="2"/>
    </row>
    <row r="807" spans="1:21">
      <c r="A807" s="2"/>
      <c r="B807" s="2"/>
      <c r="C807" s="2"/>
      <c r="D807" s="2"/>
      <c r="E807" s="2"/>
      <c r="F807" s="2"/>
      <c r="U807" s="2"/>
    </row>
    <row r="808" spans="1:21">
      <c r="A808" s="2"/>
      <c r="B808" s="2"/>
      <c r="C808" s="2"/>
      <c r="D808" s="2"/>
      <c r="E808" s="2"/>
      <c r="F808" s="2"/>
      <c r="U808" s="2"/>
    </row>
    <row r="809" spans="1:21">
      <c r="A809" s="2"/>
      <c r="B809" s="2"/>
      <c r="C809" s="2"/>
      <c r="D809" s="2"/>
      <c r="E809" s="2"/>
      <c r="F809" s="2"/>
      <c r="U809" s="2"/>
    </row>
    <row r="810" spans="1:21">
      <c r="A810" s="2"/>
      <c r="B810" s="2"/>
      <c r="C810" s="2"/>
      <c r="D810" s="2"/>
      <c r="E810" s="2"/>
      <c r="F810" s="2"/>
      <c r="U810" s="2"/>
    </row>
    <row r="811" spans="1:21">
      <c r="A811" s="2"/>
      <c r="B811" s="2"/>
      <c r="C811" s="2"/>
      <c r="D811" s="2"/>
      <c r="E811" s="2"/>
      <c r="F811" s="2"/>
      <c r="U811" s="2"/>
    </row>
    <row r="812" spans="1:21">
      <c r="A812" s="2"/>
      <c r="B812" s="2"/>
      <c r="C812" s="2"/>
      <c r="D812" s="2"/>
      <c r="E812" s="2"/>
      <c r="F812" s="2"/>
      <c r="U812" s="2"/>
    </row>
    <row r="813" spans="1:21">
      <c r="A813" s="2"/>
      <c r="B813" s="2"/>
      <c r="C813" s="2"/>
      <c r="D813" s="2"/>
      <c r="E813" s="2"/>
      <c r="F813" s="2"/>
      <c r="U813" s="2"/>
    </row>
    <row r="814" spans="1:21">
      <c r="A814" s="2"/>
      <c r="B814" s="2"/>
      <c r="C814" s="2"/>
      <c r="D814" s="2"/>
      <c r="E814" s="2"/>
      <c r="F814" s="2"/>
      <c r="U814" s="2"/>
    </row>
    <row r="815" spans="1:21">
      <c r="A815" s="2"/>
      <c r="B815" s="2"/>
      <c r="C815" s="2"/>
      <c r="D815" s="2"/>
      <c r="E815" s="2"/>
      <c r="F815" s="2"/>
      <c r="U815" s="2"/>
    </row>
    <row r="816" spans="1:21">
      <c r="A816" s="2"/>
      <c r="B816" s="2"/>
      <c r="C816" s="2"/>
      <c r="D816" s="2"/>
      <c r="E816" s="2"/>
      <c r="F816" s="2"/>
      <c r="U816" s="2"/>
    </row>
    <row r="817" spans="1:21">
      <c r="A817" s="2"/>
      <c r="B817" s="2"/>
      <c r="C817" s="2"/>
      <c r="D817" s="2"/>
      <c r="E817" s="2"/>
      <c r="F817" s="2"/>
      <c r="U817" s="2"/>
    </row>
    <row r="818" spans="1:21">
      <c r="A818" s="2"/>
      <c r="B818" s="2"/>
      <c r="C818" s="2"/>
      <c r="D818" s="2"/>
      <c r="E818" s="2"/>
      <c r="F818" s="2"/>
      <c r="U818" s="2"/>
    </row>
    <row r="819" spans="1:21">
      <c r="A819" s="2"/>
      <c r="B819" s="2"/>
      <c r="C819" s="2"/>
      <c r="D819" s="2"/>
      <c r="E819" s="2"/>
      <c r="F819" s="2"/>
      <c r="U819" s="2"/>
    </row>
    <row r="820" spans="1:21">
      <c r="A820" s="2"/>
      <c r="B820" s="2"/>
      <c r="C820" s="2"/>
      <c r="D820" s="2"/>
      <c r="E820" s="2"/>
      <c r="F820" s="2"/>
      <c r="U820" s="2"/>
    </row>
    <row r="821" spans="1:21">
      <c r="A821" s="2"/>
      <c r="B821" s="2"/>
      <c r="C821" s="2"/>
      <c r="D821" s="2"/>
      <c r="E821" s="2"/>
      <c r="F821" s="2"/>
      <c r="U821" s="2"/>
    </row>
    <row r="822" spans="1:21">
      <c r="A822" s="2"/>
      <c r="B822" s="2"/>
      <c r="C822" s="2"/>
      <c r="D822" s="2"/>
      <c r="E822" s="2"/>
      <c r="F822" s="2"/>
      <c r="U822" s="2"/>
    </row>
    <row r="823" spans="1:21">
      <c r="A823" s="2"/>
      <c r="B823" s="2"/>
      <c r="C823" s="2"/>
      <c r="D823" s="2"/>
      <c r="E823" s="2"/>
      <c r="F823" s="2"/>
      <c r="U823" s="2"/>
    </row>
    <row r="824" spans="1:21">
      <c r="A824" s="2"/>
      <c r="B824" s="2"/>
      <c r="C824" s="2"/>
      <c r="D824" s="2"/>
      <c r="E824" s="2"/>
      <c r="F824" s="2"/>
      <c r="U824" s="2"/>
    </row>
    <row r="825" spans="1:21">
      <c r="A825" s="2"/>
      <c r="B825" s="2"/>
      <c r="C825" s="2"/>
      <c r="D825" s="2"/>
      <c r="E825" s="2"/>
      <c r="F825" s="2"/>
      <c r="U825" s="2"/>
    </row>
    <row r="826" spans="1:21">
      <c r="A826" s="2"/>
      <c r="B826" s="2"/>
      <c r="C826" s="2"/>
      <c r="D826" s="2"/>
      <c r="E826" s="2"/>
      <c r="F826" s="2"/>
      <c r="U826" s="2"/>
    </row>
    <row r="827" spans="1:21">
      <c r="A827" s="2"/>
      <c r="B827" s="2"/>
      <c r="C827" s="2"/>
      <c r="D827" s="2"/>
      <c r="E827" s="2"/>
      <c r="F827" s="2"/>
      <c r="U827" s="2"/>
    </row>
    <row r="828" spans="1:21">
      <c r="A828" s="2"/>
      <c r="B828" s="2"/>
      <c r="C828" s="2"/>
      <c r="D828" s="2"/>
      <c r="E828" s="2"/>
      <c r="F828" s="2"/>
      <c r="U828" s="2"/>
    </row>
    <row r="829" spans="1:21">
      <c r="A829" s="2"/>
      <c r="B829" s="2"/>
      <c r="C829" s="2"/>
      <c r="D829" s="2"/>
      <c r="E829" s="2"/>
      <c r="F829" s="2"/>
      <c r="U829" s="2"/>
    </row>
    <row r="830" spans="1:21">
      <c r="A830" s="2"/>
      <c r="B830" s="2"/>
      <c r="C830" s="2"/>
      <c r="D830" s="2"/>
      <c r="E830" s="2"/>
      <c r="F830" s="2"/>
      <c r="U830" s="2"/>
    </row>
    <row r="831" spans="1:21">
      <c r="A831" s="2"/>
      <c r="B831" s="2"/>
      <c r="C831" s="2"/>
      <c r="D831" s="2"/>
      <c r="E831" s="2"/>
      <c r="F831" s="2"/>
      <c r="U831" s="2"/>
    </row>
    <row r="832" spans="1:21">
      <c r="A832" s="2"/>
      <c r="B832" s="2"/>
      <c r="C832" s="2"/>
      <c r="D832" s="2"/>
      <c r="E832" s="2"/>
      <c r="F832" s="2"/>
      <c r="U832" s="2"/>
    </row>
    <row r="833" spans="1:21">
      <c r="A833" s="2"/>
      <c r="B833" s="2"/>
      <c r="C833" s="2"/>
      <c r="D833" s="2"/>
      <c r="E833" s="2"/>
      <c r="F833" s="2"/>
      <c r="U833" s="2"/>
    </row>
    <row r="834" spans="1:21">
      <c r="A834" s="2"/>
      <c r="B834" s="2"/>
      <c r="C834" s="2"/>
      <c r="D834" s="2"/>
      <c r="E834" s="2"/>
      <c r="F834" s="2"/>
      <c r="U834" s="2"/>
    </row>
    <row r="835" spans="1:21">
      <c r="A835" s="2"/>
      <c r="B835" s="2"/>
      <c r="C835" s="2"/>
      <c r="D835" s="2"/>
      <c r="E835" s="2"/>
      <c r="F835" s="2"/>
      <c r="U835" s="2"/>
    </row>
    <row r="836" spans="1:21">
      <c r="A836" s="2"/>
      <c r="B836" s="2"/>
      <c r="C836" s="2"/>
      <c r="D836" s="2"/>
      <c r="E836" s="2"/>
      <c r="F836" s="2"/>
      <c r="U836" s="2"/>
    </row>
    <row r="837" spans="1:21">
      <c r="A837" s="2"/>
      <c r="B837" s="2"/>
      <c r="C837" s="2"/>
      <c r="D837" s="2"/>
      <c r="E837" s="2"/>
      <c r="F837" s="2"/>
      <c r="U837" s="2"/>
    </row>
    <row r="838" spans="1:21">
      <c r="A838" s="2"/>
      <c r="B838" s="2"/>
      <c r="C838" s="2"/>
      <c r="D838" s="2"/>
      <c r="E838" s="2"/>
      <c r="F838" s="2"/>
      <c r="U838" s="2"/>
    </row>
    <row r="839" spans="1:21">
      <c r="A839" s="2"/>
      <c r="B839" s="2"/>
      <c r="C839" s="2"/>
      <c r="D839" s="2"/>
      <c r="E839" s="2"/>
      <c r="F839" s="2"/>
      <c r="U839" s="2"/>
    </row>
    <row r="840" spans="1:21">
      <c r="A840" s="2"/>
      <c r="B840" s="2"/>
      <c r="C840" s="2"/>
      <c r="D840" s="2"/>
      <c r="E840" s="2"/>
      <c r="F840" s="2"/>
      <c r="U840" s="2"/>
    </row>
    <row r="841" spans="1:21">
      <c r="A841" s="2"/>
      <c r="B841" s="2"/>
      <c r="C841" s="2"/>
      <c r="D841" s="2"/>
      <c r="E841" s="2"/>
      <c r="F841" s="2"/>
      <c r="U841" s="2"/>
    </row>
    <row r="842" spans="1:21">
      <c r="A842" s="2"/>
      <c r="B842" s="2"/>
      <c r="C842" s="2"/>
      <c r="D842" s="2"/>
      <c r="E842" s="2"/>
      <c r="F842" s="2"/>
      <c r="U842" s="2"/>
    </row>
    <row r="843" spans="1:21">
      <c r="A843" s="2"/>
      <c r="B843" s="2"/>
      <c r="C843" s="2"/>
      <c r="D843" s="2"/>
      <c r="E843" s="2"/>
      <c r="F843" s="2"/>
      <c r="U843" s="2"/>
    </row>
    <row r="844" spans="1:21">
      <c r="A844" s="2"/>
      <c r="B844" s="2"/>
      <c r="C844" s="2"/>
      <c r="D844" s="2"/>
      <c r="E844" s="2"/>
      <c r="F844" s="2"/>
      <c r="U844" s="2"/>
    </row>
    <row r="845" spans="1:21">
      <c r="A845" s="2"/>
      <c r="B845" s="2"/>
      <c r="C845" s="2"/>
      <c r="D845" s="2"/>
      <c r="E845" s="2"/>
      <c r="F845" s="2"/>
      <c r="U845" s="2"/>
    </row>
    <row r="846" spans="1:21">
      <c r="A846" s="2"/>
      <c r="B846" s="2"/>
      <c r="C846" s="2"/>
      <c r="D846" s="2"/>
      <c r="E846" s="2"/>
      <c r="F846" s="2"/>
      <c r="U846" s="2"/>
    </row>
    <row r="847" spans="1:21">
      <c r="A847" s="2"/>
      <c r="B847" s="2"/>
      <c r="C847" s="2"/>
      <c r="D847" s="2"/>
      <c r="E847" s="2"/>
      <c r="F847" s="2"/>
      <c r="U847" s="2"/>
    </row>
    <row r="848" spans="1:21">
      <c r="A848" s="2"/>
      <c r="B848" s="2"/>
      <c r="C848" s="2"/>
      <c r="D848" s="2"/>
      <c r="E848" s="2"/>
      <c r="F848" s="2"/>
      <c r="U848" s="2"/>
    </row>
    <row r="849" spans="1:21">
      <c r="A849" s="2"/>
      <c r="B849" s="2"/>
      <c r="C849" s="2"/>
      <c r="D849" s="2"/>
      <c r="E849" s="2"/>
      <c r="F849" s="2"/>
      <c r="U849" s="2"/>
    </row>
    <row r="850" spans="1:21">
      <c r="A850" s="2"/>
      <c r="B850" s="2"/>
      <c r="C850" s="2"/>
      <c r="D850" s="2"/>
      <c r="E850" s="2"/>
      <c r="F850" s="2"/>
      <c r="U850" s="2"/>
    </row>
    <row r="851" spans="1:21">
      <c r="A851" s="2"/>
      <c r="B851" s="2"/>
      <c r="C851" s="2"/>
      <c r="D851" s="2"/>
      <c r="E851" s="2"/>
      <c r="F851" s="2"/>
      <c r="U851" s="2"/>
    </row>
    <row r="852" spans="1:21">
      <c r="A852" s="2"/>
      <c r="B852" s="2"/>
      <c r="C852" s="2"/>
      <c r="D852" s="2"/>
      <c r="E852" s="2"/>
      <c r="F852" s="2"/>
      <c r="U852" s="2"/>
    </row>
    <row r="853" spans="1:21">
      <c r="A853" s="2"/>
      <c r="B853" s="2"/>
      <c r="C853" s="2"/>
      <c r="D853" s="2"/>
      <c r="E853" s="2"/>
      <c r="F853" s="2"/>
      <c r="U853" s="2"/>
    </row>
    <row r="854" spans="1:21">
      <c r="A854" s="2"/>
      <c r="B854" s="2"/>
      <c r="C854" s="2"/>
      <c r="D854" s="2"/>
      <c r="E854" s="2"/>
      <c r="F854" s="2"/>
      <c r="U854" s="2"/>
    </row>
    <row r="855" spans="1:21">
      <c r="A855" s="2"/>
      <c r="B855" s="2"/>
      <c r="C855" s="2"/>
      <c r="D855" s="2"/>
      <c r="E855" s="2"/>
      <c r="F855" s="2"/>
      <c r="U855" s="2"/>
    </row>
    <row r="856" spans="1:21">
      <c r="A856" s="2"/>
      <c r="B856" s="2"/>
      <c r="C856" s="2"/>
      <c r="D856" s="2"/>
      <c r="E856" s="2"/>
      <c r="F856" s="2"/>
      <c r="U856" s="2"/>
    </row>
    <row r="857" spans="1:21">
      <c r="A857" s="2"/>
      <c r="B857" s="2"/>
      <c r="C857" s="2"/>
      <c r="D857" s="2"/>
      <c r="E857" s="2"/>
      <c r="F857" s="2"/>
      <c r="U857" s="2"/>
    </row>
    <row r="858" spans="1:21">
      <c r="A858" s="2"/>
      <c r="B858" s="2"/>
      <c r="C858" s="2"/>
      <c r="D858" s="2"/>
      <c r="E858" s="2"/>
      <c r="F858" s="2"/>
      <c r="U858" s="2"/>
    </row>
    <row r="859" spans="1:21">
      <c r="A859" s="2"/>
      <c r="B859" s="2"/>
      <c r="C859" s="2"/>
      <c r="D859" s="2"/>
      <c r="E859" s="2"/>
      <c r="F859" s="2"/>
      <c r="U859" s="2"/>
    </row>
    <row r="860" spans="1:21">
      <c r="A860" s="2"/>
      <c r="B860" s="2"/>
      <c r="C860" s="2"/>
      <c r="D860" s="2"/>
      <c r="E860" s="2"/>
      <c r="F860" s="2"/>
      <c r="U860" s="2"/>
    </row>
    <row r="861" spans="1:21">
      <c r="A861" s="2"/>
      <c r="B861" s="2"/>
      <c r="C861" s="2"/>
      <c r="D861" s="2"/>
      <c r="E861" s="2"/>
      <c r="F861" s="2"/>
      <c r="U861" s="2"/>
    </row>
    <row r="862" spans="1:21">
      <c r="A862" s="2"/>
      <c r="B862" s="2"/>
      <c r="C862" s="2"/>
      <c r="D862" s="2"/>
      <c r="E862" s="2"/>
      <c r="F862" s="2"/>
      <c r="U862" s="2"/>
    </row>
    <row r="863" spans="1:21">
      <c r="A863" s="2"/>
      <c r="B863" s="2"/>
      <c r="C863" s="2"/>
      <c r="D863" s="2"/>
      <c r="E863" s="2"/>
      <c r="F863" s="2"/>
      <c r="U863" s="2"/>
    </row>
    <row r="864" spans="1:21">
      <c r="A864" s="2"/>
      <c r="B864" s="2"/>
      <c r="C864" s="2"/>
      <c r="D864" s="2"/>
      <c r="E864" s="2"/>
      <c r="F864" s="2"/>
      <c r="U864" s="2"/>
    </row>
    <row r="865" spans="1:21">
      <c r="A865" s="2"/>
      <c r="B865" s="2"/>
      <c r="C865" s="2"/>
      <c r="D865" s="2"/>
      <c r="E865" s="2"/>
      <c r="F865" s="2"/>
      <c r="U865" s="2"/>
    </row>
    <row r="866" spans="1:21">
      <c r="A866" s="2"/>
      <c r="B866" s="2"/>
      <c r="C866" s="2"/>
      <c r="D866" s="2"/>
      <c r="E866" s="2"/>
      <c r="F866" s="2"/>
      <c r="U866" s="2"/>
    </row>
    <row r="867" spans="1:21">
      <c r="A867" s="2"/>
      <c r="B867" s="2"/>
      <c r="C867" s="2"/>
      <c r="D867" s="2"/>
      <c r="E867" s="2"/>
      <c r="F867" s="2"/>
      <c r="U867" s="2"/>
    </row>
    <row r="868" spans="1:21">
      <c r="A868" s="2"/>
      <c r="B868" s="2"/>
      <c r="C868" s="2"/>
      <c r="D868" s="2"/>
      <c r="E868" s="2"/>
      <c r="F868" s="2"/>
      <c r="U868" s="2"/>
    </row>
    <row r="869" spans="1:21">
      <c r="A869" s="2"/>
      <c r="B869" s="2"/>
      <c r="C869" s="2"/>
      <c r="D869" s="2"/>
      <c r="E869" s="2"/>
      <c r="F869" s="2"/>
      <c r="U869" s="2"/>
    </row>
    <row r="870" spans="1:21">
      <c r="A870" s="2"/>
      <c r="B870" s="2"/>
      <c r="C870" s="2"/>
      <c r="D870" s="2"/>
      <c r="E870" s="2"/>
      <c r="F870" s="2"/>
      <c r="U870" s="2"/>
    </row>
    <row r="871" spans="1:21">
      <c r="A871" s="2"/>
      <c r="B871" s="2"/>
      <c r="C871" s="2"/>
      <c r="D871" s="2"/>
      <c r="E871" s="2"/>
      <c r="F871" s="2"/>
      <c r="U871" s="2"/>
    </row>
    <row r="872" spans="1:21">
      <c r="A872" s="2"/>
      <c r="B872" s="2"/>
      <c r="C872" s="2"/>
      <c r="D872" s="2"/>
      <c r="E872" s="2"/>
      <c r="F872" s="2"/>
      <c r="U872" s="2"/>
    </row>
    <row r="873" spans="1:21">
      <c r="A873" s="2"/>
      <c r="B873" s="2"/>
      <c r="C873" s="2"/>
      <c r="D873" s="2"/>
      <c r="E873" s="2"/>
      <c r="F873" s="2"/>
      <c r="U873" s="2"/>
    </row>
    <row r="874" spans="1:21">
      <c r="A874" s="2"/>
      <c r="B874" s="2"/>
      <c r="C874" s="2"/>
      <c r="D874" s="2"/>
      <c r="E874" s="2"/>
      <c r="F874" s="2"/>
      <c r="U874" s="2"/>
    </row>
    <row r="875" spans="1:21">
      <c r="A875" s="2"/>
      <c r="B875" s="2"/>
      <c r="C875" s="2"/>
      <c r="D875" s="2"/>
      <c r="E875" s="2"/>
      <c r="F875" s="2"/>
      <c r="U875" s="2"/>
    </row>
    <row r="876" spans="1:21">
      <c r="A876" s="2"/>
      <c r="B876" s="2"/>
      <c r="C876" s="2"/>
      <c r="D876" s="2"/>
      <c r="E876" s="2"/>
      <c r="F876" s="2"/>
      <c r="U876" s="2"/>
    </row>
    <row r="877" spans="1:21">
      <c r="A877" s="2"/>
      <c r="B877" s="2"/>
      <c r="C877" s="2"/>
      <c r="D877" s="2"/>
      <c r="E877" s="2"/>
      <c r="F877" s="2"/>
      <c r="U877" s="2"/>
    </row>
    <row r="878" spans="1:21">
      <c r="A878" s="2"/>
      <c r="B878" s="2"/>
      <c r="C878" s="2"/>
      <c r="D878" s="2"/>
      <c r="E878" s="2"/>
      <c r="F878" s="2"/>
      <c r="U878" s="2"/>
    </row>
    <row r="879" spans="1:21">
      <c r="A879" s="2"/>
      <c r="B879" s="2"/>
      <c r="C879" s="2"/>
      <c r="D879" s="2"/>
      <c r="E879" s="2"/>
      <c r="F879" s="2"/>
      <c r="U879" s="2"/>
    </row>
    <row r="880" spans="1:21">
      <c r="A880" s="2"/>
      <c r="B880" s="2"/>
      <c r="C880" s="2"/>
      <c r="D880" s="2"/>
      <c r="E880" s="2"/>
      <c r="F880" s="2"/>
      <c r="U880" s="2"/>
    </row>
    <row r="881" spans="1:21">
      <c r="A881" s="2"/>
      <c r="B881" s="2"/>
      <c r="C881" s="2"/>
      <c r="D881" s="2"/>
      <c r="E881" s="2"/>
      <c r="F881" s="2"/>
      <c r="U881" s="2"/>
    </row>
    <row r="882" spans="1:21">
      <c r="A882" s="2"/>
      <c r="B882" s="2"/>
      <c r="C882" s="2"/>
      <c r="D882" s="2"/>
      <c r="E882" s="2"/>
      <c r="F882" s="2"/>
      <c r="U882" s="2"/>
    </row>
    <row r="883" spans="1:21">
      <c r="A883" s="2"/>
      <c r="B883" s="2"/>
      <c r="C883" s="2"/>
      <c r="D883" s="2"/>
      <c r="E883" s="2"/>
      <c r="F883" s="2"/>
      <c r="U883" s="2"/>
    </row>
    <row r="884" spans="1:21">
      <c r="A884" s="2"/>
      <c r="B884" s="2"/>
      <c r="C884" s="2"/>
      <c r="D884" s="2"/>
      <c r="E884" s="2"/>
      <c r="F884" s="2"/>
      <c r="U884" s="2"/>
    </row>
    <row r="885" spans="1:21">
      <c r="A885" s="2"/>
      <c r="B885" s="2"/>
      <c r="C885" s="2"/>
      <c r="D885" s="2"/>
      <c r="E885" s="2"/>
      <c r="F885" s="2"/>
      <c r="U885" s="2"/>
    </row>
    <row r="886" spans="1:21">
      <c r="A886" s="2"/>
      <c r="B886" s="2"/>
      <c r="C886" s="2"/>
      <c r="D886" s="2"/>
      <c r="E886" s="2"/>
      <c r="F886" s="2"/>
      <c r="U886" s="2"/>
    </row>
    <row r="887" spans="1:21">
      <c r="A887" s="2"/>
      <c r="B887" s="2"/>
      <c r="C887" s="2"/>
      <c r="D887" s="2"/>
      <c r="E887" s="2"/>
      <c r="F887" s="2"/>
      <c r="U887" s="2"/>
    </row>
    <row r="888" spans="1:21">
      <c r="A888" s="2"/>
      <c r="B888" s="2"/>
      <c r="C888" s="2"/>
      <c r="D888" s="2"/>
      <c r="E888" s="2"/>
      <c r="F888" s="2"/>
      <c r="U888" s="2"/>
    </row>
    <row r="889" spans="1:21">
      <c r="A889" s="2"/>
      <c r="B889" s="2"/>
      <c r="C889" s="2"/>
      <c r="D889" s="2"/>
      <c r="E889" s="2"/>
      <c r="F889" s="2"/>
      <c r="U889" s="2"/>
    </row>
    <row r="890" spans="1:21">
      <c r="A890" s="2"/>
      <c r="B890" s="2"/>
      <c r="C890" s="2"/>
      <c r="D890" s="2"/>
      <c r="E890" s="2"/>
      <c r="F890" s="2"/>
      <c r="U890" s="2"/>
    </row>
    <row r="891" spans="1:21">
      <c r="A891" s="2"/>
      <c r="B891" s="2"/>
      <c r="C891" s="2"/>
      <c r="D891" s="2"/>
      <c r="E891" s="2"/>
      <c r="F891" s="2"/>
      <c r="U891" s="2"/>
    </row>
    <row r="892" spans="1:21">
      <c r="A892" s="2"/>
      <c r="B892" s="2"/>
      <c r="C892" s="2"/>
      <c r="D892" s="2"/>
      <c r="E892" s="2"/>
      <c r="F892" s="2"/>
      <c r="U892" s="2"/>
    </row>
    <row r="893" spans="1:21">
      <c r="A893" s="2"/>
      <c r="B893" s="2"/>
      <c r="C893" s="2"/>
      <c r="D893" s="2"/>
      <c r="E893" s="2"/>
      <c r="F893" s="2"/>
      <c r="U893" s="2"/>
    </row>
    <row r="894" spans="1:21">
      <c r="A894" s="2"/>
      <c r="B894" s="2"/>
      <c r="C894" s="2"/>
      <c r="D894" s="2"/>
      <c r="E894" s="2"/>
      <c r="F894" s="2"/>
      <c r="U894" s="2"/>
    </row>
    <row r="895" spans="1:21">
      <c r="A895" s="2"/>
      <c r="B895" s="2"/>
      <c r="C895" s="2"/>
      <c r="D895" s="2"/>
      <c r="E895" s="2"/>
      <c r="F895" s="2"/>
      <c r="U895" s="2"/>
    </row>
    <row r="896" spans="1:21">
      <c r="A896" s="2"/>
      <c r="B896" s="2"/>
      <c r="C896" s="2"/>
      <c r="D896" s="2"/>
      <c r="E896" s="2"/>
      <c r="F896" s="2"/>
      <c r="U896" s="2"/>
    </row>
    <row r="897" spans="1:21">
      <c r="A897" s="2"/>
      <c r="B897" s="2"/>
      <c r="C897" s="2"/>
      <c r="D897" s="2"/>
      <c r="E897" s="2"/>
      <c r="F897" s="2"/>
      <c r="U897" s="2"/>
    </row>
    <row r="898" spans="1:21">
      <c r="A898" s="2"/>
      <c r="B898" s="2"/>
      <c r="C898" s="2"/>
      <c r="D898" s="2"/>
      <c r="E898" s="2"/>
      <c r="F898" s="2"/>
      <c r="U898" s="2"/>
    </row>
    <row r="899" spans="1:21">
      <c r="A899" s="2"/>
      <c r="B899" s="2"/>
      <c r="C899" s="2"/>
      <c r="D899" s="2"/>
      <c r="E899" s="2"/>
      <c r="F899" s="2"/>
      <c r="U899" s="2"/>
    </row>
    <row r="900" spans="1:21">
      <c r="A900" s="2"/>
      <c r="B900" s="2"/>
      <c r="C900" s="2"/>
      <c r="D900" s="2"/>
      <c r="E900" s="2"/>
      <c r="F900" s="2"/>
      <c r="U900" s="2"/>
    </row>
    <row r="901" spans="1:21">
      <c r="A901" s="2"/>
      <c r="B901" s="2"/>
      <c r="C901" s="2"/>
      <c r="D901" s="2"/>
      <c r="E901" s="2"/>
      <c r="F901" s="2"/>
      <c r="U901" s="2"/>
    </row>
    <row r="902" spans="1:21">
      <c r="A902" s="2"/>
      <c r="B902" s="2"/>
      <c r="C902" s="2"/>
      <c r="D902" s="2"/>
      <c r="E902" s="2"/>
      <c r="F902" s="2"/>
      <c r="U902" s="2"/>
    </row>
    <row r="903" spans="1:21">
      <c r="A903" s="2"/>
      <c r="B903" s="2"/>
      <c r="C903" s="2"/>
      <c r="D903" s="2"/>
      <c r="E903" s="2"/>
      <c r="F903" s="2"/>
      <c r="U903" s="2"/>
    </row>
    <row r="904" spans="1:21">
      <c r="A904" s="2"/>
      <c r="B904" s="2"/>
      <c r="C904" s="2"/>
      <c r="D904" s="2"/>
      <c r="E904" s="2"/>
      <c r="F904" s="2"/>
      <c r="U904" s="2"/>
    </row>
    <row r="905" spans="1:21">
      <c r="A905" s="2"/>
      <c r="B905" s="2"/>
      <c r="C905" s="2"/>
      <c r="D905" s="2"/>
      <c r="E905" s="2"/>
      <c r="F905" s="2"/>
      <c r="U905" s="2"/>
    </row>
    <row r="906" spans="1:21">
      <c r="A906" s="2"/>
      <c r="B906" s="2"/>
      <c r="C906" s="2"/>
      <c r="D906" s="2"/>
      <c r="E906" s="2"/>
      <c r="F906" s="2"/>
      <c r="U906" s="2"/>
    </row>
    <row r="907" spans="1:21">
      <c r="A907" s="2"/>
      <c r="B907" s="2"/>
      <c r="C907" s="2"/>
      <c r="D907" s="2"/>
      <c r="E907" s="2"/>
      <c r="F907" s="2"/>
      <c r="U907" s="2"/>
    </row>
    <row r="908" spans="1:21">
      <c r="A908" s="2"/>
      <c r="B908" s="2"/>
      <c r="C908" s="2"/>
      <c r="D908" s="2"/>
      <c r="E908" s="2"/>
      <c r="F908" s="2"/>
      <c r="U908" s="2"/>
    </row>
    <row r="909" spans="1:21">
      <c r="A909" s="2"/>
      <c r="B909" s="2"/>
      <c r="C909" s="2"/>
      <c r="D909" s="2"/>
      <c r="E909" s="2"/>
      <c r="F909" s="2"/>
      <c r="U909" s="2"/>
    </row>
    <row r="910" spans="1:21">
      <c r="A910" s="2"/>
      <c r="B910" s="2"/>
      <c r="C910" s="2"/>
      <c r="D910" s="2"/>
      <c r="E910" s="2"/>
      <c r="F910" s="2"/>
      <c r="U910" s="2"/>
    </row>
    <row r="911" spans="1:21">
      <c r="A911" s="2"/>
      <c r="B911" s="2"/>
      <c r="C911" s="2"/>
      <c r="D911" s="2"/>
      <c r="E911" s="2"/>
      <c r="F911" s="2"/>
      <c r="U911" s="2"/>
    </row>
    <row r="912" spans="1:21">
      <c r="A912" s="2"/>
      <c r="B912" s="2"/>
      <c r="C912" s="2"/>
      <c r="D912" s="2"/>
      <c r="E912" s="2"/>
      <c r="F912" s="2"/>
      <c r="U912" s="2"/>
    </row>
    <row r="913" spans="1:21">
      <c r="A913" s="2"/>
      <c r="B913" s="2"/>
      <c r="C913" s="2"/>
      <c r="D913" s="2"/>
      <c r="E913" s="2"/>
      <c r="F913" s="2"/>
      <c r="U913" s="2"/>
    </row>
    <row r="914" spans="1:21">
      <c r="A914" s="2"/>
      <c r="B914" s="2"/>
      <c r="C914" s="2"/>
      <c r="D914" s="2"/>
      <c r="E914" s="2"/>
      <c r="F914" s="2"/>
      <c r="U914" s="2"/>
    </row>
    <row r="915" spans="1:21">
      <c r="A915" s="2"/>
      <c r="B915" s="2"/>
      <c r="C915" s="2"/>
      <c r="D915" s="2"/>
      <c r="E915" s="2"/>
      <c r="F915" s="2"/>
      <c r="U915" s="2"/>
    </row>
    <row r="916" spans="1:21">
      <c r="A916" s="2"/>
      <c r="B916" s="2"/>
      <c r="C916" s="2"/>
      <c r="D916" s="2"/>
      <c r="E916" s="2"/>
      <c r="F916" s="2"/>
      <c r="U916" s="2"/>
    </row>
    <row r="917" spans="1:21">
      <c r="A917" s="2"/>
      <c r="B917" s="2"/>
      <c r="C917" s="2"/>
      <c r="D917" s="2"/>
      <c r="E917" s="2"/>
      <c r="F917" s="2"/>
      <c r="U917" s="2"/>
    </row>
    <row r="918" spans="1:21">
      <c r="A918" s="2"/>
      <c r="B918" s="2"/>
      <c r="C918" s="2"/>
      <c r="D918" s="2"/>
      <c r="E918" s="2"/>
      <c r="F918" s="2"/>
      <c r="U918" s="2"/>
    </row>
    <row r="919" spans="1:21">
      <c r="A919" s="2"/>
      <c r="B919" s="2"/>
      <c r="C919" s="2"/>
      <c r="D919" s="2"/>
      <c r="E919" s="2"/>
      <c r="F919" s="2"/>
      <c r="U919" s="2"/>
    </row>
    <row r="920" spans="1:21">
      <c r="A920" s="2"/>
      <c r="B920" s="2"/>
      <c r="C920" s="2"/>
      <c r="D920" s="2"/>
      <c r="E920" s="2"/>
      <c r="F920" s="2"/>
      <c r="U920" s="2"/>
    </row>
    <row r="921" spans="1:21">
      <c r="A921" s="2"/>
      <c r="B921" s="2"/>
      <c r="C921" s="2"/>
      <c r="D921" s="2"/>
      <c r="E921" s="2"/>
      <c r="F921" s="2"/>
      <c r="U921" s="2"/>
    </row>
    <row r="922" spans="1:21">
      <c r="A922" s="2"/>
      <c r="B922" s="2"/>
      <c r="C922" s="2"/>
      <c r="D922" s="2"/>
      <c r="E922" s="2"/>
      <c r="F922" s="2"/>
      <c r="U922" s="2"/>
    </row>
    <row r="923" spans="1:21">
      <c r="A923" s="2"/>
      <c r="B923" s="2"/>
      <c r="C923" s="2"/>
      <c r="D923" s="2"/>
      <c r="E923" s="2"/>
      <c r="F923" s="2"/>
      <c r="U923" s="2"/>
    </row>
    <row r="924" spans="1:21">
      <c r="A924" s="2"/>
      <c r="B924" s="2"/>
      <c r="C924" s="2"/>
      <c r="D924" s="2"/>
      <c r="E924" s="2"/>
      <c r="F924" s="2"/>
      <c r="U924" s="2"/>
    </row>
    <row r="925" spans="1:21">
      <c r="A925" s="2"/>
      <c r="B925" s="2"/>
      <c r="C925" s="2"/>
      <c r="D925" s="2"/>
      <c r="E925" s="2"/>
      <c r="F925" s="2"/>
      <c r="U925" s="2"/>
    </row>
    <row r="926" spans="1:21">
      <c r="A926" s="2"/>
      <c r="B926" s="2"/>
      <c r="C926" s="2"/>
      <c r="D926" s="2"/>
      <c r="E926" s="2"/>
      <c r="F926" s="2"/>
      <c r="U926" s="2"/>
    </row>
    <row r="927" spans="1:21">
      <c r="A927" s="2"/>
      <c r="B927" s="2"/>
      <c r="C927" s="2"/>
      <c r="D927" s="2"/>
      <c r="E927" s="2"/>
      <c r="F927" s="2"/>
      <c r="U927" s="2"/>
    </row>
    <row r="928" spans="1:21">
      <c r="A928" s="2"/>
      <c r="B928" s="2"/>
      <c r="C928" s="2"/>
      <c r="D928" s="2"/>
      <c r="E928" s="2"/>
      <c r="F928" s="2"/>
      <c r="U928" s="2"/>
    </row>
    <row r="929" spans="1:21">
      <c r="A929" s="2"/>
      <c r="B929" s="2"/>
      <c r="C929" s="2"/>
      <c r="D929" s="2"/>
      <c r="E929" s="2"/>
      <c r="F929" s="2"/>
      <c r="U929" s="2"/>
    </row>
    <row r="930" spans="1:21">
      <c r="A930" s="2"/>
      <c r="B930" s="2"/>
      <c r="C930" s="2"/>
      <c r="D930" s="2"/>
      <c r="E930" s="2"/>
      <c r="F930" s="2"/>
      <c r="U930" s="2"/>
    </row>
    <row r="931" spans="1:21">
      <c r="A931" s="2"/>
      <c r="B931" s="2"/>
      <c r="C931" s="2"/>
      <c r="D931" s="2"/>
      <c r="E931" s="2"/>
      <c r="F931" s="2"/>
      <c r="U931" s="2"/>
    </row>
    <row r="932" spans="1:21">
      <c r="A932" s="2"/>
      <c r="B932" s="2"/>
      <c r="C932" s="2"/>
      <c r="D932" s="2"/>
      <c r="E932" s="2"/>
      <c r="F932" s="2"/>
      <c r="U932" s="2"/>
    </row>
    <row r="933" spans="1:21">
      <c r="A933" s="2"/>
      <c r="B933" s="2"/>
      <c r="C933" s="2"/>
      <c r="D933" s="2"/>
      <c r="E933" s="2"/>
      <c r="F933" s="2"/>
      <c r="U933" s="2"/>
    </row>
    <row r="934" spans="1:21">
      <c r="A934" s="2"/>
      <c r="B934" s="2"/>
      <c r="C934" s="2"/>
      <c r="D934" s="2"/>
      <c r="E934" s="2"/>
      <c r="F934" s="2"/>
      <c r="U934" s="2"/>
    </row>
    <row r="935" spans="1:21">
      <c r="A935" s="2"/>
      <c r="B935" s="2"/>
      <c r="C935" s="2"/>
      <c r="D935" s="2"/>
      <c r="E935" s="2"/>
      <c r="F935" s="2"/>
      <c r="U935" s="2"/>
    </row>
    <row r="936" spans="1:21">
      <c r="A936" s="2"/>
      <c r="B936" s="2"/>
      <c r="C936" s="2"/>
      <c r="D936" s="2"/>
      <c r="E936" s="2"/>
      <c r="F936" s="2"/>
      <c r="U936" s="2"/>
    </row>
    <row r="937" spans="1:21">
      <c r="A937" s="2"/>
      <c r="B937" s="2"/>
      <c r="C937" s="2"/>
      <c r="D937" s="2"/>
      <c r="E937" s="2"/>
      <c r="F937" s="2"/>
      <c r="U937" s="2"/>
    </row>
    <row r="938" spans="1:21">
      <c r="A938" s="2"/>
      <c r="B938" s="2"/>
      <c r="C938" s="2"/>
      <c r="D938" s="2"/>
      <c r="E938" s="2"/>
      <c r="F938" s="2"/>
      <c r="U938" s="2"/>
    </row>
    <row r="939" spans="1:21">
      <c r="A939" s="2"/>
      <c r="B939" s="2"/>
      <c r="C939" s="2"/>
      <c r="D939" s="2"/>
      <c r="E939" s="2"/>
      <c r="F939" s="2"/>
      <c r="U939" s="2"/>
    </row>
    <row r="940" spans="1:21">
      <c r="A940" s="2"/>
      <c r="B940" s="2"/>
      <c r="C940" s="2"/>
      <c r="D940" s="2"/>
      <c r="E940" s="2"/>
      <c r="F940" s="2"/>
      <c r="U940" s="2"/>
    </row>
    <row r="941" spans="1:21">
      <c r="A941" s="2"/>
      <c r="B941" s="2"/>
      <c r="C941" s="2"/>
      <c r="D941" s="2"/>
      <c r="E941" s="2"/>
      <c r="F941" s="2"/>
      <c r="U941" s="2"/>
    </row>
    <row r="942" spans="1:21">
      <c r="A942" s="2"/>
      <c r="B942" s="2"/>
      <c r="C942" s="2"/>
      <c r="D942" s="2"/>
      <c r="E942" s="2"/>
      <c r="F942" s="2"/>
      <c r="U942" s="2"/>
    </row>
    <row r="943" spans="1:21">
      <c r="A943" s="2"/>
      <c r="B943" s="2"/>
      <c r="C943" s="2"/>
      <c r="D943" s="2"/>
      <c r="E943" s="2"/>
      <c r="F943" s="2"/>
      <c r="U943" s="2"/>
    </row>
    <row r="944" spans="1:21">
      <c r="A944" s="2"/>
      <c r="B944" s="2"/>
      <c r="C944" s="2"/>
      <c r="D944" s="2"/>
      <c r="E944" s="2"/>
      <c r="F944" s="2"/>
      <c r="U944" s="2"/>
    </row>
    <row r="945" spans="1:21">
      <c r="A945" s="2"/>
      <c r="B945" s="2"/>
      <c r="C945" s="2"/>
      <c r="D945" s="2"/>
      <c r="E945" s="2"/>
      <c r="F945" s="2"/>
      <c r="U945" s="2"/>
    </row>
    <row r="946" spans="1:21">
      <c r="A946" s="2"/>
      <c r="B946" s="2"/>
      <c r="C946" s="2"/>
      <c r="D946" s="2"/>
      <c r="E946" s="2"/>
      <c r="F946" s="2"/>
      <c r="U946" s="2"/>
    </row>
    <row r="947" spans="1:21">
      <c r="A947" s="2"/>
      <c r="B947" s="2"/>
      <c r="C947" s="2"/>
      <c r="D947" s="2"/>
      <c r="E947" s="2"/>
      <c r="F947" s="2"/>
      <c r="U947" s="2"/>
    </row>
    <row r="948" spans="1:21">
      <c r="A948" s="2"/>
      <c r="B948" s="2"/>
      <c r="C948" s="2"/>
      <c r="D948" s="2"/>
      <c r="E948" s="2"/>
      <c r="F948" s="2"/>
      <c r="U948" s="2"/>
    </row>
    <row r="949" spans="1:21">
      <c r="A949" s="2"/>
      <c r="B949" s="2"/>
      <c r="C949" s="2"/>
      <c r="D949" s="2"/>
      <c r="E949" s="2"/>
      <c r="F949" s="2"/>
      <c r="U949" s="2"/>
    </row>
    <row r="950" spans="1:21">
      <c r="A950" s="2"/>
      <c r="B950" s="2"/>
      <c r="C950" s="2"/>
      <c r="D950" s="2"/>
      <c r="E950" s="2"/>
      <c r="F950" s="2"/>
      <c r="U950" s="2"/>
    </row>
    <row r="951" spans="1:21">
      <c r="A951" s="2"/>
      <c r="B951" s="2"/>
      <c r="C951" s="2"/>
      <c r="D951" s="2"/>
      <c r="E951" s="2"/>
      <c r="F951" s="2"/>
      <c r="U951" s="2"/>
    </row>
    <row r="952" spans="1:21">
      <c r="A952" s="2"/>
      <c r="B952" s="2"/>
      <c r="C952" s="2"/>
      <c r="D952" s="2"/>
      <c r="E952" s="2"/>
      <c r="F952" s="2"/>
      <c r="U952" s="2"/>
    </row>
    <row r="953" spans="1:21">
      <c r="A953" s="2"/>
      <c r="B953" s="2"/>
      <c r="C953" s="2"/>
      <c r="D953" s="2"/>
      <c r="E953" s="2"/>
      <c r="F953" s="2"/>
      <c r="U953" s="2"/>
    </row>
    <row r="954" spans="1:21">
      <c r="A954" s="2"/>
      <c r="B954" s="2"/>
      <c r="C954" s="2"/>
      <c r="D954" s="2"/>
      <c r="E954" s="2"/>
      <c r="F954" s="2"/>
      <c r="U954" s="2"/>
    </row>
    <row r="955" spans="1:21">
      <c r="A955" s="2"/>
      <c r="B955" s="2"/>
      <c r="C955" s="2"/>
      <c r="D955" s="2"/>
      <c r="E955" s="2"/>
      <c r="F955" s="2"/>
      <c r="U955" s="2"/>
    </row>
    <row r="956" spans="1:21">
      <c r="A956" s="2"/>
      <c r="B956" s="2"/>
      <c r="C956" s="2"/>
      <c r="D956" s="2"/>
      <c r="E956" s="2"/>
      <c r="F956" s="2"/>
      <c r="U956" s="2"/>
    </row>
    <row r="957" spans="1:21">
      <c r="A957" s="2"/>
      <c r="B957" s="2"/>
      <c r="C957" s="2"/>
      <c r="D957" s="2"/>
      <c r="E957" s="2"/>
      <c r="F957" s="2"/>
      <c r="U957" s="2"/>
    </row>
    <row r="958" spans="1:21">
      <c r="A958" s="2"/>
      <c r="B958" s="2"/>
      <c r="C958" s="2"/>
      <c r="D958" s="2"/>
      <c r="E958" s="2"/>
      <c r="F958" s="2"/>
      <c r="U958" s="2"/>
    </row>
    <row r="959" spans="1:21">
      <c r="A959" s="2"/>
      <c r="B959" s="2"/>
      <c r="C959" s="2"/>
      <c r="D959" s="2"/>
      <c r="E959" s="2"/>
      <c r="F959" s="2"/>
      <c r="U959" s="2"/>
    </row>
    <row r="960" spans="1:21">
      <c r="A960" s="2"/>
      <c r="B960" s="2"/>
      <c r="C960" s="2"/>
      <c r="D960" s="2"/>
      <c r="E960" s="2"/>
      <c r="F960" s="2"/>
      <c r="U960" s="2"/>
    </row>
    <row r="961" spans="1:21">
      <c r="A961" s="2"/>
      <c r="B961" s="2"/>
      <c r="C961" s="2"/>
      <c r="D961" s="2"/>
      <c r="E961" s="2"/>
      <c r="F961" s="2"/>
      <c r="U961" s="2"/>
    </row>
    <row r="962" spans="1:21">
      <c r="A962" s="2"/>
      <c r="B962" s="2"/>
      <c r="C962" s="2"/>
      <c r="D962" s="2"/>
      <c r="E962" s="2"/>
      <c r="F962" s="2"/>
      <c r="U962" s="2"/>
    </row>
    <row r="963" spans="1:21">
      <c r="A963" s="2"/>
      <c r="B963" s="2"/>
      <c r="C963" s="2"/>
      <c r="D963" s="2"/>
      <c r="E963" s="2"/>
      <c r="F963" s="2"/>
      <c r="U963" s="2"/>
    </row>
    <row r="964" spans="1:21">
      <c r="A964" s="2"/>
      <c r="B964" s="2"/>
      <c r="C964" s="2"/>
      <c r="D964" s="2"/>
      <c r="E964" s="2"/>
      <c r="F964" s="2"/>
      <c r="U964" s="2"/>
    </row>
    <row r="965" spans="1:21">
      <c r="A965" s="2"/>
      <c r="B965" s="2"/>
      <c r="C965" s="2"/>
      <c r="D965" s="2"/>
      <c r="E965" s="2"/>
      <c r="F965" s="2"/>
      <c r="U965" s="2"/>
    </row>
    <row r="966" spans="1:21">
      <c r="A966" s="2"/>
      <c r="B966" s="2"/>
      <c r="C966" s="2"/>
      <c r="D966" s="2"/>
      <c r="E966" s="2"/>
      <c r="F966" s="2"/>
      <c r="U966" s="2"/>
    </row>
    <row r="967" spans="1:21">
      <c r="A967" s="2"/>
      <c r="B967" s="2"/>
      <c r="C967" s="2"/>
      <c r="D967" s="2"/>
      <c r="E967" s="2"/>
      <c r="F967" s="2"/>
      <c r="U967" s="2"/>
    </row>
    <row r="968" spans="1:21">
      <c r="A968" s="2"/>
      <c r="B968" s="2"/>
      <c r="C968" s="2"/>
      <c r="D968" s="2"/>
      <c r="E968" s="2"/>
      <c r="F968" s="2"/>
      <c r="U968" s="2"/>
    </row>
    <row r="969" spans="1:21">
      <c r="A969" s="2"/>
      <c r="B969" s="2"/>
      <c r="C969" s="2"/>
      <c r="D969" s="2"/>
      <c r="E969" s="2"/>
      <c r="F969" s="2"/>
      <c r="U969" s="2"/>
    </row>
    <row r="970" spans="1:21">
      <c r="A970" s="2"/>
      <c r="B970" s="2"/>
      <c r="C970" s="2"/>
      <c r="D970" s="2"/>
      <c r="E970" s="2"/>
      <c r="F970" s="2"/>
      <c r="U970" s="2"/>
    </row>
    <row r="971" spans="1:21">
      <c r="A971" s="2"/>
      <c r="B971" s="2"/>
      <c r="C971" s="2"/>
      <c r="D971" s="2"/>
      <c r="E971" s="2"/>
      <c r="F971" s="2"/>
      <c r="U971" s="2"/>
    </row>
    <row r="972" spans="1:21">
      <c r="A972" s="2"/>
      <c r="B972" s="2"/>
      <c r="C972" s="2"/>
      <c r="D972" s="2"/>
      <c r="E972" s="2"/>
      <c r="F972" s="2"/>
      <c r="U972" s="2"/>
    </row>
    <row r="973" spans="1:21">
      <c r="A973" s="2"/>
      <c r="B973" s="2"/>
      <c r="C973" s="2"/>
      <c r="D973" s="2"/>
      <c r="E973" s="2"/>
      <c r="F973" s="2"/>
      <c r="U973" s="2"/>
    </row>
    <row r="974" spans="1:21">
      <c r="A974" s="2"/>
      <c r="B974" s="2"/>
      <c r="C974" s="2"/>
      <c r="D974" s="2"/>
      <c r="E974" s="2"/>
      <c r="F974" s="2"/>
      <c r="U974" s="2"/>
    </row>
    <row r="975" spans="1:21">
      <c r="A975" s="2"/>
      <c r="B975" s="2"/>
      <c r="C975" s="2"/>
      <c r="D975" s="2"/>
      <c r="E975" s="2"/>
      <c r="F975" s="2"/>
      <c r="U975" s="2"/>
    </row>
    <row r="976" spans="1:21">
      <c r="A976" s="2"/>
      <c r="B976" s="2"/>
      <c r="C976" s="2"/>
      <c r="D976" s="2"/>
      <c r="E976" s="2"/>
      <c r="F976" s="2"/>
      <c r="U976" s="2"/>
    </row>
    <row r="977" spans="1:21">
      <c r="A977" s="2"/>
      <c r="B977" s="2"/>
      <c r="C977" s="2"/>
      <c r="D977" s="2"/>
      <c r="E977" s="2"/>
      <c r="F977" s="2"/>
      <c r="U977" s="2"/>
    </row>
    <row r="978" spans="1:21">
      <c r="A978" s="2"/>
      <c r="B978" s="2"/>
      <c r="C978" s="2"/>
      <c r="D978" s="2"/>
      <c r="E978" s="2"/>
      <c r="F978" s="2"/>
      <c r="U978" s="2"/>
    </row>
    <row r="979" spans="1:21">
      <c r="A979" s="2"/>
      <c r="B979" s="2"/>
      <c r="C979" s="2"/>
      <c r="D979" s="2"/>
      <c r="E979" s="2"/>
      <c r="F979" s="2"/>
      <c r="U979" s="2"/>
    </row>
    <row r="980" spans="1:21">
      <c r="A980" s="2"/>
      <c r="B980" s="2"/>
      <c r="C980" s="2"/>
      <c r="D980" s="2"/>
      <c r="E980" s="2"/>
      <c r="F980" s="2"/>
      <c r="U980" s="2"/>
    </row>
    <row r="981" spans="1:21">
      <c r="A981" s="2"/>
      <c r="B981" s="2"/>
      <c r="C981" s="2"/>
      <c r="D981" s="2"/>
      <c r="E981" s="2"/>
      <c r="F981" s="2"/>
      <c r="U981" s="2"/>
    </row>
    <row r="982" spans="1:21">
      <c r="A982" s="2"/>
      <c r="B982" s="2"/>
      <c r="C982" s="2"/>
      <c r="D982" s="2"/>
      <c r="E982" s="2"/>
      <c r="F982" s="2"/>
      <c r="U982" s="2"/>
    </row>
    <row r="983" spans="1:21">
      <c r="A983" s="2"/>
      <c r="B983" s="2"/>
      <c r="C983" s="2"/>
      <c r="D983" s="2"/>
      <c r="E983" s="2"/>
      <c r="F983" s="2"/>
      <c r="U983" s="2"/>
    </row>
    <row r="984" spans="1:21">
      <c r="A984" s="2"/>
      <c r="B984" s="2"/>
      <c r="C984" s="2"/>
      <c r="D984" s="2"/>
      <c r="E984" s="2"/>
      <c r="F984" s="2"/>
      <c r="U984" s="2"/>
    </row>
    <row r="985" spans="1:21">
      <c r="A985" s="2"/>
      <c r="B985" s="2"/>
      <c r="C985" s="2"/>
      <c r="D985" s="2"/>
      <c r="E985" s="2"/>
      <c r="F985" s="2"/>
      <c r="U985" s="2"/>
    </row>
    <row r="986" spans="1:21">
      <c r="A986" s="2"/>
      <c r="B986" s="2"/>
      <c r="C986" s="2"/>
      <c r="D986" s="2"/>
      <c r="E986" s="2"/>
      <c r="F986" s="2"/>
      <c r="U986" s="2"/>
    </row>
    <row r="987" spans="1:21">
      <c r="A987" s="2"/>
      <c r="B987" s="2"/>
      <c r="C987" s="2"/>
      <c r="D987" s="2"/>
      <c r="E987" s="2"/>
      <c r="F987" s="2"/>
      <c r="U987" s="2"/>
    </row>
    <row r="988" spans="1:21">
      <c r="A988" s="2"/>
      <c r="B988" s="2"/>
      <c r="C988" s="2"/>
      <c r="D988" s="2"/>
      <c r="E988" s="2"/>
      <c r="F988" s="2"/>
      <c r="U988" s="2"/>
    </row>
    <row r="989" spans="1:21">
      <c r="A989" s="2"/>
      <c r="B989" s="2"/>
      <c r="C989" s="2"/>
      <c r="D989" s="2"/>
      <c r="E989" s="2"/>
      <c r="F989" s="2"/>
      <c r="U989" s="2"/>
    </row>
    <row r="990" spans="1:21">
      <c r="A990" s="2"/>
      <c r="B990" s="2"/>
      <c r="C990" s="2"/>
      <c r="D990" s="2"/>
      <c r="E990" s="2"/>
      <c r="F990" s="2"/>
      <c r="U990" s="2"/>
    </row>
    <row r="991" spans="1:21">
      <c r="A991" s="2"/>
      <c r="B991" s="2"/>
      <c r="C991" s="2"/>
      <c r="D991" s="2"/>
      <c r="E991" s="2"/>
      <c r="F991" s="2"/>
      <c r="U991" s="2"/>
    </row>
    <row r="992" spans="1:21">
      <c r="A992" s="2"/>
      <c r="B992" s="2"/>
      <c r="C992" s="2"/>
      <c r="D992" s="2"/>
      <c r="E992" s="2"/>
      <c r="F992" s="2"/>
      <c r="U992" s="2"/>
    </row>
    <row r="993" spans="1:21">
      <c r="A993" s="2"/>
      <c r="B993" s="2"/>
      <c r="C993" s="2"/>
      <c r="D993" s="2"/>
      <c r="E993" s="2"/>
      <c r="F993" s="2"/>
      <c r="U993" s="2"/>
    </row>
    <row r="994" spans="1:21">
      <c r="A994" s="2"/>
      <c r="B994" s="2"/>
      <c r="C994" s="2"/>
      <c r="D994" s="2"/>
      <c r="E994" s="2"/>
      <c r="F994" s="2"/>
      <c r="U994" s="2"/>
    </row>
    <row r="995" spans="1:21">
      <c r="A995" s="2"/>
      <c r="B995" s="2"/>
      <c r="C995" s="2"/>
      <c r="D995" s="2"/>
      <c r="E995" s="2"/>
      <c r="F995" s="2"/>
      <c r="U995" s="2"/>
    </row>
    <row r="996" spans="1:21">
      <c r="A996" s="2"/>
      <c r="B996" s="2"/>
      <c r="C996" s="2"/>
      <c r="D996" s="2"/>
      <c r="E996" s="2"/>
      <c r="F996" s="2"/>
      <c r="U996" s="2"/>
    </row>
    <row r="997" spans="1:21">
      <c r="A997" s="2"/>
      <c r="B997" s="2"/>
      <c r="C997" s="2"/>
      <c r="D997" s="2"/>
      <c r="E997" s="2"/>
      <c r="F997" s="2"/>
      <c r="U997" s="2"/>
    </row>
    <row r="998" spans="1:21">
      <c r="A998" s="2"/>
      <c r="B998" s="2"/>
      <c r="C998" s="2"/>
      <c r="D998" s="2"/>
      <c r="E998" s="2"/>
      <c r="F998" s="2"/>
      <c r="U998" s="2"/>
    </row>
    <row r="999" spans="1:21">
      <c r="A999" s="2"/>
      <c r="B999" s="2"/>
      <c r="C999" s="2"/>
      <c r="D999" s="2"/>
      <c r="E999" s="2"/>
      <c r="F999" s="2"/>
      <c r="U999" s="2"/>
    </row>
    <row r="1000" spans="1:21">
      <c r="A1000" s="2"/>
      <c r="B1000" s="2"/>
      <c r="C1000" s="2"/>
      <c r="D1000" s="2"/>
      <c r="E1000" s="2"/>
      <c r="F1000" s="2"/>
      <c r="U1000" s="2"/>
    </row>
    <row r="1001" spans="1:21">
      <c r="A1001" s="2"/>
      <c r="B1001" s="2"/>
      <c r="C1001" s="2"/>
      <c r="D1001" s="2"/>
      <c r="E1001" s="2"/>
      <c r="F1001" s="2"/>
      <c r="U1001" s="2"/>
    </row>
    <row r="1002" spans="1:21">
      <c r="A1002" s="2"/>
      <c r="B1002" s="2"/>
      <c r="C1002" s="2"/>
      <c r="D1002" s="2"/>
      <c r="E1002" s="2"/>
      <c r="F1002" s="2"/>
      <c r="U1002" s="2"/>
    </row>
    <row r="1003" spans="1:21">
      <c r="A1003" s="2"/>
      <c r="B1003" s="2"/>
      <c r="C1003" s="2"/>
      <c r="D1003" s="2"/>
      <c r="E1003" s="2"/>
      <c r="F1003" s="2"/>
      <c r="U1003" s="2"/>
    </row>
    <row r="1004" spans="1:21">
      <c r="A1004" s="2"/>
      <c r="B1004" s="2"/>
      <c r="C1004" s="2"/>
      <c r="D1004" s="2"/>
      <c r="E1004" s="2"/>
      <c r="F1004" s="2"/>
      <c r="U1004" s="2"/>
    </row>
    <row r="1005" spans="1:21">
      <c r="A1005" s="2"/>
      <c r="B1005" s="2"/>
      <c r="C1005" s="2"/>
      <c r="D1005" s="2"/>
      <c r="E1005" s="2"/>
      <c r="F1005" s="2"/>
      <c r="U1005" s="2"/>
    </row>
    <row r="1006" spans="1:21">
      <c r="A1006" s="2"/>
      <c r="B1006" s="2"/>
      <c r="C1006" s="2"/>
      <c r="D1006" s="2"/>
      <c r="E1006" s="2"/>
      <c r="F1006" s="2"/>
      <c r="U1006" s="2"/>
    </row>
    <row r="1007" spans="1:21">
      <c r="A1007" s="2"/>
      <c r="B1007" s="2"/>
      <c r="C1007" s="2"/>
      <c r="D1007" s="2"/>
      <c r="E1007" s="2"/>
      <c r="F1007" s="2"/>
      <c r="U1007" s="2"/>
    </row>
    <row r="1008" spans="1:21">
      <c r="A1008" s="2"/>
      <c r="B1008" s="2"/>
      <c r="C1008" s="2"/>
      <c r="D1008" s="2"/>
      <c r="E1008" s="2"/>
      <c r="F1008" s="2"/>
      <c r="U1008" s="2"/>
    </row>
    <row r="1009" spans="1:21">
      <c r="A1009" s="2"/>
      <c r="B1009" s="2"/>
      <c r="C1009" s="2"/>
      <c r="D1009" s="2"/>
      <c r="E1009" s="2"/>
      <c r="F1009" s="2"/>
      <c r="U1009" s="2"/>
    </row>
    <row r="1010" spans="1:21">
      <c r="A1010" s="2"/>
      <c r="B1010" s="2"/>
      <c r="C1010" s="2"/>
      <c r="D1010" s="2"/>
      <c r="E1010" s="2"/>
      <c r="F1010" s="2"/>
      <c r="U1010" s="2"/>
    </row>
    <row r="1011" spans="1:21">
      <c r="A1011" s="2"/>
      <c r="B1011" s="2"/>
      <c r="C1011" s="2"/>
      <c r="D1011" s="2"/>
      <c r="E1011" s="2"/>
      <c r="F1011" s="2"/>
      <c r="U1011" s="2"/>
    </row>
    <row r="1012" spans="1:21">
      <c r="A1012" s="2"/>
      <c r="B1012" s="2"/>
      <c r="C1012" s="2"/>
      <c r="D1012" s="2"/>
      <c r="E1012" s="2"/>
      <c r="F1012" s="2"/>
      <c r="U1012" s="2"/>
    </row>
    <row r="1013" spans="1:21">
      <c r="A1013" s="2"/>
      <c r="B1013" s="2"/>
      <c r="C1013" s="2"/>
      <c r="D1013" s="2"/>
      <c r="E1013" s="2"/>
      <c r="F1013" s="2"/>
      <c r="U1013" s="2"/>
    </row>
    <row r="1014" spans="1:21">
      <c r="A1014" s="2"/>
      <c r="B1014" s="2"/>
      <c r="C1014" s="2"/>
      <c r="D1014" s="2"/>
      <c r="E1014" s="2"/>
      <c r="F1014" s="2"/>
      <c r="U1014" s="2"/>
    </row>
    <row r="1015" spans="1:21">
      <c r="A1015" s="2"/>
      <c r="B1015" s="2"/>
      <c r="C1015" s="2"/>
      <c r="D1015" s="2"/>
      <c r="E1015" s="2"/>
      <c r="F1015" s="2"/>
      <c r="U1015" s="2"/>
    </row>
    <row r="1016" spans="1:21">
      <c r="A1016" s="2"/>
      <c r="B1016" s="2"/>
      <c r="C1016" s="2"/>
      <c r="D1016" s="2"/>
      <c r="E1016" s="2"/>
      <c r="F1016" s="2"/>
      <c r="U1016" s="2"/>
    </row>
    <row r="1017" spans="1:21">
      <c r="A1017" s="2"/>
      <c r="B1017" s="2"/>
      <c r="C1017" s="2"/>
      <c r="D1017" s="2"/>
      <c r="E1017" s="2"/>
      <c r="F1017" s="2"/>
      <c r="U1017" s="2"/>
    </row>
    <row r="1018" spans="1:21">
      <c r="A1018" s="2"/>
      <c r="B1018" s="2"/>
      <c r="C1018" s="2"/>
      <c r="D1018" s="2"/>
      <c r="E1018" s="2"/>
      <c r="F1018" s="2"/>
      <c r="U1018" s="2"/>
    </row>
    <row r="1019" spans="1:21">
      <c r="A1019" s="2"/>
      <c r="B1019" s="2"/>
      <c r="C1019" s="2"/>
      <c r="D1019" s="2"/>
      <c r="E1019" s="2"/>
      <c r="F1019" s="2"/>
      <c r="U1019" s="2"/>
    </row>
    <row r="1020" spans="1:21">
      <c r="A1020" s="2"/>
      <c r="B1020" s="2"/>
      <c r="C1020" s="2"/>
      <c r="D1020" s="2"/>
      <c r="E1020" s="2"/>
      <c r="F1020" s="2"/>
      <c r="U1020" s="2"/>
    </row>
    <row r="1021" spans="1:21">
      <c r="A1021" s="2"/>
      <c r="B1021" s="2"/>
      <c r="C1021" s="2"/>
      <c r="D1021" s="2"/>
      <c r="E1021" s="2"/>
      <c r="F1021" s="2"/>
      <c r="U1021" s="2"/>
    </row>
    <row r="1022" spans="1:21">
      <c r="A1022" s="2"/>
      <c r="B1022" s="2"/>
      <c r="C1022" s="2"/>
      <c r="D1022" s="2"/>
      <c r="E1022" s="2"/>
      <c r="F1022" s="2"/>
      <c r="U1022" s="2"/>
    </row>
    <row r="1023" spans="1:21">
      <c r="A1023" s="2"/>
      <c r="B1023" s="2"/>
      <c r="C1023" s="2"/>
      <c r="D1023" s="2"/>
      <c r="E1023" s="2"/>
      <c r="F1023" s="2"/>
      <c r="U1023" s="2"/>
    </row>
    <row r="1024" spans="1:21">
      <c r="A1024" s="2"/>
      <c r="B1024" s="2"/>
      <c r="C1024" s="2"/>
      <c r="D1024" s="2"/>
      <c r="E1024" s="2"/>
      <c r="F1024" s="2"/>
      <c r="U1024" s="2"/>
    </row>
    <row r="1025" spans="1:21">
      <c r="A1025" s="2"/>
      <c r="B1025" s="2"/>
      <c r="C1025" s="2"/>
      <c r="D1025" s="2"/>
      <c r="E1025" s="2"/>
      <c r="F1025" s="2"/>
      <c r="U1025" s="2"/>
    </row>
    <row r="1026" spans="1:21">
      <c r="A1026" s="2"/>
      <c r="B1026" s="2"/>
      <c r="C1026" s="2"/>
      <c r="D1026" s="2"/>
      <c r="E1026" s="2"/>
      <c r="F1026" s="2"/>
      <c r="U1026" s="2"/>
    </row>
    <row r="1027" spans="1:21">
      <c r="A1027" s="2"/>
      <c r="B1027" s="2"/>
      <c r="C1027" s="2"/>
      <c r="D1027" s="2"/>
      <c r="E1027" s="2"/>
      <c r="F1027" s="2"/>
      <c r="U1027" s="2"/>
    </row>
    <row r="1028" spans="1:21">
      <c r="A1028" s="2"/>
      <c r="B1028" s="2"/>
      <c r="C1028" s="2"/>
      <c r="D1028" s="2"/>
      <c r="E1028" s="2"/>
      <c r="F1028" s="2"/>
      <c r="U1028" s="2"/>
    </row>
    <row r="1029" spans="1:21">
      <c r="A1029" s="2"/>
      <c r="B1029" s="2"/>
      <c r="C1029" s="2"/>
      <c r="D1029" s="2"/>
      <c r="E1029" s="2"/>
      <c r="F1029" s="2"/>
      <c r="U1029" s="2"/>
    </row>
    <row r="1030" spans="1:21">
      <c r="A1030" s="2"/>
      <c r="B1030" s="2"/>
      <c r="C1030" s="2"/>
      <c r="D1030" s="2"/>
      <c r="E1030" s="2"/>
      <c r="F1030" s="2"/>
      <c r="U1030" s="2"/>
    </row>
    <row r="1031" spans="1:21">
      <c r="A1031" s="2"/>
      <c r="B1031" s="2"/>
      <c r="C1031" s="2"/>
      <c r="D1031" s="2"/>
      <c r="E1031" s="2"/>
      <c r="F1031" s="2"/>
      <c r="U1031" s="2"/>
    </row>
    <row r="1032" spans="1:21">
      <c r="A1032" s="2"/>
      <c r="B1032" s="2"/>
      <c r="C1032" s="2"/>
      <c r="D1032" s="2"/>
      <c r="E1032" s="2"/>
      <c r="F1032" s="2"/>
      <c r="U1032" s="2"/>
    </row>
    <row r="1033" spans="1:21">
      <c r="A1033" s="2"/>
      <c r="B1033" s="2"/>
      <c r="C1033" s="2"/>
      <c r="D1033" s="2"/>
      <c r="E1033" s="2"/>
      <c r="F1033" s="2"/>
      <c r="U1033" s="2"/>
    </row>
    <row r="1034" spans="1:21">
      <c r="A1034" s="2"/>
      <c r="B1034" s="2"/>
      <c r="C1034" s="2"/>
      <c r="D1034" s="2"/>
      <c r="E1034" s="2"/>
      <c r="F1034" s="2"/>
      <c r="U1034" s="2"/>
    </row>
    <row r="1035" spans="1:21">
      <c r="A1035" s="2"/>
      <c r="B1035" s="2"/>
      <c r="C1035" s="2"/>
      <c r="D1035" s="2"/>
      <c r="E1035" s="2"/>
      <c r="F1035" s="2"/>
      <c r="U1035" s="2"/>
    </row>
    <row r="1036" spans="1:21">
      <c r="A1036" s="2"/>
      <c r="B1036" s="2"/>
      <c r="C1036" s="2"/>
      <c r="D1036" s="2"/>
      <c r="E1036" s="2"/>
      <c r="F1036" s="2"/>
      <c r="U1036" s="2"/>
    </row>
    <row r="1037" spans="1:21">
      <c r="A1037" s="2"/>
      <c r="B1037" s="2"/>
      <c r="C1037" s="2"/>
      <c r="D1037" s="2"/>
      <c r="E1037" s="2"/>
      <c r="F1037" s="2"/>
      <c r="U1037" s="2"/>
    </row>
    <row r="1038" spans="1:21">
      <c r="A1038" s="2"/>
      <c r="B1038" s="2"/>
      <c r="C1038" s="2"/>
      <c r="D1038" s="2"/>
      <c r="E1038" s="2"/>
      <c r="F1038" s="2"/>
      <c r="U1038" s="2"/>
    </row>
    <row r="1039" spans="1:21">
      <c r="A1039" s="2"/>
      <c r="B1039" s="2"/>
      <c r="C1039" s="2"/>
      <c r="D1039" s="2"/>
      <c r="E1039" s="2"/>
      <c r="F1039" s="2"/>
      <c r="U1039" s="2"/>
    </row>
    <row r="1040" spans="1:21">
      <c r="A1040" s="2"/>
      <c r="B1040" s="2"/>
      <c r="C1040" s="2"/>
      <c r="D1040" s="2"/>
      <c r="E1040" s="2"/>
      <c r="F1040" s="2"/>
      <c r="U1040" s="2"/>
    </row>
    <row r="1041" spans="1:21">
      <c r="A1041" s="2"/>
      <c r="B1041" s="2"/>
      <c r="C1041" s="2"/>
      <c r="D1041" s="2"/>
      <c r="E1041" s="2"/>
      <c r="F1041" s="2"/>
      <c r="U1041" s="2"/>
    </row>
    <row r="1042" spans="1:21">
      <c r="A1042" s="2"/>
      <c r="B1042" s="2"/>
      <c r="C1042" s="2"/>
      <c r="D1042" s="2"/>
      <c r="E1042" s="2"/>
      <c r="F1042" s="2"/>
      <c r="U1042" s="2"/>
    </row>
    <row r="1043" spans="1:21">
      <c r="A1043" s="2"/>
      <c r="B1043" s="2"/>
      <c r="C1043" s="2"/>
      <c r="D1043" s="2"/>
      <c r="E1043" s="2"/>
      <c r="F1043" s="2"/>
      <c r="U1043" s="2"/>
    </row>
    <row r="1044" spans="1:21">
      <c r="A1044" s="2"/>
      <c r="B1044" s="2"/>
      <c r="C1044" s="2"/>
      <c r="D1044" s="2"/>
      <c r="E1044" s="2"/>
      <c r="F1044" s="2"/>
      <c r="U1044" s="2"/>
    </row>
    <row r="1045" spans="1:21">
      <c r="A1045" s="2"/>
      <c r="B1045" s="2"/>
      <c r="C1045" s="2"/>
      <c r="D1045" s="2"/>
      <c r="E1045" s="2"/>
      <c r="F1045" s="2"/>
      <c r="U1045" s="2"/>
    </row>
    <row r="1046" spans="1:21">
      <c r="A1046" s="2"/>
      <c r="B1046" s="2"/>
      <c r="C1046" s="2"/>
      <c r="D1046" s="2"/>
      <c r="E1046" s="2"/>
      <c r="F1046" s="2"/>
      <c r="U1046" s="2"/>
    </row>
    <row r="1047" spans="1:21">
      <c r="A1047" s="2"/>
      <c r="B1047" s="2"/>
      <c r="C1047" s="2"/>
      <c r="D1047" s="2"/>
      <c r="E1047" s="2"/>
      <c r="F1047" s="2"/>
      <c r="U1047" s="2"/>
    </row>
    <row r="1048" spans="1:21">
      <c r="A1048" s="2"/>
      <c r="B1048" s="2"/>
      <c r="C1048" s="2"/>
      <c r="D1048" s="2"/>
      <c r="E1048" s="2"/>
      <c r="F1048" s="2"/>
      <c r="U1048" s="2"/>
    </row>
    <row r="1049" spans="1:21">
      <c r="A1049" s="2"/>
      <c r="B1049" s="2"/>
      <c r="C1049" s="2"/>
      <c r="D1049" s="2"/>
      <c r="E1049" s="2"/>
      <c r="F1049" s="2"/>
      <c r="U1049" s="2"/>
    </row>
    <row r="1050" spans="1:21">
      <c r="A1050" s="2"/>
      <c r="B1050" s="2"/>
      <c r="C1050" s="2"/>
      <c r="D1050" s="2"/>
      <c r="E1050" s="2"/>
      <c r="F1050" s="2"/>
      <c r="U1050" s="2"/>
    </row>
    <row r="1051" spans="1:21">
      <c r="A1051" s="2"/>
      <c r="B1051" s="2"/>
      <c r="C1051" s="2"/>
      <c r="D1051" s="2"/>
      <c r="E1051" s="2"/>
      <c r="F1051" s="2"/>
      <c r="U1051" s="2"/>
    </row>
    <row r="1052" spans="1:21">
      <c r="A1052" s="2"/>
      <c r="B1052" s="2"/>
      <c r="C1052" s="2"/>
      <c r="D1052" s="2"/>
      <c r="E1052" s="2"/>
      <c r="F1052" s="2"/>
      <c r="U1052" s="2"/>
    </row>
    <row r="1053" spans="1:21">
      <c r="A1053" s="2"/>
      <c r="B1053" s="2"/>
      <c r="C1053" s="2"/>
      <c r="D1053" s="2"/>
      <c r="E1053" s="2"/>
      <c r="F1053" s="2"/>
      <c r="U1053" s="2"/>
    </row>
    <row r="1054" spans="1:21">
      <c r="A1054" s="2"/>
      <c r="B1054" s="2"/>
      <c r="C1054" s="2"/>
      <c r="D1054" s="2"/>
      <c r="E1054" s="2"/>
      <c r="F1054" s="2"/>
      <c r="U1054" s="2"/>
    </row>
    <row r="1055" spans="1:21">
      <c r="A1055" s="2"/>
      <c r="B1055" s="2"/>
      <c r="C1055" s="2"/>
      <c r="D1055" s="2"/>
      <c r="E1055" s="2"/>
      <c r="F1055" s="2"/>
      <c r="U1055" s="2"/>
    </row>
    <row r="1056" spans="1:21">
      <c r="A1056" s="2"/>
      <c r="B1056" s="2"/>
      <c r="C1056" s="2"/>
      <c r="D1056" s="2"/>
      <c r="E1056" s="2"/>
      <c r="F1056" s="2"/>
      <c r="U1056" s="2"/>
    </row>
    <row r="1057" spans="1:21">
      <c r="A1057" s="2"/>
      <c r="B1057" s="2"/>
      <c r="C1057" s="2"/>
      <c r="D1057" s="2"/>
      <c r="E1057" s="2"/>
      <c r="F1057" s="2"/>
      <c r="U1057" s="2"/>
    </row>
    <row r="1058" spans="1:21">
      <c r="A1058" s="2"/>
      <c r="B1058" s="2"/>
      <c r="C1058" s="2"/>
      <c r="D1058" s="2"/>
      <c r="E1058" s="2"/>
      <c r="F1058" s="2"/>
      <c r="U1058" s="2"/>
    </row>
    <row r="1059" spans="1:21">
      <c r="A1059" s="2"/>
      <c r="B1059" s="2"/>
      <c r="C1059" s="2"/>
      <c r="D1059" s="2"/>
      <c r="E1059" s="2"/>
      <c r="F1059" s="2"/>
      <c r="U1059" s="2"/>
    </row>
    <row r="1060" spans="1:21">
      <c r="A1060" s="2"/>
      <c r="B1060" s="2"/>
      <c r="C1060" s="2"/>
      <c r="D1060" s="2"/>
      <c r="E1060" s="2"/>
      <c r="F1060" s="2"/>
      <c r="U1060" s="2"/>
    </row>
    <row r="1061" spans="1:21">
      <c r="A1061" s="2"/>
      <c r="B1061" s="2"/>
      <c r="C1061" s="2"/>
      <c r="D1061" s="2"/>
      <c r="E1061" s="2"/>
      <c r="F1061" s="2"/>
      <c r="U1061" s="2"/>
    </row>
    <row r="1062" spans="1:21">
      <c r="A1062" s="2"/>
      <c r="B1062" s="2"/>
      <c r="C1062" s="2"/>
      <c r="D1062" s="2"/>
      <c r="E1062" s="2"/>
      <c r="F1062" s="2"/>
      <c r="U1062" s="2"/>
    </row>
    <row r="1063" spans="1:21">
      <c r="A1063" s="2"/>
      <c r="B1063" s="2"/>
      <c r="C1063" s="2"/>
      <c r="D1063" s="2"/>
      <c r="E1063" s="2"/>
      <c r="F1063" s="2"/>
      <c r="U1063" s="2"/>
    </row>
    <row r="1064" spans="1:21">
      <c r="A1064" s="2"/>
      <c r="B1064" s="2"/>
      <c r="C1064" s="2"/>
      <c r="D1064" s="2"/>
      <c r="E1064" s="2"/>
      <c r="F1064" s="2"/>
      <c r="U1064" s="2"/>
    </row>
    <row r="1065" spans="1:21">
      <c r="A1065" s="2"/>
      <c r="B1065" s="2"/>
      <c r="C1065" s="2"/>
      <c r="D1065" s="2"/>
      <c r="E1065" s="2"/>
      <c r="F1065" s="2"/>
      <c r="U1065" s="2"/>
    </row>
    <row r="1066" spans="1:21">
      <c r="A1066" s="2"/>
      <c r="B1066" s="2"/>
      <c r="C1066" s="2"/>
      <c r="D1066" s="2"/>
      <c r="E1066" s="2"/>
      <c r="F1066" s="2"/>
      <c r="U1066" s="2"/>
    </row>
    <row r="1067" spans="1:21">
      <c r="A1067" s="2"/>
      <c r="B1067" s="2"/>
      <c r="C1067" s="2"/>
      <c r="D1067" s="2"/>
      <c r="E1067" s="2"/>
      <c r="F1067" s="2"/>
      <c r="U1067" s="2"/>
    </row>
    <row r="1068" spans="1:21">
      <c r="A1068" s="2"/>
      <c r="B1068" s="2"/>
      <c r="C1068" s="2"/>
      <c r="D1068" s="2"/>
      <c r="E1068" s="2"/>
      <c r="F1068" s="2"/>
      <c r="U1068" s="2"/>
    </row>
    <row r="1069" spans="1:21">
      <c r="A1069" s="2"/>
      <c r="B1069" s="2"/>
      <c r="C1069" s="2"/>
      <c r="D1069" s="2"/>
      <c r="E1069" s="2"/>
      <c r="F1069" s="2"/>
      <c r="U1069" s="2"/>
    </row>
    <row r="1070" spans="1:21">
      <c r="A1070" s="2"/>
      <c r="B1070" s="2"/>
      <c r="C1070" s="2"/>
      <c r="D1070" s="2"/>
      <c r="E1070" s="2"/>
      <c r="F1070" s="2"/>
      <c r="U1070" s="2"/>
    </row>
    <row r="1071" spans="1:21">
      <c r="A1071" s="2"/>
      <c r="B1071" s="2"/>
      <c r="C1071" s="2"/>
      <c r="D1071" s="2"/>
      <c r="E1071" s="2"/>
      <c r="F1071" s="2"/>
      <c r="U1071" s="2"/>
    </row>
    <row r="1072" spans="1:21">
      <c r="A1072" s="2"/>
      <c r="B1072" s="2"/>
      <c r="C1072" s="2"/>
      <c r="D1072" s="2"/>
      <c r="E1072" s="2"/>
      <c r="F1072" s="2"/>
      <c r="U1072" s="2"/>
    </row>
    <row r="1073" spans="1:21">
      <c r="A1073" s="2"/>
      <c r="B1073" s="2"/>
      <c r="C1073" s="2"/>
      <c r="D1073" s="2"/>
      <c r="E1073" s="2"/>
      <c r="F1073" s="2"/>
      <c r="U1073" s="2"/>
    </row>
    <row r="1074" spans="1:21">
      <c r="A1074" s="2"/>
      <c r="B1074" s="2"/>
      <c r="C1074" s="2"/>
      <c r="D1074" s="2"/>
      <c r="E1074" s="2"/>
      <c r="F1074" s="2"/>
      <c r="U1074" s="2"/>
    </row>
    <row r="1075" spans="1:21">
      <c r="A1075" s="2"/>
      <c r="B1075" s="2"/>
      <c r="C1075" s="2"/>
      <c r="D1075" s="2"/>
      <c r="E1075" s="2"/>
      <c r="F1075" s="2"/>
      <c r="U1075" s="2"/>
    </row>
    <row r="1076" spans="1:21">
      <c r="A1076" s="2"/>
      <c r="B1076" s="2"/>
      <c r="C1076" s="2"/>
      <c r="D1076" s="2"/>
      <c r="E1076" s="2"/>
      <c r="F1076" s="2"/>
      <c r="U1076" s="2"/>
    </row>
    <row r="1077" spans="1:21">
      <c r="A1077" s="2"/>
      <c r="B1077" s="2"/>
      <c r="C1077" s="2"/>
      <c r="D1077" s="2"/>
      <c r="E1077" s="2"/>
      <c r="F1077" s="2"/>
      <c r="U1077" s="2"/>
    </row>
    <row r="1078" spans="1:21">
      <c r="A1078" s="2"/>
      <c r="B1078" s="2"/>
      <c r="C1078" s="2"/>
      <c r="D1078" s="2"/>
      <c r="E1078" s="2"/>
      <c r="F1078" s="2"/>
      <c r="U1078" s="2"/>
    </row>
    <row r="1079" spans="1:21">
      <c r="A1079" s="2"/>
      <c r="B1079" s="2"/>
      <c r="C1079" s="2"/>
      <c r="D1079" s="2"/>
      <c r="E1079" s="2"/>
      <c r="F1079" s="2"/>
      <c r="U1079" s="2"/>
    </row>
    <row r="1080" spans="1:21">
      <c r="A1080" s="2"/>
      <c r="B1080" s="2"/>
      <c r="C1080" s="2"/>
      <c r="D1080" s="2"/>
      <c r="E1080" s="2"/>
      <c r="F1080" s="2"/>
      <c r="U1080" s="2"/>
    </row>
    <row r="1081" spans="1:21">
      <c r="A1081" s="2"/>
      <c r="B1081" s="2"/>
      <c r="C1081" s="2"/>
      <c r="D1081" s="2"/>
      <c r="E1081" s="2"/>
      <c r="F1081" s="2"/>
      <c r="U1081" s="2"/>
    </row>
    <row r="1082" spans="1:21">
      <c r="A1082" s="2"/>
      <c r="B1082" s="2"/>
      <c r="C1082" s="2"/>
      <c r="D1082" s="2"/>
      <c r="E1082" s="2"/>
      <c r="F1082" s="2"/>
      <c r="U1082" s="2"/>
    </row>
    <row r="1083" spans="1:21">
      <c r="A1083" s="2"/>
      <c r="B1083" s="2"/>
      <c r="C1083" s="2"/>
      <c r="D1083" s="2"/>
      <c r="E1083" s="2"/>
      <c r="F1083" s="2"/>
      <c r="U1083" s="2"/>
    </row>
    <row r="1084" spans="1:21">
      <c r="A1084" s="2"/>
      <c r="B1084" s="2"/>
      <c r="C1084" s="2"/>
      <c r="D1084" s="2"/>
      <c r="E1084" s="2"/>
      <c r="F1084" s="2"/>
      <c r="U1084" s="2"/>
    </row>
    <row r="1085" spans="1:21">
      <c r="A1085" s="2"/>
      <c r="B1085" s="2"/>
      <c r="C1085" s="2"/>
      <c r="D1085" s="2"/>
      <c r="E1085" s="2"/>
      <c r="F1085" s="2"/>
      <c r="U1085" s="2"/>
    </row>
    <row r="1086" spans="1:21">
      <c r="A1086" s="2"/>
      <c r="B1086" s="2"/>
      <c r="C1086" s="2"/>
      <c r="D1086" s="2"/>
      <c r="E1086" s="2"/>
      <c r="F1086" s="2"/>
      <c r="U1086" s="2"/>
    </row>
    <row r="1087" spans="1:21">
      <c r="A1087" s="2"/>
      <c r="B1087" s="2"/>
      <c r="C1087" s="2"/>
      <c r="D1087" s="2"/>
      <c r="E1087" s="2"/>
      <c r="F1087" s="2"/>
      <c r="U1087" s="2"/>
    </row>
    <row r="1088" spans="1:21">
      <c r="A1088" s="2"/>
      <c r="B1088" s="2"/>
      <c r="C1088" s="2"/>
      <c r="D1088" s="2"/>
      <c r="E1088" s="2"/>
      <c r="F1088" s="2"/>
      <c r="U1088" s="2"/>
    </row>
    <row r="1089" spans="1:21">
      <c r="A1089" s="2"/>
      <c r="B1089" s="2"/>
      <c r="C1089" s="2"/>
      <c r="D1089" s="2"/>
      <c r="E1089" s="2"/>
      <c r="F1089" s="2"/>
      <c r="U1089" s="2"/>
    </row>
    <row r="1090" spans="1:21">
      <c r="A1090" s="2"/>
      <c r="B1090" s="2"/>
      <c r="C1090" s="2"/>
      <c r="D1090" s="2"/>
      <c r="E1090" s="2"/>
      <c r="F1090" s="2"/>
      <c r="U1090" s="2"/>
    </row>
    <row r="1091" spans="1:21">
      <c r="A1091" s="2"/>
      <c r="B1091" s="2"/>
      <c r="C1091" s="2"/>
      <c r="D1091" s="2"/>
      <c r="E1091" s="2"/>
      <c r="F1091" s="2"/>
      <c r="U1091" s="2"/>
    </row>
    <row r="1092" spans="1:21">
      <c r="A1092" s="2"/>
      <c r="B1092" s="2"/>
      <c r="C1092" s="2"/>
      <c r="D1092" s="2"/>
      <c r="E1092" s="2"/>
      <c r="F1092" s="2"/>
      <c r="U1092" s="2"/>
    </row>
    <row r="1093" spans="1:21">
      <c r="A1093" s="2"/>
      <c r="B1093" s="2"/>
      <c r="C1093" s="2"/>
      <c r="D1093" s="2"/>
      <c r="E1093" s="2"/>
      <c r="F1093" s="2"/>
      <c r="U1093" s="2"/>
    </row>
    <row r="1094" spans="1:21">
      <c r="A1094" s="2"/>
      <c r="B1094" s="2"/>
      <c r="C1094" s="2"/>
      <c r="D1094" s="2"/>
      <c r="E1094" s="2"/>
      <c r="F1094" s="2"/>
      <c r="U1094" s="2"/>
    </row>
    <row r="1095" spans="1:21">
      <c r="A1095" s="2"/>
      <c r="B1095" s="2"/>
      <c r="C1095" s="2"/>
      <c r="D1095" s="2"/>
      <c r="E1095" s="2"/>
      <c r="F1095" s="2"/>
      <c r="U1095" s="2"/>
    </row>
    <row r="1096" spans="1:21">
      <c r="A1096" s="2"/>
      <c r="B1096" s="2"/>
      <c r="C1096" s="2"/>
      <c r="D1096" s="2"/>
      <c r="E1096" s="2"/>
      <c r="F1096" s="2"/>
      <c r="U1096" s="2"/>
    </row>
    <row r="1097" spans="1:21">
      <c r="A1097" s="2"/>
      <c r="B1097" s="2"/>
      <c r="C1097" s="2"/>
      <c r="D1097" s="2"/>
      <c r="E1097" s="2"/>
      <c r="F1097" s="2"/>
      <c r="U1097" s="2"/>
    </row>
    <row r="1098" spans="1:21">
      <c r="A1098" s="2"/>
      <c r="B1098" s="2"/>
      <c r="C1098" s="2"/>
      <c r="D1098" s="2"/>
      <c r="E1098" s="2"/>
      <c r="F1098" s="2"/>
      <c r="U1098" s="2"/>
    </row>
    <row r="1099" spans="1:21">
      <c r="A1099" s="2"/>
      <c r="B1099" s="2"/>
      <c r="C1099" s="2"/>
      <c r="D1099" s="2"/>
      <c r="E1099" s="2"/>
      <c r="F1099" s="2"/>
      <c r="U1099" s="2"/>
    </row>
    <row r="1100" spans="1:21">
      <c r="A1100" s="2"/>
      <c r="B1100" s="2"/>
      <c r="C1100" s="2"/>
      <c r="D1100" s="2"/>
      <c r="E1100" s="2"/>
      <c r="F1100" s="2"/>
      <c r="U1100" s="2"/>
    </row>
    <row r="1101" spans="1:21">
      <c r="A1101" s="2"/>
      <c r="B1101" s="2"/>
      <c r="C1101" s="2"/>
      <c r="D1101" s="2"/>
      <c r="E1101" s="2"/>
      <c r="F1101" s="2"/>
      <c r="U1101" s="2"/>
    </row>
    <row r="1102" spans="1:21">
      <c r="A1102" s="2"/>
      <c r="B1102" s="2"/>
      <c r="C1102" s="2"/>
      <c r="D1102" s="2"/>
      <c r="E1102" s="2"/>
      <c r="F1102" s="2"/>
      <c r="U1102" s="2"/>
    </row>
    <row r="1103" spans="1:21">
      <c r="A1103" s="2"/>
      <c r="B1103" s="2"/>
      <c r="C1103" s="2"/>
      <c r="D1103" s="2"/>
      <c r="E1103" s="2"/>
      <c r="F1103" s="2"/>
      <c r="U1103" s="2"/>
    </row>
    <row r="1104" spans="1:21">
      <c r="A1104" s="2"/>
      <c r="B1104" s="2"/>
      <c r="C1104" s="2"/>
      <c r="D1104" s="2"/>
      <c r="E1104" s="2"/>
      <c r="F1104" s="2"/>
      <c r="U1104" s="2"/>
    </row>
    <row r="1105" spans="1:21">
      <c r="A1105" s="2"/>
      <c r="B1105" s="2"/>
      <c r="C1105" s="2"/>
      <c r="D1105" s="2"/>
      <c r="E1105" s="2"/>
      <c r="F1105" s="2"/>
      <c r="U1105" s="2"/>
    </row>
    <row r="1106" spans="1:21">
      <c r="A1106" s="2"/>
      <c r="B1106" s="2"/>
      <c r="C1106" s="2"/>
      <c r="D1106" s="2"/>
      <c r="E1106" s="2"/>
      <c r="F1106" s="2"/>
      <c r="U1106" s="2"/>
    </row>
    <row r="1107" spans="1:21">
      <c r="A1107" s="2"/>
      <c r="B1107" s="2"/>
      <c r="C1107" s="2"/>
      <c r="D1107" s="2"/>
      <c r="E1107" s="2"/>
      <c r="F1107" s="2"/>
      <c r="U1107" s="2"/>
    </row>
    <row r="1108" spans="1:21">
      <c r="A1108" s="2"/>
      <c r="B1108" s="2"/>
      <c r="C1108" s="2"/>
      <c r="D1108" s="2"/>
      <c r="E1108" s="2"/>
      <c r="F1108" s="2"/>
      <c r="U1108" s="2"/>
    </row>
    <row r="1109" spans="1:21">
      <c r="A1109" s="2"/>
      <c r="B1109" s="2"/>
      <c r="C1109" s="2"/>
      <c r="D1109" s="2"/>
      <c r="E1109" s="2"/>
      <c r="F1109" s="2"/>
      <c r="U1109" s="2"/>
    </row>
    <row r="1110" spans="1:21">
      <c r="A1110" s="2"/>
      <c r="B1110" s="2"/>
      <c r="C1110" s="2"/>
      <c r="D1110" s="2"/>
      <c r="E1110" s="2"/>
      <c r="F1110" s="2"/>
      <c r="U1110" s="2"/>
    </row>
    <row r="1111" spans="1:21">
      <c r="A1111" s="2"/>
      <c r="B1111" s="2"/>
      <c r="C1111" s="2"/>
      <c r="D1111" s="2"/>
      <c r="E1111" s="2"/>
      <c r="F1111" s="2"/>
      <c r="U1111" s="2"/>
    </row>
    <row r="1112" spans="1:21">
      <c r="A1112" s="2"/>
      <c r="B1112" s="2"/>
      <c r="C1112" s="2"/>
      <c r="D1112" s="2"/>
      <c r="E1112" s="2"/>
      <c r="F1112" s="2"/>
      <c r="U1112" s="2"/>
    </row>
    <row r="1113" spans="1:21">
      <c r="A1113" s="2"/>
      <c r="B1113" s="2"/>
      <c r="C1113" s="2"/>
      <c r="D1113" s="2"/>
      <c r="E1113" s="2"/>
      <c r="F1113" s="2"/>
      <c r="U1113" s="2"/>
    </row>
    <row r="1114" spans="1:21">
      <c r="A1114" s="2"/>
      <c r="B1114" s="2"/>
      <c r="C1114" s="2"/>
      <c r="D1114" s="2"/>
      <c r="E1114" s="2"/>
      <c r="F1114" s="2"/>
      <c r="U1114" s="2"/>
    </row>
    <row r="1115" spans="1:21">
      <c r="A1115" s="2"/>
      <c r="B1115" s="2"/>
      <c r="C1115" s="2"/>
      <c r="D1115" s="2"/>
      <c r="E1115" s="2"/>
      <c r="F1115" s="2"/>
      <c r="U1115" s="2"/>
    </row>
    <row r="1116" spans="1:21">
      <c r="A1116" s="2"/>
      <c r="B1116" s="2"/>
      <c r="C1116" s="2"/>
      <c r="D1116" s="2"/>
      <c r="E1116" s="2"/>
      <c r="F1116" s="2"/>
      <c r="U1116" s="2"/>
    </row>
    <row r="1117" spans="1:21">
      <c r="A1117" s="2"/>
      <c r="B1117" s="2"/>
      <c r="C1117" s="2"/>
      <c r="D1117" s="2"/>
      <c r="E1117" s="2"/>
      <c r="F1117" s="2"/>
      <c r="U1117" s="2"/>
    </row>
    <row r="1118" spans="1:21">
      <c r="A1118" s="2"/>
      <c r="B1118" s="2"/>
      <c r="C1118" s="2"/>
      <c r="D1118" s="2"/>
      <c r="E1118" s="2"/>
      <c r="F1118" s="2"/>
      <c r="U1118" s="2"/>
    </row>
    <row r="1119" spans="1:21">
      <c r="A1119" s="2"/>
      <c r="B1119" s="2"/>
      <c r="C1119" s="2"/>
      <c r="D1119" s="2"/>
      <c r="E1119" s="2"/>
      <c r="F1119" s="2"/>
      <c r="U1119" s="2"/>
    </row>
    <row r="1120" spans="1:21">
      <c r="A1120" s="2"/>
      <c r="B1120" s="2"/>
      <c r="C1120" s="2"/>
      <c r="D1120" s="2"/>
      <c r="E1120" s="2"/>
      <c r="F1120" s="2"/>
      <c r="U1120" s="2"/>
    </row>
    <row r="1121" spans="1:21">
      <c r="A1121" s="2"/>
      <c r="B1121" s="2"/>
      <c r="C1121" s="2"/>
      <c r="D1121" s="2"/>
      <c r="E1121" s="2"/>
      <c r="F1121" s="2"/>
      <c r="U1121" s="2"/>
    </row>
    <row r="1122" spans="1:21">
      <c r="A1122" s="2"/>
      <c r="B1122" s="2"/>
      <c r="C1122" s="2"/>
      <c r="D1122" s="2"/>
      <c r="E1122" s="2"/>
      <c r="F1122" s="2"/>
      <c r="U1122" s="2"/>
    </row>
    <row r="1123" spans="1:21">
      <c r="A1123" s="2"/>
      <c r="B1123" s="2"/>
      <c r="C1123" s="2"/>
      <c r="D1123" s="2"/>
      <c r="E1123" s="2"/>
      <c r="F1123" s="2"/>
      <c r="U1123" s="2"/>
    </row>
    <row r="1124" spans="1:21">
      <c r="A1124" s="2"/>
      <c r="B1124" s="2"/>
      <c r="C1124" s="2"/>
      <c r="D1124" s="2"/>
      <c r="E1124" s="2"/>
      <c r="F1124" s="2"/>
      <c r="U1124" s="2"/>
    </row>
    <row r="1125" spans="1:21">
      <c r="A1125" s="2"/>
      <c r="B1125" s="2"/>
      <c r="C1125" s="2"/>
      <c r="D1125" s="2"/>
      <c r="E1125" s="2"/>
      <c r="F1125" s="2"/>
      <c r="U1125" s="2"/>
    </row>
    <row r="1126" spans="1:21">
      <c r="A1126" s="2"/>
      <c r="B1126" s="2"/>
      <c r="C1126" s="2"/>
      <c r="D1126" s="2"/>
      <c r="E1126" s="2"/>
      <c r="F1126" s="2"/>
      <c r="U1126" s="2"/>
    </row>
  </sheetData>
  <mergeCells count="55">
    <mergeCell ref="A5:U5"/>
    <mergeCell ref="A7:U7"/>
    <mergeCell ref="U8:U10"/>
    <mergeCell ref="J8:J9"/>
    <mergeCell ref="L8:L9"/>
    <mergeCell ref="M8:T9"/>
    <mergeCell ref="V8:V10"/>
    <mergeCell ref="V32:V46"/>
    <mergeCell ref="V55:V57"/>
    <mergeCell ref="V75:V83"/>
    <mergeCell ref="A54:U54"/>
    <mergeCell ref="U55:U57"/>
    <mergeCell ref="J55:J56"/>
    <mergeCell ref="A120:A121"/>
    <mergeCell ref="A151:A152"/>
    <mergeCell ref="F114:H115"/>
    <mergeCell ref="L55:L56"/>
    <mergeCell ref="M55:T56"/>
    <mergeCell ref="N235:S235"/>
    <mergeCell ref="N236:S236"/>
    <mergeCell ref="X11:Y11"/>
    <mergeCell ref="L218:Q218"/>
    <mergeCell ref="N219:S219"/>
    <mergeCell ref="N220:S220"/>
    <mergeCell ref="N221:S221"/>
    <mergeCell ref="N237:S237"/>
    <mergeCell ref="N238:S238"/>
    <mergeCell ref="N253:S253"/>
    <mergeCell ref="N222:S222"/>
    <mergeCell ref="N223:S223"/>
    <mergeCell ref="N224:S224"/>
    <mergeCell ref="N225:S225"/>
    <mergeCell ref="N226:S226"/>
    <mergeCell ref="N227:S227"/>
    <mergeCell ref="N228:S228"/>
    <mergeCell ref="N229:S229"/>
    <mergeCell ref="N230:S230"/>
    <mergeCell ref="N231:S231"/>
    <mergeCell ref="N232:S232"/>
    <mergeCell ref="N233:S233"/>
    <mergeCell ref="N234:S234"/>
    <mergeCell ref="N239:S239"/>
    <mergeCell ref="N240:S240"/>
    <mergeCell ref="N241:S241"/>
    <mergeCell ref="N242:S242"/>
    <mergeCell ref="N243:S243"/>
    <mergeCell ref="N249:S249"/>
    <mergeCell ref="N250:S250"/>
    <mergeCell ref="N251:S251"/>
    <mergeCell ref="N252:S252"/>
    <mergeCell ref="N244:S244"/>
    <mergeCell ref="N245:S245"/>
    <mergeCell ref="N246:S246"/>
    <mergeCell ref="N247:S247"/>
    <mergeCell ref="N248:S248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19" orientation="landscape" useFirstPageNumber="1" r:id="rId1"/>
  <headerFooter alignWithMargins="0">
    <oddHeader>&amp;C&amp;"Arial,Kursywa"Wieloletnia prognoza finansowa Województwa Zachodniopomorskiego na lata 2016 - 2038 
____________________________________________________________________________________________________________________</oddHeader>
    <oddFooter>&amp;C&amp;8&amp;P</oddFooter>
  </headerFooter>
  <rowBreaks count="2" manualBreakCount="2">
    <brk id="53" max="15" man="1"/>
    <brk id="93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67"/>
  <sheetViews>
    <sheetView showGridLines="0" zoomScaleNormal="100" zoomScaleSheetLayoutView="100" workbookViewId="0">
      <pane xSplit="3" ySplit="9" topLeftCell="D19" activePane="bottomRight" state="frozen"/>
      <selection pane="topRight" activeCell="D1" sqref="D1"/>
      <selection pane="bottomLeft" activeCell="A10" sqref="A10"/>
      <selection pane="bottomRight" activeCell="B54" sqref="B54"/>
    </sheetView>
  </sheetViews>
  <sheetFormatPr defaultRowHeight="11.25"/>
  <cols>
    <col min="1" max="1" width="2.85546875" style="858" customWidth="1"/>
    <col min="2" max="2" width="60.42578125" style="859" customWidth="1"/>
    <col min="3" max="3" width="10.5703125" style="859" customWidth="1"/>
    <col min="4" max="4" width="14.42578125" style="859" customWidth="1"/>
    <col min="5" max="5" width="10.140625" style="859" hidden="1" customWidth="1"/>
    <col min="6" max="8" width="11.5703125" style="859" hidden="1" customWidth="1"/>
    <col min="9" max="9" width="6" style="859" hidden="1" customWidth="1"/>
    <col min="10" max="10" width="9.5703125" style="859" hidden="1" customWidth="1"/>
    <col min="11" max="11" width="9.85546875" style="859" hidden="1" customWidth="1"/>
    <col min="12" max="12" width="9.7109375" style="859" hidden="1" customWidth="1"/>
    <col min="13" max="13" width="11.5703125" style="859" customWidth="1"/>
    <col min="14" max="14" width="9.5703125" style="859" hidden="1" customWidth="1"/>
    <col min="15" max="15" width="11.140625" style="859" customWidth="1"/>
    <col min="16" max="16" width="9.28515625" style="905" customWidth="1"/>
    <col min="17" max="17" width="9.28515625" style="903" customWidth="1"/>
    <col min="18" max="18" width="8" style="903" customWidth="1"/>
    <col min="19" max="19" width="7.85546875" style="903" customWidth="1"/>
    <col min="20" max="21" width="8.7109375" style="903" customWidth="1"/>
    <col min="22" max="23" width="7" style="903" bestFit="1" customWidth="1"/>
    <col min="24" max="24" width="11.42578125" style="903" customWidth="1"/>
    <col min="25" max="25" width="15.28515625" style="906" customWidth="1"/>
    <col min="26" max="26" width="11.85546875" style="859" customWidth="1"/>
    <col min="27" max="261" width="9.140625" style="859"/>
    <col min="262" max="262" width="2.85546875" style="859" customWidth="1"/>
    <col min="263" max="263" width="50.7109375" style="859" customWidth="1"/>
    <col min="264" max="264" width="9.42578125" style="859" customWidth="1"/>
    <col min="265" max="265" width="11.85546875" style="859" customWidth="1"/>
    <col min="266" max="266" width="8.42578125" style="859" bestFit="1" customWidth="1"/>
    <col min="267" max="269" width="0" style="859" hidden="1" customWidth="1"/>
    <col min="270" max="270" width="6" style="859" bestFit="1" customWidth="1"/>
    <col min="271" max="271" width="9.5703125" style="859" customWidth="1"/>
    <col min="272" max="272" width="9.85546875" style="859" customWidth="1"/>
    <col min="273" max="273" width="9.7109375" style="859" customWidth="1"/>
    <col min="274" max="274" width="9.5703125" style="859" customWidth="1"/>
    <col min="275" max="275" width="9.85546875" style="859" customWidth="1"/>
    <col min="276" max="276" width="6.5703125" style="859" customWidth="1"/>
    <col min="277" max="277" width="6" style="859" bestFit="1" customWidth="1"/>
    <col min="278" max="278" width="6.28515625" style="859" customWidth="1"/>
    <col min="279" max="279" width="11.7109375" style="859" customWidth="1"/>
    <col min="280" max="280" width="0" style="859" hidden="1" customWidth="1"/>
    <col min="281" max="281" width="14.5703125" style="859" customWidth="1"/>
    <col min="282" max="282" width="11.85546875" style="859" customWidth="1"/>
    <col min="283" max="517" width="9.140625" style="859"/>
    <col min="518" max="518" width="2.85546875" style="859" customWidth="1"/>
    <col min="519" max="519" width="50.7109375" style="859" customWidth="1"/>
    <col min="520" max="520" width="9.42578125" style="859" customWidth="1"/>
    <col min="521" max="521" width="11.85546875" style="859" customWidth="1"/>
    <col min="522" max="522" width="8.42578125" style="859" bestFit="1" customWidth="1"/>
    <col min="523" max="525" width="0" style="859" hidden="1" customWidth="1"/>
    <col min="526" max="526" width="6" style="859" bestFit="1" customWidth="1"/>
    <col min="527" max="527" width="9.5703125" style="859" customWidth="1"/>
    <col min="528" max="528" width="9.85546875" style="859" customWidth="1"/>
    <col min="529" max="529" width="9.7109375" style="859" customWidth="1"/>
    <col min="530" max="530" width="9.5703125" style="859" customWidth="1"/>
    <col min="531" max="531" width="9.85546875" style="859" customWidth="1"/>
    <col min="532" max="532" width="6.5703125" style="859" customWidth="1"/>
    <col min="533" max="533" width="6" style="859" bestFit="1" customWidth="1"/>
    <col min="534" max="534" width="6.28515625" style="859" customWidth="1"/>
    <col min="535" max="535" width="11.7109375" style="859" customWidth="1"/>
    <col min="536" max="536" width="0" style="859" hidden="1" customWidth="1"/>
    <col min="537" max="537" width="14.5703125" style="859" customWidth="1"/>
    <col min="538" max="538" width="11.85546875" style="859" customWidth="1"/>
    <col min="539" max="773" width="9.140625" style="859"/>
    <col min="774" max="774" width="2.85546875" style="859" customWidth="1"/>
    <col min="775" max="775" width="50.7109375" style="859" customWidth="1"/>
    <col min="776" max="776" width="9.42578125" style="859" customWidth="1"/>
    <col min="777" max="777" width="11.85546875" style="859" customWidth="1"/>
    <col min="778" max="778" width="8.42578125" style="859" bestFit="1" customWidth="1"/>
    <col min="779" max="781" width="0" style="859" hidden="1" customWidth="1"/>
    <col min="782" max="782" width="6" style="859" bestFit="1" customWidth="1"/>
    <col min="783" max="783" width="9.5703125" style="859" customWidth="1"/>
    <col min="784" max="784" width="9.85546875" style="859" customWidth="1"/>
    <col min="785" max="785" width="9.7109375" style="859" customWidth="1"/>
    <col min="786" max="786" width="9.5703125" style="859" customWidth="1"/>
    <col min="787" max="787" width="9.85546875" style="859" customWidth="1"/>
    <col min="788" max="788" width="6.5703125" style="859" customWidth="1"/>
    <col min="789" max="789" width="6" style="859" bestFit="1" customWidth="1"/>
    <col min="790" max="790" width="6.28515625" style="859" customWidth="1"/>
    <col min="791" max="791" width="11.7109375" style="859" customWidth="1"/>
    <col min="792" max="792" width="0" style="859" hidden="1" customWidth="1"/>
    <col min="793" max="793" width="14.5703125" style="859" customWidth="1"/>
    <col min="794" max="794" width="11.85546875" style="859" customWidth="1"/>
    <col min="795" max="1029" width="9.140625" style="859"/>
    <col min="1030" max="1030" width="2.85546875" style="859" customWidth="1"/>
    <col min="1031" max="1031" width="50.7109375" style="859" customWidth="1"/>
    <col min="1032" max="1032" width="9.42578125" style="859" customWidth="1"/>
    <col min="1033" max="1033" width="11.85546875" style="859" customWidth="1"/>
    <col min="1034" max="1034" width="8.42578125" style="859" bestFit="1" customWidth="1"/>
    <col min="1035" max="1037" width="0" style="859" hidden="1" customWidth="1"/>
    <col min="1038" max="1038" width="6" style="859" bestFit="1" customWidth="1"/>
    <col min="1039" max="1039" width="9.5703125" style="859" customWidth="1"/>
    <col min="1040" max="1040" width="9.85546875" style="859" customWidth="1"/>
    <col min="1041" max="1041" width="9.7109375" style="859" customWidth="1"/>
    <col min="1042" max="1042" width="9.5703125" style="859" customWidth="1"/>
    <col min="1043" max="1043" width="9.85546875" style="859" customWidth="1"/>
    <col min="1044" max="1044" width="6.5703125" style="859" customWidth="1"/>
    <col min="1045" max="1045" width="6" style="859" bestFit="1" customWidth="1"/>
    <col min="1046" max="1046" width="6.28515625" style="859" customWidth="1"/>
    <col min="1047" max="1047" width="11.7109375" style="859" customWidth="1"/>
    <col min="1048" max="1048" width="0" style="859" hidden="1" customWidth="1"/>
    <col min="1049" max="1049" width="14.5703125" style="859" customWidth="1"/>
    <col min="1050" max="1050" width="11.85546875" style="859" customWidth="1"/>
    <col min="1051" max="1285" width="9.140625" style="859"/>
    <col min="1286" max="1286" width="2.85546875" style="859" customWidth="1"/>
    <col min="1287" max="1287" width="50.7109375" style="859" customWidth="1"/>
    <col min="1288" max="1288" width="9.42578125" style="859" customWidth="1"/>
    <col min="1289" max="1289" width="11.85546875" style="859" customWidth="1"/>
    <col min="1290" max="1290" width="8.42578125" style="859" bestFit="1" customWidth="1"/>
    <col min="1291" max="1293" width="0" style="859" hidden="1" customWidth="1"/>
    <col min="1294" max="1294" width="6" style="859" bestFit="1" customWidth="1"/>
    <col min="1295" max="1295" width="9.5703125" style="859" customWidth="1"/>
    <col min="1296" max="1296" width="9.85546875" style="859" customWidth="1"/>
    <col min="1297" max="1297" width="9.7109375" style="859" customWidth="1"/>
    <col min="1298" max="1298" width="9.5703125" style="859" customWidth="1"/>
    <col min="1299" max="1299" width="9.85546875" style="859" customWidth="1"/>
    <col min="1300" max="1300" width="6.5703125" style="859" customWidth="1"/>
    <col min="1301" max="1301" width="6" style="859" bestFit="1" customWidth="1"/>
    <col min="1302" max="1302" width="6.28515625" style="859" customWidth="1"/>
    <col min="1303" max="1303" width="11.7109375" style="859" customWidth="1"/>
    <col min="1304" max="1304" width="0" style="859" hidden="1" customWidth="1"/>
    <col min="1305" max="1305" width="14.5703125" style="859" customWidth="1"/>
    <col min="1306" max="1306" width="11.85546875" style="859" customWidth="1"/>
    <col min="1307" max="1541" width="9.140625" style="859"/>
    <col min="1542" max="1542" width="2.85546875" style="859" customWidth="1"/>
    <col min="1543" max="1543" width="50.7109375" style="859" customWidth="1"/>
    <col min="1544" max="1544" width="9.42578125" style="859" customWidth="1"/>
    <col min="1545" max="1545" width="11.85546875" style="859" customWidth="1"/>
    <col min="1546" max="1546" width="8.42578125" style="859" bestFit="1" customWidth="1"/>
    <col min="1547" max="1549" width="0" style="859" hidden="1" customWidth="1"/>
    <col min="1550" max="1550" width="6" style="859" bestFit="1" customWidth="1"/>
    <col min="1551" max="1551" width="9.5703125" style="859" customWidth="1"/>
    <col min="1552" max="1552" width="9.85546875" style="859" customWidth="1"/>
    <col min="1553" max="1553" width="9.7109375" style="859" customWidth="1"/>
    <col min="1554" max="1554" width="9.5703125" style="859" customWidth="1"/>
    <col min="1555" max="1555" width="9.85546875" style="859" customWidth="1"/>
    <col min="1556" max="1556" width="6.5703125" style="859" customWidth="1"/>
    <col min="1557" max="1557" width="6" style="859" bestFit="1" customWidth="1"/>
    <col min="1558" max="1558" width="6.28515625" style="859" customWidth="1"/>
    <col min="1559" max="1559" width="11.7109375" style="859" customWidth="1"/>
    <col min="1560" max="1560" width="0" style="859" hidden="1" customWidth="1"/>
    <col min="1561" max="1561" width="14.5703125" style="859" customWidth="1"/>
    <col min="1562" max="1562" width="11.85546875" style="859" customWidth="1"/>
    <col min="1563" max="1797" width="9.140625" style="859"/>
    <col min="1798" max="1798" width="2.85546875" style="859" customWidth="1"/>
    <col min="1799" max="1799" width="50.7109375" style="859" customWidth="1"/>
    <col min="1800" max="1800" width="9.42578125" style="859" customWidth="1"/>
    <col min="1801" max="1801" width="11.85546875" style="859" customWidth="1"/>
    <col min="1802" max="1802" width="8.42578125" style="859" bestFit="1" customWidth="1"/>
    <col min="1803" max="1805" width="0" style="859" hidden="1" customWidth="1"/>
    <col min="1806" max="1806" width="6" style="859" bestFit="1" customWidth="1"/>
    <col min="1807" max="1807" width="9.5703125" style="859" customWidth="1"/>
    <col min="1808" max="1808" width="9.85546875" style="859" customWidth="1"/>
    <col min="1809" max="1809" width="9.7109375" style="859" customWidth="1"/>
    <col min="1810" max="1810" width="9.5703125" style="859" customWidth="1"/>
    <col min="1811" max="1811" width="9.85546875" style="859" customWidth="1"/>
    <col min="1812" max="1812" width="6.5703125" style="859" customWidth="1"/>
    <col min="1813" max="1813" width="6" style="859" bestFit="1" customWidth="1"/>
    <col min="1814" max="1814" width="6.28515625" style="859" customWidth="1"/>
    <col min="1815" max="1815" width="11.7109375" style="859" customWidth="1"/>
    <col min="1816" max="1816" width="0" style="859" hidden="1" customWidth="1"/>
    <col min="1817" max="1817" width="14.5703125" style="859" customWidth="1"/>
    <col min="1818" max="1818" width="11.85546875" style="859" customWidth="1"/>
    <col min="1819" max="2053" width="9.140625" style="859"/>
    <col min="2054" max="2054" width="2.85546875" style="859" customWidth="1"/>
    <col min="2055" max="2055" width="50.7109375" style="859" customWidth="1"/>
    <col min="2056" max="2056" width="9.42578125" style="859" customWidth="1"/>
    <col min="2057" max="2057" width="11.85546875" style="859" customWidth="1"/>
    <col min="2058" max="2058" width="8.42578125" style="859" bestFit="1" customWidth="1"/>
    <col min="2059" max="2061" width="0" style="859" hidden="1" customWidth="1"/>
    <col min="2062" max="2062" width="6" style="859" bestFit="1" customWidth="1"/>
    <col min="2063" max="2063" width="9.5703125" style="859" customWidth="1"/>
    <col min="2064" max="2064" width="9.85546875" style="859" customWidth="1"/>
    <col min="2065" max="2065" width="9.7109375" style="859" customWidth="1"/>
    <col min="2066" max="2066" width="9.5703125" style="859" customWidth="1"/>
    <col min="2067" max="2067" width="9.85546875" style="859" customWidth="1"/>
    <col min="2068" max="2068" width="6.5703125" style="859" customWidth="1"/>
    <col min="2069" max="2069" width="6" style="859" bestFit="1" customWidth="1"/>
    <col min="2070" max="2070" width="6.28515625" style="859" customWidth="1"/>
    <col min="2071" max="2071" width="11.7109375" style="859" customWidth="1"/>
    <col min="2072" max="2072" width="0" style="859" hidden="1" customWidth="1"/>
    <col min="2073" max="2073" width="14.5703125" style="859" customWidth="1"/>
    <col min="2074" max="2074" width="11.85546875" style="859" customWidth="1"/>
    <col min="2075" max="2309" width="9.140625" style="859"/>
    <col min="2310" max="2310" width="2.85546875" style="859" customWidth="1"/>
    <col min="2311" max="2311" width="50.7109375" style="859" customWidth="1"/>
    <col min="2312" max="2312" width="9.42578125" style="859" customWidth="1"/>
    <col min="2313" max="2313" width="11.85546875" style="859" customWidth="1"/>
    <col min="2314" max="2314" width="8.42578125" style="859" bestFit="1" customWidth="1"/>
    <col min="2315" max="2317" width="0" style="859" hidden="1" customWidth="1"/>
    <col min="2318" max="2318" width="6" style="859" bestFit="1" customWidth="1"/>
    <col min="2319" max="2319" width="9.5703125" style="859" customWidth="1"/>
    <col min="2320" max="2320" width="9.85546875" style="859" customWidth="1"/>
    <col min="2321" max="2321" width="9.7109375" style="859" customWidth="1"/>
    <col min="2322" max="2322" width="9.5703125" style="859" customWidth="1"/>
    <col min="2323" max="2323" width="9.85546875" style="859" customWidth="1"/>
    <col min="2324" max="2324" width="6.5703125" style="859" customWidth="1"/>
    <col min="2325" max="2325" width="6" style="859" bestFit="1" customWidth="1"/>
    <col min="2326" max="2326" width="6.28515625" style="859" customWidth="1"/>
    <col min="2327" max="2327" width="11.7109375" style="859" customWidth="1"/>
    <col min="2328" max="2328" width="0" style="859" hidden="1" customWidth="1"/>
    <col min="2329" max="2329" width="14.5703125" style="859" customWidth="1"/>
    <col min="2330" max="2330" width="11.85546875" style="859" customWidth="1"/>
    <col min="2331" max="2565" width="9.140625" style="859"/>
    <col min="2566" max="2566" width="2.85546875" style="859" customWidth="1"/>
    <col min="2567" max="2567" width="50.7109375" style="859" customWidth="1"/>
    <col min="2568" max="2568" width="9.42578125" style="859" customWidth="1"/>
    <col min="2569" max="2569" width="11.85546875" style="859" customWidth="1"/>
    <col min="2570" max="2570" width="8.42578125" style="859" bestFit="1" customWidth="1"/>
    <col min="2571" max="2573" width="0" style="859" hidden="1" customWidth="1"/>
    <col min="2574" max="2574" width="6" style="859" bestFit="1" customWidth="1"/>
    <col min="2575" max="2575" width="9.5703125" style="859" customWidth="1"/>
    <col min="2576" max="2576" width="9.85546875" style="859" customWidth="1"/>
    <col min="2577" max="2577" width="9.7109375" style="859" customWidth="1"/>
    <col min="2578" max="2578" width="9.5703125" style="859" customWidth="1"/>
    <col min="2579" max="2579" width="9.85546875" style="859" customWidth="1"/>
    <col min="2580" max="2580" width="6.5703125" style="859" customWidth="1"/>
    <col min="2581" max="2581" width="6" style="859" bestFit="1" customWidth="1"/>
    <col min="2582" max="2582" width="6.28515625" style="859" customWidth="1"/>
    <col min="2583" max="2583" width="11.7109375" style="859" customWidth="1"/>
    <col min="2584" max="2584" width="0" style="859" hidden="1" customWidth="1"/>
    <col min="2585" max="2585" width="14.5703125" style="859" customWidth="1"/>
    <col min="2586" max="2586" width="11.85546875" style="859" customWidth="1"/>
    <col min="2587" max="2821" width="9.140625" style="859"/>
    <col min="2822" max="2822" width="2.85546875" style="859" customWidth="1"/>
    <col min="2823" max="2823" width="50.7109375" style="859" customWidth="1"/>
    <col min="2824" max="2824" width="9.42578125" style="859" customWidth="1"/>
    <col min="2825" max="2825" width="11.85546875" style="859" customWidth="1"/>
    <col min="2826" max="2826" width="8.42578125" style="859" bestFit="1" customWidth="1"/>
    <col min="2827" max="2829" width="0" style="859" hidden="1" customWidth="1"/>
    <col min="2830" max="2830" width="6" style="859" bestFit="1" customWidth="1"/>
    <col min="2831" max="2831" width="9.5703125" style="859" customWidth="1"/>
    <col min="2832" max="2832" width="9.85546875" style="859" customWidth="1"/>
    <col min="2833" max="2833" width="9.7109375" style="859" customWidth="1"/>
    <col min="2834" max="2834" width="9.5703125" style="859" customWidth="1"/>
    <col min="2835" max="2835" width="9.85546875" style="859" customWidth="1"/>
    <col min="2836" max="2836" width="6.5703125" style="859" customWidth="1"/>
    <col min="2837" max="2837" width="6" style="859" bestFit="1" customWidth="1"/>
    <col min="2838" max="2838" width="6.28515625" style="859" customWidth="1"/>
    <col min="2839" max="2839" width="11.7109375" style="859" customWidth="1"/>
    <col min="2840" max="2840" width="0" style="859" hidden="1" customWidth="1"/>
    <col min="2841" max="2841" width="14.5703125" style="859" customWidth="1"/>
    <col min="2842" max="2842" width="11.85546875" style="859" customWidth="1"/>
    <col min="2843" max="3077" width="9.140625" style="859"/>
    <col min="3078" max="3078" width="2.85546875" style="859" customWidth="1"/>
    <col min="3079" max="3079" width="50.7109375" style="859" customWidth="1"/>
    <col min="3080" max="3080" width="9.42578125" style="859" customWidth="1"/>
    <col min="3081" max="3081" width="11.85546875" style="859" customWidth="1"/>
    <col min="3082" max="3082" width="8.42578125" style="859" bestFit="1" customWidth="1"/>
    <col min="3083" max="3085" width="0" style="859" hidden="1" customWidth="1"/>
    <col min="3086" max="3086" width="6" style="859" bestFit="1" customWidth="1"/>
    <col min="3087" max="3087" width="9.5703125" style="859" customWidth="1"/>
    <col min="3088" max="3088" width="9.85546875" style="859" customWidth="1"/>
    <col min="3089" max="3089" width="9.7109375" style="859" customWidth="1"/>
    <col min="3090" max="3090" width="9.5703125" style="859" customWidth="1"/>
    <col min="3091" max="3091" width="9.85546875" style="859" customWidth="1"/>
    <col min="3092" max="3092" width="6.5703125" style="859" customWidth="1"/>
    <col min="3093" max="3093" width="6" style="859" bestFit="1" customWidth="1"/>
    <col min="3094" max="3094" width="6.28515625" style="859" customWidth="1"/>
    <col min="3095" max="3095" width="11.7109375" style="859" customWidth="1"/>
    <col min="3096" max="3096" width="0" style="859" hidden="1" customWidth="1"/>
    <col min="3097" max="3097" width="14.5703125" style="859" customWidth="1"/>
    <col min="3098" max="3098" width="11.85546875" style="859" customWidth="1"/>
    <col min="3099" max="3333" width="9.140625" style="859"/>
    <col min="3334" max="3334" width="2.85546875" style="859" customWidth="1"/>
    <col min="3335" max="3335" width="50.7109375" style="859" customWidth="1"/>
    <col min="3336" max="3336" width="9.42578125" style="859" customWidth="1"/>
    <col min="3337" max="3337" width="11.85546875" style="859" customWidth="1"/>
    <col min="3338" max="3338" width="8.42578125" style="859" bestFit="1" customWidth="1"/>
    <col min="3339" max="3341" width="0" style="859" hidden="1" customWidth="1"/>
    <col min="3342" max="3342" width="6" style="859" bestFit="1" customWidth="1"/>
    <col min="3343" max="3343" width="9.5703125" style="859" customWidth="1"/>
    <col min="3344" max="3344" width="9.85546875" style="859" customWidth="1"/>
    <col min="3345" max="3345" width="9.7109375" style="859" customWidth="1"/>
    <col min="3346" max="3346" width="9.5703125" style="859" customWidth="1"/>
    <col min="3347" max="3347" width="9.85546875" style="859" customWidth="1"/>
    <col min="3348" max="3348" width="6.5703125" style="859" customWidth="1"/>
    <col min="3349" max="3349" width="6" style="859" bestFit="1" customWidth="1"/>
    <col min="3350" max="3350" width="6.28515625" style="859" customWidth="1"/>
    <col min="3351" max="3351" width="11.7109375" style="859" customWidth="1"/>
    <col min="3352" max="3352" width="0" style="859" hidden="1" customWidth="1"/>
    <col min="3353" max="3353" width="14.5703125" style="859" customWidth="1"/>
    <col min="3354" max="3354" width="11.85546875" style="859" customWidth="1"/>
    <col min="3355" max="3589" width="9.140625" style="859"/>
    <col min="3590" max="3590" width="2.85546875" style="859" customWidth="1"/>
    <col min="3591" max="3591" width="50.7109375" style="859" customWidth="1"/>
    <col min="3592" max="3592" width="9.42578125" style="859" customWidth="1"/>
    <col min="3593" max="3593" width="11.85546875" style="859" customWidth="1"/>
    <col min="3594" max="3594" width="8.42578125" style="859" bestFit="1" customWidth="1"/>
    <col min="3595" max="3597" width="0" style="859" hidden="1" customWidth="1"/>
    <col min="3598" max="3598" width="6" style="859" bestFit="1" customWidth="1"/>
    <col min="3599" max="3599" width="9.5703125" style="859" customWidth="1"/>
    <col min="3600" max="3600" width="9.85546875" style="859" customWidth="1"/>
    <col min="3601" max="3601" width="9.7109375" style="859" customWidth="1"/>
    <col min="3602" max="3602" width="9.5703125" style="859" customWidth="1"/>
    <col min="3603" max="3603" width="9.85546875" style="859" customWidth="1"/>
    <col min="3604" max="3604" width="6.5703125" style="859" customWidth="1"/>
    <col min="3605" max="3605" width="6" style="859" bestFit="1" customWidth="1"/>
    <col min="3606" max="3606" width="6.28515625" style="859" customWidth="1"/>
    <col min="3607" max="3607" width="11.7109375" style="859" customWidth="1"/>
    <col min="3608" max="3608" width="0" style="859" hidden="1" customWidth="1"/>
    <col min="3609" max="3609" width="14.5703125" style="859" customWidth="1"/>
    <col min="3610" max="3610" width="11.85546875" style="859" customWidth="1"/>
    <col min="3611" max="3845" width="9.140625" style="859"/>
    <col min="3846" max="3846" width="2.85546875" style="859" customWidth="1"/>
    <col min="3847" max="3847" width="50.7109375" style="859" customWidth="1"/>
    <col min="3848" max="3848" width="9.42578125" style="859" customWidth="1"/>
    <col min="3849" max="3849" width="11.85546875" style="859" customWidth="1"/>
    <col min="3850" max="3850" width="8.42578125" style="859" bestFit="1" customWidth="1"/>
    <col min="3851" max="3853" width="0" style="859" hidden="1" customWidth="1"/>
    <col min="3854" max="3854" width="6" style="859" bestFit="1" customWidth="1"/>
    <col min="3855" max="3855" width="9.5703125" style="859" customWidth="1"/>
    <col min="3856" max="3856" width="9.85546875" style="859" customWidth="1"/>
    <col min="3857" max="3857" width="9.7109375" style="859" customWidth="1"/>
    <col min="3858" max="3858" width="9.5703125" style="859" customWidth="1"/>
    <col min="3859" max="3859" width="9.85546875" style="859" customWidth="1"/>
    <col min="3860" max="3860" width="6.5703125" style="859" customWidth="1"/>
    <col min="3861" max="3861" width="6" style="859" bestFit="1" customWidth="1"/>
    <col min="3862" max="3862" width="6.28515625" style="859" customWidth="1"/>
    <col min="3863" max="3863" width="11.7109375" style="859" customWidth="1"/>
    <col min="3864" max="3864" width="0" style="859" hidden="1" customWidth="1"/>
    <col min="3865" max="3865" width="14.5703125" style="859" customWidth="1"/>
    <col min="3866" max="3866" width="11.85546875" style="859" customWidth="1"/>
    <col min="3867" max="4101" width="9.140625" style="859"/>
    <col min="4102" max="4102" width="2.85546875" style="859" customWidth="1"/>
    <col min="4103" max="4103" width="50.7109375" style="859" customWidth="1"/>
    <col min="4104" max="4104" width="9.42578125" style="859" customWidth="1"/>
    <col min="4105" max="4105" width="11.85546875" style="859" customWidth="1"/>
    <col min="4106" max="4106" width="8.42578125" style="859" bestFit="1" customWidth="1"/>
    <col min="4107" max="4109" width="0" style="859" hidden="1" customWidth="1"/>
    <col min="4110" max="4110" width="6" style="859" bestFit="1" customWidth="1"/>
    <col min="4111" max="4111" width="9.5703125" style="859" customWidth="1"/>
    <col min="4112" max="4112" width="9.85546875" style="859" customWidth="1"/>
    <col min="4113" max="4113" width="9.7109375" style="859" customWidth="1"/>
    <col min="4114" max="4114" width="9.5703125" style="859" customWidth="1"/>
    <col min="4115" max="4115" width="9.85546875" style="859" customWidth="1"/>
    <col min="4116" max="4116" width="6.5703125" style="859" customWidth="1"/>
    <col min="4117" max="4117" width="6" style="859" bestFit="1" customWidth="1"/>
    <col min="4118" max="4118" width="6.28515625" style="859" customWidth="1"/>
    <col min="4119" max="4119" width="11.7109375" style="859" customWidth="1"/>
    <col min="4120" max="4120" width="0" style="859" hidden="1" customWidth="1"/>
    <col min="4121" max="4121" width="14.5703125" style="859" customWidth="1"/>
    <col min="4122" max="4122" width="11.85546875" style="859" customWidth="1"/>
    <col min="4123" max="4357" width="9.140625" style="859"/>
    <col min="4358" max="4358" width="2.85546875" style="859" customWidth="1"/>
    <col min="4359" max="4359" width="50.7109375" style="859" customWidth="1"/>
    <col min="4360" max="4360" width="9.42578125" style="859" customWidth="1"/>
    <col min="4361" max="4361" width="11.85546875" style="859" customWidth="1"/>
    <col min="4362" max="4362" width="8.42578125" style="859" bestFit="1" customWidth="1"/>
    <col min="4363" max="4365" width="0" style="859" hidden="1" customWidth="1"/>
    <col min="4366" max="4366" width="6" style="859" bestFit="1" customWidth="1"/>
    <col min="4367" max="4367" width="9.5703125" style="859" customWidth="1"/>
    <col min="4368" max="4368" width="9.85546875" style="859" customWidth="1"/>
    <col min="4369" max="4369" width="9.7109375" style="859" customWidth="1"/>
    <col min="4370" max="4370" width="9.5703125" style="859" customWidth="1"/>
    <col min="4371" max="4371" width="9.85546875" style="859" customWidth="1"/>
    <col min="4372" max="4372" width="6.5703125" style="859" customWidth="1"/>
    <col min="4373" max="4373" width="6" style="859" bestFit="1" customWidth="1"/>
    <col min="4374" max="4374" width="6.28515625" style="859" customWidth="1"/>
    <col min="4375" max="4375" width="11.7109375" style="859" customWidth="1"/>
    <col min="4376" max="4376" width="0" style="859" hidden="1" customWidth="1"/>
    <col min="4377" max="4377" width="14.5703125" style="859" customWidth="1"/>
    <col min="4378" max="4378" width="11.85546875" style="859" customWidth="1"/>
    <col min="4379" max="4613" width="9.140625" style="859"/>
    <col min="4614" max="4614" width="2.85546875" style="859" customWidth="1"/>
    <col min="4615" max="4615" width="50.7109375" style="859" customWidth="1"/>
    <col min="4616" max="4616" width="9.42578125" style="859" customWidth="1"/>
    <col min="4617" max="4617" width="11.85546875" style="859" customWidth="1"/>
    <col min="4618" max="4618" width="8.42578125" style="859" bestFit="1" customWidth="1"/>
    <col min="4619" max="4621" width="0" style="859" hidden="1" customWidth="1"/>
    <col min="4622" max="4622" width="6" style="859" bestFit="1" customWidth="1"/>
    <col min="4623" max="4623" width="9.5703125" style="859" customWidth="1"/>
    <col min="4624" max="4624" width="9.85546875" style="859" customWidth="1"/>
    <col min="4625" max="4625" width="9.7109375" style="859" customWidth="1"/>
    <col min="4626" max="4626" width="9.5703125" style="859" customWidth="1"/>
    <col min="4627" max="4627" width="9.85546875" style="859" customWidth="1"/>
    <col min="4628" max="4628" width="6.5703125" style="859" customWidth="1"/>
    <col min="4629" max="4629" width="6" style="859" bestFit="1" customWidth="1"/>
    <col min="4630" max="4630" width="6.28515625" style="859" customWidth="1"/>
    <col min="4631" max="4631" width="11.7109375" style="859" customWidth="1"/>
    <col min="4632" max="4632" width="0" style="859" hidden="1" customWidth="1"/>
    <col min="4633" max="4633" width="14.5703125" style="859" customWidth="1"/>
    <col min="4634" max="4634" width="11.85546875" style="859" customWidth="1"/>
    <col min="4635" max="4869" width="9.140625" style="859"/>
    <col min="4870" max="4870" width="2.85546875" style="859" customWidth="1"/>
    <col min="4871" max="4871" width="50.7109375" style="859" customWidth="1"/>
    <col min="4872" max="4872" width="9.42578125" style="859" customWidth="1"/>
    <col min="4873" max="4873" width="11.85546875" style="859" customWidth="1"/>
    <col min="4874" max="4874" width="8.42578125" style="859" bestFit="1" customWidth="1"/>
    <col min="4875" max="4877" width="0" style="859" hidden="1" customWidth="1"/>
    <col min="4878" max="4878" width="6" style="859" bestFit="1" customWidth="1"/>
    <col min="4879" max="4879" width="9.5703125" style="859" customWidth="1"/>
    <col min="4880" max="4880" width="9.85546875" style="859" customWidth="1"/>
    <col min="4881" max="4881" width="9.7109375" style="859" customWidth="1"/>
    <col min="4882" max="4882" width="9.5703125" style="859" customWidth="1"/>
    <col min="4883" max="4883" width="9.85546875" style="859" customWidth="1"/>
    <col min="4884" max="4884" width="6.5703125" style="859" customWidth="1"/>
    <col min="4885" max="4885" width="6" style="859" bestFit="1" customWidth="1"/>
    <col min="4886" max="4886" width="6.28515625" style="859" customWidth="1"/>
    <col min="4887" max="4887" width="11.7109375" style="859" customWidth="1"/>
    <col min="4888" max="4888" width="0" style="859" hidden="1" customWidth="1"/>
    <col min="4889" max="4889" width="14.5703125" style="859" customWidth="1"/>
    <col min="4890" max="4890" width="11.85546875" style="859" customWidth="1"/>
    <col min="4891" max="5125" width="9.140625" style="859"/>
    <col min="5126" max="5126" width="2.85546875" style="859" customWidth="1"/>
    <col min="5127" max="5127" width="50.7109375" style="859" customWidth="1"/>
    <col min="5128" max="5128" width="9.42578125" style="859" customWidth="1"/>
    <col min="5129" max="5129" width="11.85546875" style="859" customWidth="1"/>
    <col min="5130" max="5130" width="8.42578125" style="859" bestFit="1" customWidth="1"/>
    <col min="5131" max="5133" width="0" style="859" hidden="1" customWidth="1"/>
    <col min="5134" max="5134" width="6" style="859" bestFit="1" customWidth="1"/>
    <col min="5135" max="5135" width="9.5703125" style="859" customWidth="1"/>
    <col min="5136" max="5136" width="9.85546875" style="859" customWidth="1"/>
    <col min="5137" max="5137" width="9.7109375" style="859" customWidth="1"/>
    <col min="5138" max="5138" width="9.5703125" style="859" customWidth="1"/>
    <col min="5139" max="5139" width="9.85546875" style="859" customWidth="1"/>
    <col min="5140" max="5140" width="6.5703125" style="859" customWidth="1"/>
    <col min="5141" max="5141" width="6" style="859" bestFit="1" customWidth="1"/>
    <col min="5142" max="5142" width="6.28515625" style="859" customWidth="1"/>
    <col min="5143" max="5143" width="11.7109375" style="859" customWidth="1"/>
    <col min="5144" max="5144" width="0" style="859" hidden="1" customWidth="1"/>
    <col min="5145" max="5145" width="14.5703125" style="859" customWidth="1"/>
    <col min="5146" max="5146" width="11.85546875" style="859" customWidth="1"/>
    <col min="5147" max="5381" width="9.140625" style="859"/>
    <col min="5382" max="5382" width="2.85546875" style="859" customWidth="1"/>
    <col min="5383" max="5383" width="50.7109375" style="859" customWidth="1"/>
    <col min="5384" max="5384" width="9.42578125" style="859" customWidth="1"/>
    <col min="5385" max="5385" width="11.85546875" style="859" customWidth="1"/>
    <col min="5386" max="5386" width="8.42578125" style="859" bestFit="1" customWidth="1"/>
    <col min="5387" max="5389" width="0" style="859" hidden="1" customWidth="1"/>
    <col min="5390" max="5390" width="6" style="859" bestFit="1" customWidth="1"/>
    <col min="5391" max="5391" width="9.5703125" style="859" customWidth="1"/>
    <col min="5392" max="5392" width="9.85546875" style="859" customWidth="1"/>
    <col min="5393" max="5393" width="9.7109375" style="859" customWidth="1"/>
    <col min="5394" max="5394" width="9.5703125" style="859" customWidth="1"/>
    <col min="5395" max="5395" width="9.85546875" style="859" customWidth="1"/>
    <col min="5396" max="5396" width="6.5703125" style="859" customWidth="1"/>
    <col min="5397" max="5397" width="6" style="859" bestFit="1" customWidth="1"/>
    <col min="5398" max="5398" width="6.28515625" style="859" customWidth="1"/>
    <col min="5399" max="5399" width="11.7109375" style="859" customWidth="1"/>
    <col min="5400" max="5400" width="0" style="859" hidden="1" customWidth="1"/>
    <col min="5401" max="5401" width="14.5703125" style="859" customWidth="1"/>
    <col min="5402" max="5402" width="11.85546875" style="859" customWidth="1"/>
    <col min="5403" max="5637" width="9.140625" style="859"/>
    <col min="5638" max="5638" width="2.85546875" style="859" customWidth="1"/>
    <col min="5639" max="5639" width="50.7109375" style="859" customWidth="1"/>
    <col min="5640" max="5640" width="9.42578125" style="859" customWidth="1"/>
    <col min="5641" max="5641" width="11.85546875" style="859" customWidth="1"/>
    <col min="5642" max="5642" width="8.42578125" style="859" bestFit="1" customWidth="1"/>
    <col min="5643" max="5645" width="0" style="859" hidden="1" customWidth="1"/>
    <col min="5646" max="5646" width="6" style="859" bestFit="1" customWidth="1"/>
    <col min="5647" max="5647" width="9.5703125" style="859" customWidth="1"/>
    <col min="5648" max="5648" width="9.85546875" style="859" customWidth="1"/>
    <col min="5649" max="5649" width="9.7109375" style="859" customWidth="1"/>
    <col min="5650" max="5650" width="9.5703125" style="859" customWidth="1"/>
    <col min="5651" max="5651" width="9.85546875" style="859" customWidth="1"/>
    <col min="5652" max="5652" width="6.5703125" style="859" customWidth="1"/>
    <col min="5653" max="5653" width="6" style="859" bestFit="1" customWidth="1"/>
    <col min="5654" max="5654" width="6.28515625" style="859" customWidth="1"/>
    <col min="5655" max="5655" width="11.7109375" style="859" customWidth="1"/>
    <col min="5656" max="5656" width="0" style="859" hidden="1" customWidth="1"/>
    <col min="5657" max="5657" width="14.5703125" style="859" customWidth="1"/>
    <col min="5658" max="5658" width="11.85546875" style="859" customWidth="1"/>
    <col min="5659" max="5893" width="9.140625" style="859"/>
    <col min="5894" max="5894" width="2.85546875" style="859" customWidth="1"/>
    <col min="5895" max="5895" width="50.7109375" style="859" customWidth="1"/>
    <col min="5896" max="5896" width="9.42578125" style="859" customWidth="1"/>
    <col min="5897" max="5897" width="11.85546875" style="859" customWidth="1"/>
    <col min="5898" max="5898" width="8.42578125" style="859" bestFit="1" customWidth="1"/>
    <col min="5899" max="5901" width="0" style="859" hidden="1" customWidth="1"/>
    <col min="5902" max="5902" width="6" style="859" bestFit="1" customWidth="1"/>
    <col min="5903" max="5903" width="9.5703125" style="859" customWidth="1"/>
    <col min="5904" max="5904" width="9.85546875" style="859" customWidth="1"/>
    <col min="5905" max="5905" width="9.7109375" style="859" customWidth="1"/>
    <col min="5906" max="5906" width="9.5703125" style="859" customWidth="1"/>
    <col min="5907" max="5907" width="9.85546875" style="859" customWidth="1"/>
    <col min="5908" max="5908" width="6.5703125" style="859" customWidth="1"/>
    <col min="5909" max="5909" width="6" style="859" bestFit="1" customWidth="1"/>
    <col min="5910" max="5910" width="6.28515625" style="859" customWidth="1"/>
    <col min="5911" max="5911" width="11.7109375" style="859" customWidth="1"/>
    <col min="5912" max="5912" width="0" style="859" hidden="1" customWidth="1"/>
    <col min="5913" max="5913" width="14.5703125" style="859" customWidth="1"/>
    <col min="5914" max="5914" width="11.85546875" style="859" customWidth="1"/>
    <col min="5915" max="6149" width="9.140625" style="859"/>
    <col min="6150" max="6150" width="2.85546875" style="859" customWidth="1"/>
    <col min="6151" max="6151" width="50.7109375" style="859" customWidth="1"/>
    <col min="6152" max="6152" width="9.42578125" style="859" customWidth="1"/>
    <col min="6153" max="6153" width="11.85546875" style="859" customWidth="1"/>
    <col min="6154" max="6154" width="8.42578125" style="859" bestFit="1" customWidth="1"/>
    <col min="6155" max="6157" width="0" style="859" hidden="1" customWidth="1"/>
    <col min="6158" max="6158" width="6" style="859" bestFit="1" customWidth="1"/>
    <col min="6159" max="6159" width="9.5703125" style="859" customWidth="1"/>
    <col min="6160" max="6160" width="9.85546875" style="859" customWidth="1"/>
    <col min="6161" max="6161" width="9.7109375" style="859" customWidth="1"/>
    <col min="6162" max="6162" width="9.5703125" style="859" customWidth="1"/>
    <col min="6163" max="6163" width="9.85546875" style="859" customWidth="1"/>
    <col min="6164" max="6164" width="6.5703125" style="859" customWidth="1"/>
    <col min="6165" max="6165" width="6" style="859" bestFit="1" customWidth="1"/>
    <col min="6166" max="6166" width="6.28515625" style="859" customWidth="1"/>
    <col min="6167" max="6167" width="11.7109375" style="859" customWidth="1"/>
    <col min="6168" max="6168" width="0" style="859" hidden="1" customWidth="1"/>
    <col min="6169" max="6169" width="14.5703125" style="859" customWidth="1"/>
    <col min="6170" max="6170" width="11.85546875" style="859" customWidth="1"/>
    <col min="6171" max="6405" width="9.140625" style="859"/>
    <col min="6406" max="6406" width="2.85546875" style="859" customWidth="1"/>
    <col min="6407" max="6407" width="50.7109375" style="859" customWidth="1"/>
    <col min="6408" max="6408" width="9.42578125" style="859" customWidth="1"/>
    <col min="6409" max="6409" width="11.85546875" style="859" customWidth="1"/>
    <col min="6410" max="6410" width="8.42578125" style="859" bestFit="1" customWidth="1"/>
    <col min="6411" max="6413" width="0" style="859" hidden="1" customWidth="1"/>
    <col min="6414" max="6414" width="6" style="859" bestFit="1" customWidth="1"/>
    <col min="6415" max="6415" width="9.5703125" style="859" customWidth="1"/>
    <col min="6416" max="6416" width="9.85546875" style="859" customWidth="1"/>
    <col min="6417" max="6417" width="9.7109375" style="859" customWidth="1"/>
    <col min="6418" max="6418" width="9.5703125" style="859" customWidth="1"/>
    <col min="6419" max="6419" width="9.85546875" style="859" customWidth="1"/>
    <col min="6420" max="6420" width="6.5703125" style="859" customWidth="1"/>
    <col min="6421" max="6421" width="6" style="859" bestFit="1" customWidth="1"/>
    <col min="6422" max="6422" width="6.28515625" style="859" customWidth="1"/>
    <col min="6423" max="6423" width="11.7109375" style="859" customWidth="1"/>
    <col min="6424" max="6424" width="0" style="859" hidden="1" customWidth="1"/>
    <col min="6425" max="6425" width="14.5703125" style="859" customWidth="1"/>
    <col min="6426" max="6426" width="11.85546875" style="859" customWidth="1"/>
    <col min="6427" max="6661" width="9.140625" style="859"/>
    <col min="6662" max="6662" width="2.85546875" style="859" customWidth="1"/>
    <col min="6663" max="6663" width="50.7109375" style="859" customWidth="1"/>
    <col min="6664" max="6664" width="9.42578125" style="859" customWidth="1"/>
    <col min="6665" max="6665" width="11.85546875" style="859" customWidth="1"/>
    <col min="6666" max="6666" width="8.42578125" style="859" bestFit="1" customWidth="1"/>
    <col min="6667" max="6669" width="0" style="859" hidden="1" customWidth="1"/>
    <col min="6670" max="6670" width="6" style="859" bestFit="1" customWidth="1"/>
    <col min="6671" max="6671" width="9.5703125" style="859" customWidth="1"/>
    <col min="6672" max="6672" width="9.85546875" style="859" customWidth="1"/>
    <col min="6673" max="6673" width="9.7109375" style="859" customWidth="1"/>
    <col min="6674" max="6674" width="9.5703125" style="859" customWidth="1"/>
    <col min="6675" max="6675" width="9.85546875" style="859" customWidth="1"/>
    <col min="6676" max="6676" width="6.5703125" style="859" customWidth="1"/>
    <col min="6677" max="6677" width="6" style="859" bestFit="1" customWidth="1"/>
    <col min="6678" max="6678" width="6.28515625" style="859" customWidth="1"/>
    <col min="6679" max="6679" width="11.7109375" style="859" customWidth="1"/>
    <col min="6680" max="6680" width="0" style="859" hidden="1" customWidth="1"/>
    <col min="6681" max="6681" width="14.5703125" style="859" customWidth="1"/>
    <col min="6682" max="6682" width="11.85546875" style="859" customWidth="1"/>
    <col min="6683" max="6917" width="9.140625" style="859"/>
    <col min="6918" max="6918" width="2.85546875" style="859" customWidth="1"/>
    <col min="6919" max="6919" width="50.7109375" style="859" customWidth="1"/>
    <col min="6920" max="6920" width="9.42578125" style="859" customWidth="1"/>
    <col min="6921" max="6921" width="11.85546875" style="859" customWidth="1"/>
    <col min="6922" max="6922" width="8.42578125" style="859" bestFit="1" customWidth="1"/>
    <col min="6923" max="6925" width="0" style="859" hidden="1" customWidth="1"/>
    <col min="6926" max="6926" width="6" style="859" bestFit="1" customWidth="1"/>
    <col min="6927" max="6927" width="9.5703125" style="859" customWidth="1"/>
    <col min="6928" max="6928" width="9.85546875" style="859" customWidth="1"/>
    <col min="6929" max="6929" width="9.7109375" style="859" customWidth="1"/>
    <col min="6930" max="6930" width="9.5703125" style="859" customWidth="1"/>
    <col min="6931" max="6931" width="9.85546875" style="859" customWidth="1"/>
    <col min="6932" max="6932" width="6.5703125" style="859" customWidth="1"/>
    <col min="6933" max="6933" width="6" style="859" bestFit="1" customWidth="1"/>
    <col min="6934" max="6934" width="6.28515625" style="859" customWidth="1"/>
    <col min="6935" max="6935" width="11.7109375" style="859" customWidth="1"/>
    <col min="6936" max="6936" width="0" style="859" hidden="1" customWidth="1"/>
    <col min="6937" max="6937" width="14.5703125" style="859" customWidth="1"/>
    <col min="6938" max="6938" width="11.85546875" style="859" customWidth="1"/>
    <col min="6939" max="7173" width="9.140625" style="859"/>
    <col min="7174" max="7174" width="2.85546875" style="859" customWidth="1"/>
    <col min="7175" max="7175" width="50.7109375" style="859" customWidth="1"/>
    <col min="7176" max="7176" width="9.42578125" style="859" customWidth="1"/>
    <col min="7177" max="7177" width="11.85546875" style="859" customWidth="1"/>
    <col min="7178" max="7178" width="8.42578125" style="859" bestFit="1" customWidth="1"/>
    <col min="7179" max="7181" width="0" style="859" hidden="1" customWidth="1"/>
    <col min="7182" max="7182" width="6" style="859" bestFit="1" customWidth="1"/>
    <col min="7183" max="7183" width="9.5703125" style="859" customWidth="1"/>
    <col min="7184" max="7184" width="9.85546875" style="859" customWidth="1"/>
    <col min="7185" max="7185" width="9.7109375" style="859" customWidth="1"/>
    <col min="7186" max="7186" width="9.5703125" style="859" customWidth="1"/>
    <col min="7187" max="7187" width="9.85546875" style="859" customWidth="1"/>
    <col min="7188" max="7188" width="6.5703125" style="859" customWidth="1"/>
    <col min="7189" max="7189" width="6" style="859" bestFit="1" customWidth="1"/>
    <col min="7190" max="7190" width="6.28515625" style="859" customWidth="1"/>
    <col min="7191" max="7191" width="11.7109375" style="859" customWidth="1"/>
    <col min="7192" max="7192" width="0" style="859" hidden="1" customWidth="1"/>
    <col min="7193" max="7193" width="14.5703125" style="859" customWidth="1"/>
    <col min="7194" max="7194" width="11.85546875" style="859" customWidth="1"/>
    <col min="7195" max="7429" width="9.140625" style="859"/>
    <col min="7430" max="7430" width="2.85546875" style="859" customWidth="1"/>
    <col min="7431" max="7431" width="50.7109375" style="859" customWidth="1"/>
    <col min="7432" max="7432" width="9.42578125" style="859" customWidth="1"/>
    <col min="7433" max="7433" width="11.85546875" style="859" customWidth="1"/>
    <col min="7434" max="7434" width="8.42578125" style="859" bestFit="1" customWidth="1"/>
    <col min="7435" max="7437" width="0" style="859" hidden="1" customWidth="1"/>
    <col min="7438" max="7438" width="6" style="859" bestFit="1" customWidth="1"/>
    <col min="7439" max="7439" width="9.5703125" style="859" customWidth="1"/>
    <col min="7440" max="7440" width="9.85546875" style="859" customWidth="1"/>
    <col min="7441" max="7441" width="9.7109375" style="859" customWidth="1"/>
    <col min="7442" max="7442" width="9.5703125" style="859" customWidth="1"/>
    <col min="7443" max="7443" width="9.85546875" style="859" customWidth="1"/>
    <col min="7444" max="7444" width="6.5703125" style="859" customWidth="1"/>
    <col min="7445" max="7445" width="6" style="859" bestFit="1" customWidth="1"/>
    <col min="7446" max="7446" width="6.28515625" style="859" customWidth="1"/>
    <col min="7447" max="7447" width="11.7109375" style="859" customWidth="1"/>
    <col min="7448" max="7448" width="0" style="859" hidden="1" customWidth="1"/>
    <col min="7449" max="7449" width="14.5703125" style="859" customWidth="1"/>
    <col min="7450" max="7450" width="11.85546875" style="859" customWidth="1"/>
    <col min="7451" max="7685" width="9.140625" style="859"/>
    <col min="7686" max="7686" width="2.85546875" style="859" customWidth="1"/>
    <col min="7687" max="7687" width="50.7109375" style="859" customWidth="1"/>
    <col min="7688" max="7688" width="9.42578125" style="859" customWidth="1"/>
    <col min="7689" max="7689" width="11.85546875" style="859" customWidth="1"/>
    <col min="7690" max="7690" width="8.42578125" style="859" bestFit="1" customWidth="1"/>
    <col min="7691" max="7693" width="0" style="859" hidden="1" customWidth="1"/>
    <col min="7694" max="7694" width="6" style="859" bestFit="1" customWidth="1"/>
    <col min="7695" max="7695" width="9.5703125" style="859" customWidth="1"/>
    <col min="7696" max="7696" width="9.85546875" style="859" customWidth="1"/>
    <col min="7697" max="7697" width="9.7109375" style="859" customWidth="1"/>
    <col min="7698" max="7698" width="9.5703125" style="859" customWidth="1"/>
    <col min="7699" max="7699" width="9.85546875" style="859" customWidth="1"/>
    <col min="7700" max="7700" width="6.5703125" style="859" customWidth="1"/>
    <col min="7701" max="7701" width="6" style="859" bestFit="1" customWidth="1"/>
    <col min="7702" max="7702" width="6.28515625" style="859" customWidth="1"/>
    <col min="7703" max="7703" width="11.7109375" style="859" customWidth="1"/>
    <col min="7704" max="7704" width="0" style="859" hidden="1" customWidth="1"/>
    <col min="7705" max="7705" width="14.5703125" style="859" customWidth="1"/>
    <col min="7706" max="7706" width="11.85546875" style="859" customWidth="1"/>
    <col min="7707" max="7941" width="9.140625" style="859"/>
    <col min="7942" max="7942" width="2.85546875" style="859" customWidth="1"/>
    <col min="7943" max="7943" width="50.7109375" style="859" customWidth="1"/>
    <col min="7944" max="7944" width="9.42578125" style="859" customWidth="1"/>
    <col min="7945" max="7945" width="11.85546875" style="859" customWidth="1"/>
    <col min="7946" max="7946" width="8.42578125" style="859" bestFit="1" customWidth="1"/>
    <col min="7947" max="7949" width="0" style="859" hidden="1" customWidth="1"/>
    <col min="7950" max="7950" width="6" style="859" bestFit="1" customWidth="1"/>
    <col min="7951" max="7951" width="9.5703125" style="859" customWidth="1"/>
    <col min="7952" max="7952" width="9.85546875" style="859" customWidth="1"/>
    <col min="7953" max="7953" width="9.7109375" style="859" customWidth="1"/>
    <col min="7954" max="7954" width="9.5703125" style="859" customWidth="1"/>
    <col min="7955" max="7955" width="9.85546875" style="859" customWidth="1"/>
    <col min="7956" max="7956" width="6.5703125" style="859" customWidth="1"/>
    <col min="7957" max="7957" width="6" style="859" bestFit="1" customWidth="1"/>
    <col min="7958" max="7958" width="6.28515625" style="859" customWidth="1"/>
    <col min="7959" max="7959" width="11.7109375" style="859" customWidth="1"/>
    <col min="7960" max="7960" width="0" style="859" hidden="1" customWidth="1"/>
    <col min="7961" max="7961" width="14.5703125" style="859" customWidth="1"/>
    <col min="7962" max="7962" width="11.85546875" style="859" customWidth="1"/>
    <col min="7963" max="8197" width="9.140625" style="859"/>
    <col min="8198" max="8198" width="2.85546875" style="859" customWidth="1"/>
    <col min="8199" max="8199" width="50.7109375" style="859" customWidth="1"/>
    <col min="8200" max="8200" width="9.42578125" style="859" customWidth="1"/>
    <col min="8201" max="8201" width="11.85546875" style="859" customWidth="1"/>
    <col min="8202" max="8202" width="8.42578125" style="859" bestFit="1" customWidth="1"/>
    <col min="8203" max="8205" width="0" style="859" hidden="1" customWidth="1"/>
    <col min="8206" max="8206" width="6" style="859" bestFit="1" customWidth="1"/>
    <col min="8207" max="8207" width="9.5703125" style="859" customWidth="1"/>
    <col min="8208" max="8208" width="9.85546875" style="859" customWidth="1"/>
    <col min="8209" max="8209" width="9.7109375" style="859" customWidth="1"/>
    <col min="8210" max="8210" width="9.5703125" style="859" customWidth="1"/>
    <col min="8211" max="8211" width="9.85546875" style="859" customWidth="1"/>
    <col min="8212" max="8212" width="6.5703125" style="859" customWidth="1"/>
    <col min="8213" max="8213" width="6" style="859" bestFit="1" customWidth="1"/>
    <col min="8214" max="8214" width="6.28515625" style="859" customWidth="1"/>
    <col min="8215" max="8215" width="11.7109375" style="859" customWidth="1"/>
    <col min="8216" max="8216" width="0" style="859" hidden="1" customWidth="1"/>
    <col min="8217" max="8217" width="14.5703125" style="859" customWidth="1"/>
    <col min="8218" max="8218" width="11.85546875" style="859" customWidth="1"/>
    <col min="8219" max="8453" width="9.140625" style="859"/>
    <col min="8454" max="8454" width="2.85546875" style="859" customWidth="1"/>
    <col min="8455" max="8455" width="50.7109375" style="859" customWidth="1"/>
    <col min="8456" max="8456" width="9.42578125" style="859" customWidth="1"/>
    <col min="8457" max="8457" width="11.85546875" style="859" customWidth="1"/>
    <col min="8458" max="8458" width="8.42578125" style="859" bestFit="1" customWidth="1"/>
    <col min="8459" max="8461" width="0" style="859" hidden="1" customWidth="1"/>
    <col min="8462" max="8462" width="6" style="859" bestFit="1" customWidth="1"/>
    <col min="8463" max="8463" width="9.5703125" style="859" customWidth="1"/>
    <col min="8464" max="8464" width="9.85546875" style="859" customWidth="1"/>
    <col min="8465" max="8465" width="9.7109375" style="859" customWidth="1"/>
    <col min="8466" max="8466" width="9.5703125" style="859" customWidth="1"/>
    <col min="8467" max="8467" width="9.85546875" style="859" customWidth="1"/>
    <col min="8468" max="8468" width="6.5703125" style="859" customWidth="1"/>
    <col min="8469" max="8469" width="6" style="859" bestFit="1" customWidth="1"/>
    <col min="8470" max="8470" width="6.28515625" style="859" customWidth="1"/>
    <col min="8471" max="8471" width="11.7109375" style="859" customWidth="1"/>
    <col min="8472" max="8472" width="0" style="859" hidden="1" customWidth="1"/>
    <col min="8473" max="8473" width="14.5703125" style="859" customWidth="1"/>
    <col min="8474" max="8474" width="11.85546875" style="859" customWidth="1"/>
    <col min="8475" max="8709" width="9.140625" style="859"/>
    <col min="8710" max="8710" width="2.85546875" style="859" customWidth="1"/>
    <col min="8711" max="8711" width="50.7109375" style="859" customWidth="1"/>
    <col min="8712" max="8712" width="9.42578125" style="859" customWidth="1"/>
    <col min="8713" max="8713" width="11.85546875" style="859" customWidth="1"/>
    <col min="8714" max="8714" width="8.42578125" style="859" bestFit="1" customWidth="1"/>
    <col min="8715" max="8717" width="0" style="859" hidden="1" customWidth="1"/>
    <col min="8718" max="8718" width="6" style="859" bestFit="1" customWidth="1"/>
    <col min="8719" max="8719" width="9.5703125" style="859" customWidth="1"/>
    <col min="8720" max="8720" width="9.85546875" style="859" customWidth="1"/>
    <col min="8721" max="8721" width="9.7109375" style="859" customWidth="1"/>
    <col min="8722" max="8722" width="9.5703125" style="859" customWidth="1"/>
    <col min="8723" max="8723" width="9.85546875" style="859" customWidth="1"/>
    <col min="8724" max="8724" width="6.5703125" style="859" customWidth="1"/>
    <col min="8725" max="8725" width="6" style="859" bestFit="1" customWidth="1"/>
    <col min="8726" max="8726" width="6.28515625" style="859" customWidth="1"/>
    <col min="8727" max="8727" width="11.7109375" style="859" customWidth="1"/>
    <col min="8728" max="8728" width="0" style="859" hidden="1" customWidth="1"/>
    <col min="8729" max="8729" width="14.5703125" style="859" customWidth="1"/>
    <col min="8730" max="8730" width="11.85546875" style="859" customWidth="1"/>
    <col min="8731" max="8965" width="9.140625" style="859"/>
    <col min="8966" max="8966" width="2.85546875" style="859" customWidth="1"/>
    <col min="8967" max="8967" width="50.7109375" style="859" customWidth="1"/>
    <col min="8968" max="8968" width="9.42578125" style="859" customWidth="1"/>
    <col min="8969" max="8969" width="11.85546875" style="859" customWidth="1"/>
    <col min="8970" max="8970" width="8.42578125" style="859" bestFit="1" customWidth="1"/>
    <col min="8971" max="8973" width="0" style="859" hidden="1" customWidth="1"/>
    <col min="8974" max="8974" width="6" style="859" bestFit="1" customWidth="1"/>
    <col min="8975" max="8975" width="9.5703125" style="859" customWidth="1"/>
    <col min="8976" max="8976" width="9.85546875" style="859" customWidth="1"/>
    <col min="8977" max="8977" width="9.7109375" style="859" customWidth="1"/>
    <col min="8978" max="8978" width="9.5703125" style="859" customWidth="1"/>
    <col min="8979" max="8979" width="9.85546875" style="859" customWidth="1"/>
    <col min="8980" max="8980" width="6.5703125" style="859" customWidth="1"/>
    <col min="8981" max="8981" width="6" style="859" bestFit="1" customWidth="1"/>
    <col min="8982" max="8982" width="6.28515625" style="859" customWidth="1"/>
    <col min="8983" max="8983" width="11.7109375" style="859" customWidth="1"/>
    <col min="8984" max="8984" width="0" style="859" hidden="1" customWidth="1"/>
    <col min="8985" max="8985" width="14.5703125" style="859" customWidth="1"/>
    <col min="8986" max="8986" width="11.85546875" style="859" customWidth="1"/>
    <col min="8987" max="9221" width="9.140625" style="859"/>
    <col min="9222" max="9222" width="2.85546875" style="859" customWidth="1"/>
    <col min="9223" max="9223" width="50.7109375" style="859" customWidth="1"/>
    <col min="9224" max="9224" width="9.42578125" style="859" customWidth="1"/>
    <col min="9225" max="9225" width="11.85546875" style="859" customWidth="1"/>
    <col min="9226" max="9226" width="8.42578125" style="859" bestFit="1" customWidth="1"/>
    <col min="9227" max="9229" width="0" style="859" hidden="1" customWidth="1"/>
    <col min="9230" max="9230" width="6" style="859" bestFit="1" customWidth="1"/>
    <col min="9231" max="9231" width="9.5703125" style="859" customWidth="1"/>
    <col min="9232" max="9232" width="9.85546875" style="859" customWidth="1"/>
    <col min="9233" max="9233" width="9.7109375" style="859" customWidth="1"/>
    <col min="9234" max="9234" width="9.5703125" style="859" customWidth="1"/>
    <col min="9235" max="9235" width="9.85546875" style="859" customWidth="1"/>
    <col min="9236" max="9236" width="6.5703125" style="859" customWidth="1"/>
    <col min="9237" max="9237" width="6" style="859" bestFit="1" customWidth="1"/>
    <col min="9238" max="9238" width="6.28515625" style="859" customWidth="1"/>
    <col min="9239" max="9239" width="11.7109375" style="859" customWidth="1"/>
    <col min="9240" max="9240" width="0" style="859" hidden="1" customWidth="1"/>
    <col min="9241" max="9241" width="14.5703125" style="859" customWidth="1"/>
    <col min="9242" max="9242" width="11.85546875" style="859" customWidth="1"/>
    <col min="9243" max="9477" width="9.140625" style="859"/>
    <col min="9478" max="9478" width="2.85546875" style="859" customWidth="1"/>
    <col min="9479" max="9479" width="50.7109375" style="859" customWidth="1"/>
    <col min="9480" max="9480" width="9.42578125" style="859" customWidth="1"/>
    <col min="9481" max="9481" width="11.85546875" style="859" customWidth="1"/>
    <col min="9482" max="9482" width="8.42578125" style="859" bestFit="1" customWidth="1"/>
    <col min="9483" max="9485" width="0" style="859" hidden="1" customWidth="1"/>
    <col min="9486" max="9486" width="6" style="859" bestFit="1" customWidth="1"/>
    <col min="9487" max="9487" width="9.5703125" style="859" customWidth="1"/>
    <col min="9488" max="9488" width="9.85546875" style="859" customWidth="1"/>
    <col min="9489" max="9489" width="9.7109375" style="859" customWidth="1"/>
    <col min="9490" max="9490" width="9.5703125" style="859" customWidth="1"/>
    <col min="9491" max="9491" width="9.85546875" style="859" customWidth="1"/>
    <col min="9492" max="9492" width="6.5703125" style="859" customWidth="1"/>
    <col min="9493" max="9493" width="6" style="859" bestFit="1" customWidth="1"/>
    <col min="9494" max="9494" width="6.28515625" style="859" customWidth="1"/>
    <col min="9495" max="9495" width="11.7109375" style="859" customWidth="1"/>
    <col min="9496" max="9496" width="0" style="859" hidden="1" customWidth="1"/>
    <col min="9497" max="9497" width="14.5703125" style="859" customWidth="1"/>
    <col min="9498" max="9498" width="11.85546875" style="859" customWidth="1"/>
    <col min="9499" max="9733" width="9.140625" style="859"/>
    <col min="9734" max="9734" width="2.85546875" style="859" customWidth="1"/>
    <col min="9735" max="9735" width="50.7109375" style="859" customWidth="1"/>
    <col min="9736" max="9736" width="9.42578125" style="859" customWidth="1"/>
    <col min="9737" max="9737" width="11.85546875" style="859" customWidth="1"/>
    <col min="9738" max="9738" width="8.42578125" style="859" bestFit="1" customWidth="1"/>
    <col min="9739" max="9741" width="0" style="859" hidden="1" customWidth="1"/>
    <col min="9742" max="9742" width="6" style="859" bestFit="1" customWidth="1"/>
    <col min="9743" max="9743" width="9.5703125" style="859" customWidth="1"/>
    <col min="9744" max="9744" width="9.85546875" style="859" customWidth="1"/>
    <col min="9745" max="9745" width="9.7109375" style="859" customWidth="1"/>
    <col min="9746" max="9746" width="9.5703125" style="859" customWidth="1"/>
    <col min="9747" max="9747" width="9.85546875" style="859" customWidth="1"/>
    <col min="9748" max="9748" width="6.5703125" style="859" customWidth="1"/>
    <col min="9749" max="9749" width="6" style="859" bestFit="1" customWidth="1"/>
    <col min="9750" max="9750" width="6.28515625" style="859" customWidth="1"/>
    <col min="9751" max="9751" width="11.7109375" style="859" customWidth="1"/>
    <col min="9752" max="9752" width="0" style="859" hidden="1" customWidth="1"/>
    <col min="9753" max="9753" width="14.5703125" style="859" customWidth="1"/>
    <col min="9754" max="9754" width="11.85546875" style="859" customWidth="1"/>
    <col min="9755" max="9989" width="9.140625" style="859"/>
    <col min="9990" max="9990" width="2.85546875" style="859" customWidth="1"/>
    <col min="9991" max="9991" width="50.7109375" style="859" customWidth="1"/>
    <col min="9992" max="9992" width="9.42578125" style="859" customWidth="1"/>
    <col min="9993" max="9993" width="11.85546875" style="859" customWidth="1"/>
    <col min="9994" max="9994" width="8.42578125" style="859" bestFit="1" customWidth="1"/>
    <col min="9995" max="9997" width="0" style="859" hidden="1" customWidth="1"/>
    <col min="9998" max="9998" width="6" style="859" bestFit="1" customWidth="1"/>
    <col min="9999" max="9999" width="9.5703125" style="859" customWidth="1"/>
    <col min="10000" max="10000" width="9.85546875" style="859" customWidth="1"/>
    <col min="10001" max="10001" width="9.7109375" style="859" customWidth="1"/>
    <col min="10002" max="10002" width="9.5703125" style="859" customWidth="1"/>
    <col min="10003" max="10003" width="9.85546875" style="859" customWidth="1"/>
    <col min="10004" max="10004" width="6.5703125" style="859" customWidth="1"/>
    <col min="10005" max="10005" width="6" style="859" bestFit="1" customWidth="1"/>
    <col min="10006" max="10006" width="6.28515625" style="859" customWidth="1"/>
    <col min="10007" max="10007" width="11.7109375" style="859" customWidth="1"/>
    <col min="10008" max="10008" width="0" style="859" hidden="1" customWidth="1"/>
    <col min="10009" max="10009" width="14.5703125" style="859" customWidth="1"/>
    <col min="10010" max="10010" width="11.85546875" style="859" customWidth="1"/>
    <col min="10011" max="10245" width="9.140625" style="859"/>
    <col min="10246" max="10246" width="2.85546875" style="859" customWidth="1"/>
    <col min="10247" max="10247" width="50.7109375" style="859" customWidth="1"/>
    <col min="10248" max="10248" width="9.42578125" style="859" customWidth="1"/>
    <col min="10249" max="10249" width="11.85546875" style="859" customWidth="1"/>
    <col min="10250" max="10250" width="8.42578125" style="859" bestFit="1" customWidth="1"/>
    <col min="10251" max="10253" width="0" style="859" hidden="1" customWidth="1"/>
    <col min="10254" max="10254" width="6" style="859" bestFit="1" customWidth="1"/>
    <col min="10255" max="10255" width="9.5703125" style="859" customWidth="1"/>
    <col min="10256" max="10256" width="9.85546875" style="859" customWidth="1"/>
    <col min="10257" max="10257" width="9.7109375" style="859" customWidth="1"/>
    <col min="10258" max="10258" width="9.5703125" style="859" customWidth="1"/>
    <col min="10259" max="10259" width="9.85546875" style="859" customWidth="1"/>
    <col min="10260" max="10260" width="6.5703125" style="859" customWidth="1"/>
    <col min="10261" max="10261" width="6" style="859" bestFit="1" customWidth="1"/>
    <col min="10262" max="10262" width="6.28515625" style="859" customWidth="1"/>
    <col min="10263" max="10263" width="11.7109375" style="859" customWidth="1"/>
    <col min="10264" max="10264" width="0" style="859" hidden="1" customWidth="1"/>
    <col min="10265" max="10265" width="14.5703125" style="859" customWidth="1"/>
    <col min="10266" max="10266" width="11.85546875" style="859" customWidth="1"/>
    <col min="10267" max="10501" width="9.140625" style="859"/>
    <col min="10502" max="10502" width="2.85546875" style="859" customWidth="1"/>
    <col min="10503" max="10503" width="50.7109375" style="859" customWidth="1"/>
    <col min="10504" max="10504" width="9.42578125" style="859" customWidth="1"/>
    <col min="10505" max="10505" width="11.85546875" style="859" customWidth="1"/>
    <col min="10506" max="10506" width="8.42578125" style="859" bestFit="1" customWidth="1"/>
    <col min="10507" max="10509" width="0" style="859" hidden="1" customWidth="1"/>
    <col min="10510" max="10510" width="6" style="859" bestFit="1" customWidth="1"/>
    <col min="10511" max="10511" width="9.5703125" style="859" customWidth="1"/>
    <col min="10512" max="10512" width="9.85546875" style="859" customWidth="1"/>
    <col min="10513" max="10513" width="9.7109375" style="859" customWidth="1"/>
    <col min="10514" max="10514" width="9.5703125" style="859" customWidth="1"/>
    <col min="10515" max="10515" width="9.85546875" style="859" customWidth="1"/>
    <col min="10516" max="10516" width="6.5703125" style="859" customWidth="1"/>
    <col min="10517" max="10517" width="6" style="859" bestFit="1" customWidth="1"/>
    <col min="10518" max="10518" width="6.28515625" style="859" customWidth="1"/>
    <col min="10519" max="10519" width="11.7109375" style="859" customWidth="1"/>
    <col min="10520" max="10520" width="0" style="859" hidden="1" customWidth="1"/>
    <col min="10521" max="10521" width="14.5703125" style="859" customWidth="1"/>
    <col min="10522" max="10522" width="11.85546875" style="859" customWidth="1"/>
    <col min="10523" max="10757" width="9.140625" style="859"/>
    <col min="10758" max="10758" width="2.85546875" style="859" customWidth="1"/>
    <col min="10759" max="10759" width="50.7109375" style="859" customWidth="1"/>
    <col min="10760" max="10760" width="9.42578125" style="859" customWidth="1"/>
    <col min="10761" max="10761" width="11.85546875" style="859" customWidth="1"/>
    <col min="10762" max="10762" width="8.42578125" style="859" bestFit="1" customWidth="1"/>
    <col min="10763" max="10765" width="0" style="859" hidden="1" customWidth="1"/>
    <col min="10766" max="10766" width="6" style="859" bestFit="1" customWidth="1"/>
    <col min="10767" max="10767" width="9.5703125" style="859" customWidth="1"/>
    <col min="10768" max="10768" width="9.85546875" style="859" customWidth="1"/>
    <col min="10769" max="10769" width="9.7109375" style="859" customWidth="1"/>
    <col min="10770" max="10770" width="9.5703125" style="859" customWidth="1"/>
    <col min="10771" max="10771" width="9.85546875" style="859" customWidth="1"/>
    <col min="10772" max="10772" width="6.5703125" style="859" customWidth="1"/>
    <col min="10773" max="10773" width="6" style="859" bestFit="1" customWidth="1"/>
    <col min="10774" max="10774" width="6.28515625" style="859" customWidth="1"/>
    <col min="10775" max="10775" width="11.7109375" style="859" customWidth="1"/>
    <col min="10776" max="10776" width="0" style="859" hidden="1" customWidth="1"/>
    <col min="10777" max="10777" width="14.5703125" style="859" customWidth="1"/>
    <col min="10778" max="10778" width="11.85546875" style="859" customWidth="1"/>
    <col min="10779" max="11013" width="9.140625" style="859"/>
    <col min="11014" max="11014" width="2.85546875" style="859" customWidth="1"/>
    <col min="11015" max="11015" width="50.7109375" style="859" customWidth="1"/>
    <col min="11016" max="11016" width="9.42578125" style="859" customWidth="1"/>
    <col min="11017" max="11017" width="11.85546875" style="859" customWidth="1"/>
    <col min="11018" max="11018" width="8.42578125" style="859" bestFit="1" customWidth="1"/>
    <col min="11019" max="11021" width="0" style="859" hidden="1" customWidth="1"/>
    <col min="11022" max="11022" width="6" style="859" bestFit="1" customWidth="1"/>
    <col min="11023" max="11023" width="9.5703125" style="859" customWidth="1"/>
    <col min="11024" max="11024" width="9.85546875" style="859" customWidth="1"/>
    <col min="11025" max="11025" width="9.7109375" style="859" customWidth="1"/>
    <col min="11026" max="11026" width="9.5703125" style="859" customWidth="1"/>
    <col min="11027" max="11027" width="9.85546875" style="859" customWidth="1"/>
    <col min="11028" max="11028" width="6.5703125" style="859" customWidth="1"/>
    <col min="11029" max="11029" width="6" style="859" bestFit="1" customWidth="1"/>
    <col min="11030" max="11030" width="6.28515625" style="859" customWidth="1"/>
    <col min="11031" max="11031" width="11.7109375" style="859" customWidth="1"/>
    <col min="11032" max="11032" width="0" style="859" hidden="1" customWidth="1"/>
    <col min="11033" max="11033" width="14.5703125" style="859" customWidth="1"/>
    <col min="11034" max="11034" width="11.85546875" style="859" customWidth="1"/>
    <col min="11035" max="11269" width="9.140625" style="859"/>
    <col min="11270" max="11270" width="2.85546875" style="859" customWidth="1"/>
    <col min="11271" max="11271" width="50.7109375" style="859" customWidth="1"/>
    <col min="11272" max="11272" width="9.42578125" style="859" customWidth="1"/>
    <col min="11273" max="11273" width="11.85546875" style="859" customWidth="1"/>
    <col min="11274" max="11274" width="8.42578125" style="859" bestFit="1" customWidth="1"/>
    <col min="11275" max="11277" width="0" style="859" hidden="1" customWidth="1"/>
    <col min="11278" max="11278" width="6" style="859" bestFit="1" customWidth="1"/>
    <col min="11279" max="11279" width="9.5703125" style="859" customWidth="1"/>
    <col min="11280" max="11280" width="9.85546875" style="859" customWidth="1"/>
    <col min="11281" max="11281" width="9.7109375" style="859" customWidth="1"/>
    <col min="11282" max="11282" width="9.5703125" style="859" customWidth="1"/>
    <col min="11283" max="11283" width="9.85546875" style="859" customWidth="1"/>
    <col min="11284" max="11284" width="6.5703125" style="859" customWidth="1"/>
    <col min="11285" max="11285" width="6" style="859" bestFit="1" customWidth="1"/>
    <col min="11286" max="11286" width="6.28515625" style="859" customWidth="1"/>
    <col min="11287" max="11287" width="11.7109375" style="859" customWidth="1"/>
    <col min="11288" max="11288" width="0" style="859" hidden="1" customWidth="1"/>
    <col min="11289" max="11289" width="14.5703125" style="859" customWidth="1"/>
    <col min="11290" max="11290" width="11.85546875" style="859" customWidth="1"/>
    <col min="11291" max="11525" width="9.140625" style="859"/>
    <col min="11526" max="11526" width="2.85546875" style="859" customWidth="1"/>
    <col min="11527" max="11527" width="50.7109375" style="859" customWidth="1"/>
    <col min="11528" max="11528" width="9.42578125" style="859" customWidth="1"/>
    <col min="11529" max="11529" width="11.85546875" style="859" customWidth="1"/>
    <col min="11530" max="11530" width="8.42578125" style="859" bestFit="1" customWidth="1"/>
    <col min="11531" max="11533" width="0" style="859" hidden="1" customWidth="1"/>
    <col min="11534" max="11534" width="6" style="859" bestFit="1" customWidth="1"/>
    <col min="11535" max="11535" width="9.5703125" style="859" customWidth="1"/>
    <col min="11536" max="11536" width="9.85546875" style="859" customWidth="1"/>
    <col min="11537" max="11537" width="9.7109375" style="859" customWidth="1"/>
    <col min="11538" max="11538" width="9.5703125" style="859" customWidth="1"/>
    <col min="11539" max="11539" width="9.85546875" style="859" customWidth="1"/>
    <col min="11540" max="11540" width="6.5703125" style="859" customWidth="1"/>
    <col min="11541" max="11541" width="6" style="859" bestFit="1" customWidth="1"/>
    <col min="11542" max="11542" width="6.28515625" style="859" customWidth="1"/>
    <col min="11543" max="11543" width="11.7109375" style="859" customWidth="1"/>
    <col min="11544" max="11544" width="0" style="859" hidden="1" customWidth="1"/>
    <col min="11545" max="11545" width="14.5703125" style="859" customWidth="1"/>
    <col min="11546" max="11546" width="11.85546875" style="859" customWidth="1"/>
    <col min="11547" max="11781" width="9.140625" style="859"/>
    <col min="11782" max="11782" width="2.85546875" style="859" customWidth="1"/>
    <col min="11783" max="11783" width="50.7109375" style="859" customWidth="1"/>
    <col min="11784" max="11784" width="9.42578125" style="859" customWidth="1"/>
    <col min="11785" max="11785" width="11.85546875" style="859" customWidth="1"/>
    <col min="11786" max="11786" width="8.42578125" style="859" bestFit="1" customWidth="1"/>
    <col min="11787" max="11789" width="0" style="859" hidden="1" customWidth="1"/>
    <col min="11790" max="11790" width="6" style="859" bestFit="1" customWidth="1"/>
    <col min="11791" max="11791" width="9.5703125" style="859" customWidth="1"/>
    <col min="11792" max="11792" width="9.85546875" style="859" customWidth="1"/>
    <col min="11793" max="11793" width="9.7109375" style="859" customWidth="1"/>
    <col min="11794" max="11794" width="9.5703125" style="859" customWidth="1"/>
    <col min="11795" max="11795" width="9.85546875" style="859" customWidth="1"/>
    <col min="11796" max="11796" width="6.5703125" style="859" customWidth="1"/>
    <col min="11797" max="11797" width="6" style="859" bestFit="1" customWidth="1"/>
    <col min="11798" max="11798" width="6.28515625" style="859" customWidth="1"/>
    <col min="11799" max="11799" width="11.7109375" style="859" customWidth="1"/>
    <col min="11800" max="11800" width="0" style="859" hidden="1" customWidth="1"/>
    <col min="11801" max="11801" width="14.5703125" style="859" customWidth="1"/>
    <col min="11802" max="11802" width="11.85546875" style="859" customWidth="1"/>
    <col min="11803" max="12037" width="9.140625" style="859"/>
    <col min="12038" max="12038" width="2.85546875" style="859" customWidth="1"/>
    <col min="12039" max="12039" width="50.7109375" style="859" customWidth="1"/>
    <col min="12040" max="12040" width="9.42578125" style="859" customWidth="1"/>
    <col min="12041" max="12041" width="11.85546875" style="859" customWidth="1"/>
    <col min="12042" max="12042" width="8.42578125" style="859" bestFit="1" customWidth="1"/>
    <col min="12043" max="12045" width="0" style="859" hidden="1" customWidth="1"/>
    <col min="12046" max="12046" width="6" style="859" bestFit="1" customWidth="1"/>
    <col min="12047" max="12047" width="9.5703125" style="859" customWidth="1"/>
    <col min="12048" max="12048" width="9.85546875" style="859" customWidth="1"/>
    <col min="12049" max="12049" width="9.7109375" style="859" customWidth="1"/>
    <col min="12050" max="12050" width="9.5703125" style="859" customWidth="1"/>
    <col min="12051" max="12051" width="9.85546875" style="859" customWidth="1"/>
    <col min="12052" max="12052" width="6.5703125" style="859" customWidth="1"/>
    <col min="12053" max="12053" width="6" style="859" bestFit="1" customWidth="1"/>
    <col min="12054" max="12054" width="6.28515625" style="859" customWidth="1"/>
    <col min="12055" max="12055" width="11.7109375" style="859" customWidth="1"/>
    <col min="12056" max="12056" width="0" style="859" hidden="1" customWidth="1"/>
    <col min="12057" max="12057" width="14.5703125" style="859" customWidth="1"/>
    <col min="12058" max="12058" width="11.85546875" style="859" customWidth="1"/>
    <col min="12059" max="12293" width="9.140625" style="859"/>
    <col min="12294" max="12294" width="2.85546875" style="859" customWidth="1"/>
    <col min="12295" max="12295" width="50.7109375" style="859" customWidth="1"/>
    <col min="12296" max="12296" width="9.42578125" style="859" customWidth="1"/>
    <col min="12297" max="12297" width="11.85546875" style="859" customWidth="1"/>
    <col min="12298" max="12298" width="8.42578125" style="859" bestFit="1" customWidth="1"/>
    <col min="12299" max="12301" width="0" style="859" hidden="1" customWidth="1"/>
    <col min="12302" max="12302" width="6" style="859" bestFit="1" customWidth="1"/>
    <col min="12303" max="12303" width="9.5703125" style="859" customWidth="1"/>
    <col min="12304" max="12304" width="9.85546875" style="859" customWidth="1"/>
    <col min="12305" max="12305" width="9.7109375" style="859" customWidth="1"/>
    <col min="12306" max="12306" width="9.5703125" style="859" customWidth="1"/>
    <col min="12307" max="12307" width="9.85546875" style="859" customWidth="1"/>
    <col min="12308" max="12308" width="6.5703125" style="859" customWidth="1"/>
    <col min="12309" max="12309" width="6" style="859" bestFit="1" customWidth="1"/>
    <col min="12310" max="12310" width="6.28515625" style="859" customWidth="1"/>
    <col min="12311" max="12311" width="11.7109375" style="859" customWidth="1"/>
    <col min="12312" max="12312" width="0" style="859" hidden="1" customWidth="1"/>
    <col min="12313" max="12313" width="14.5703125" style="859" customWidth="1"/>
    <col min="12314" max="12314" width="11.85546875" style="859" customWidth="1"/>
    <col min="12315" max="12549" width="9.140625" style="859"/>
    <col min="12550" max="12550" width="2.85546875" style="859" customWidth="1"/>
    <col min="12551" max="12551" width="50.7109375" style="859" customWidth="1"/>
    <col min="12552" max="12552" width="9.42578125" style="859" customWidth="1"/>
    <col min="12553" max="12553" width="11.85546875" style="859" customWidth="1"/>
    <col min="12554" max="12554" width="8.42578125" style="859" bestFit="1" customWidth="1"/>
    <col min="12555" max="12557" width="0" style="859" hidden="1" customWidth="1"/>
    <col min="12558" max="12558" width="6" style="859" bestFit="1" customWidth="1"/>
    <col min="12559" max="12559" width="9.5703125" style="859" customWidth="1"/>
    <col min="12560" max="12560" width="9.85546875" style="859" customWidth="1"/>
    <col min="12561" max="12561" width="9.7109375" style="859" customWidth="1"/>
    <col min="12562" max="12562" width="9.5703125" style="859" customWidth="1"/>
    <col min="12563" max="12563" width="9.85546875" style="859" customWidth="1"/>
    <col min="12564" max="12564" width="6.5703125" style="859" customWidth="1"/>
    <col min="12565" max="12565" width="6" style="859" bestFit="1" customWidth="1"/>
    <col min="12566" max="12566" width="6.28515625" style="859" customWidth="1"/>
    <col min="12567" max="12567" width="11.7109375" style="859" customWidth="1"/>
    <col min="12568" max="12568" width="0" style="859" hidden="1" customWidth="1"/>
    <col min="12569" max="12569" width="14.5703125" style="859" customWidth="1"/>
    <col min="12570" max="12570" width="11.85546875" style="859" customWidth="1"/>
    <col min="12571" max="12805" width="9.140625" style="859"/>
    <col min="12806" max="12806" width="2.85546875" style="859" customWidth="1"/>
    <col min="12807" max="12807" width="50.7109375" style="859" customWidth="1"/>
    <col min="12808" max="12808" width="9.42578125" style="859" customWidth="1"/>
    <col min="12809" max="12809" width="11.85546875" style="859" customWidth="1"/>
    <col min="12810" max="12810" width="8.42578125" style="859" bestFit="1" customWidth="1"/>
    <col min="12811" max="12813" width="0" style="859" hidden="1" customWidth="1"/>
    <col min="12814" max="12814" width="6" style="859" bestFit="1" customWidth="1"/>
    <col min="12815" max="12815" width="9.5703125" style="859" customWidth="1"/>
    <col min="12816" max="12816" width="9.85546875" style="859" customWidth="1"/>
    <col min="12817" max="12817" width="9.7109375" style="859" customWidth="1"/>
    <col min="12818" max="12818" width="9.5703125" style="859" customWidth="1"/>
    <col min="12819" max="12819" width="9.85546875" style="859" customWidth="1"/>
    <col min="12820" max="12820" width="6.5703125" style="859" customWidth="1"/>
    <col min="12821" max="12821" width="6" style="859" bestFit="1" customWidth="1"/>
    <col min="12822" max="12822" width="6.28515625" style="859" customWidth="1"/>
    <col min="12823" max="12823" width="11.7109375" style="859" customWidth="1"/>
    <col min="12824" max="12824" width="0" style="859" hidden="1" customWidth="1"/>
    <col min="12825" max="12825" width="14.5703125" style="859" customWidth="1"/>
    <col min="12826" max="12826" width="11.85546875" style="859" customWidth="1"/>
    <col min="12827" max="13061" width="9.140625" style="859"/>
    <col min="13062" max="13062" width="2.85546875" style="859" customWidth="1"/>
    <col min="13063" max="13063" width="50.7109375" style="859" customWidth="1"/>
    <col min="13064" max="13064" width="9.42578125" style="859" customWidth="1"/>
    <col min="13065" max="13065" width="11.85546875" style="859" customWidth="1"/>
    <col min="13066" max="13066" width="8.42578125" style="859" bestFit="1" customWidth="1"/>
    <col min="13067" max="13069" width="0" style="859" hidden="1" customWidth="1"/>
    <col min="13070" max="13070" width="6" style="859" bestFit="1" customWidth="1"/>
    <col min="13071" max="13071" width="9.5703125" style="859" customWidth="1"/>
    <col min="13072" max="13072" width="9.85546875" style="859" customWidth="1"/>
    <col min="13073" max="13073" width="9.7109375" style="859" customWidth="1"/>
    <col min="13074" max="13074" width="9.5703125" style="859" customWidth="1"/>
    <col min="13075" max="13075" width="9.85546875" style="859" customWidth="1"/>
    <col min="13076" max="13076" width="6.5703125" style="859" customWidth="1"/>
    <col min="13077" max="13077" width="6" style="859" bestFit="1" customWidth="1"/>
    <col min="13078" max="13078" width="6.28515625" style="859" customWidth="1"/>
    <col min="13079" max="13079" width="11.7109375" style="859" customWidth="1"/>
    <col min="13080" max="13080" width="0" style="859" hidden="1" customWidth="1"/>
    <col min="13081" max="13081" width="14.5703125" style="859" customWidth="1"/>
    <col min="13082" max="13082" width="11.85546875" style="859" customWidth="1"/>
    <col min="13083" max="13317" width="9.140625" style="859"/>
    <col min="13318" max="13318" width="2.85546875" style="859" customWidth="1"/>
    <col min="13319" max="13319" width="50.7109375" style="859" customWidth="1"/>
    <col min="13320" max="13320" width="9.42578125" style="859" customWidth="1"/>
    <col min="13321" max="13321" width="11.85546875" style="859" customWidth="1"/>
    <col min="13322" max="13322" width="8.42578125" style="859" bestFit="1" customWidth="1"/>
    <col min="13323" max="13325" width="0" style="859" hidden="1" customWidth="1"/>
    <col min="13326" max="13326" width="6" style="859" bestFit="1" customWidth="1"/>
    <col min="13327" max="13327" width="9.5703125" style="859" customWidth="1"/>
    <col min="13328" max="13328" width="9.85546875" style="859" customWidth="1"/>
    <col min="13329" max="13329" width="9.7109375" style="859" customWidth="1"/>
    <col min="13330" max="13330" width="9.5703125" style="859" customWidth="1"/>
    <col min="13331" max="13331" width="9.85546875" style="859" customWidth="1"/>
    <col min="13332" max="13332" width="6.5703125" style="859" customWidth="1"/>
    <col min="13333" max="13333" width="6" style="859" bestFit="1" customWidth="1"/>
    <col min="13334" max="13334" width="6.28515625" style="859" customWidth="1"/>
    <col min="13335" max="13335" width="11.7109375" style="859" customWidth="1"/>
    <col min="13336" max="13336" width="0" style="859" hidden="1" customWidth="1"/>
    <col min="13337" max="13337" width="14.5703125" style="859" customWidth="1"/>
    <col min="13338" max="13338" width="11.85546875" style="859" customWidth="1"/>
    <col min="13339" max="13573" width="9.140625" style="859"/>
    <col min="13574" max="13574" width="2.85546875" style="859" customWidth="1"/>
    <col min="13575" max="13575" width="50.7109375" style="859" customWidth="1"/>
    <col min="13576" max="13576" width="9.42578125" style="859" customWidth="1"/>
    <col min="13577" max="13577" width="11.85546875" style="859" customWidth="1"/>
    <col min="13578" max="13578" width="8.42578125" style="859" bestFit="1" customWidth="1"/>
    <col min="13579" max="13581" width="0" style="859" hidden="1" customWidth="1"/>
    <col min="13582" max="13582" width="6" style="859" bestFit="1" customWidth="1"/>
    <col min="13583" max="13583" width="9.5703125" style="859" customWidth="1"/>
    <col min="13584" max="13584" width="9.85546875" style="859" customWidth="1"/>
    <col min="13585" max="13585" width="9.7109375" style="859" customWidth="1"/>
    <col min="13586" max="13586" width="9.5703125" style="859" customWidth="1"/>
    <col min="13587" max="13587" width="9.85546875" style="859" customWidth="1"/>
    <col min="13588" max="13588" width="6.5703125" style="859" customWidth="1"/>
    <col min="13589" max="13589" width="6" style="859" bestFit="1" customWidth="1"/>
    <col min="13590" max="13590" width="6.28515625" style="859" customWidth="1"/>
    <col min="13591" max="13591" width="11.7109375" style="859" customWidth="1"/>
    <col min="13592" max="13592" width="0" style="859" hidden="1" customWidth="1"/>
    <col min="13593" max="13593" width="14.5703125" style="859" customWidth="1"/>
    <col min="13594" max="13594" width="11.85546875" style="859" customWidth="1"/>
    <col min="13595" max="13829" width="9.140625" style="859"/>
    <col min="13830" max="13830" width="2.85546875" style="859" customWidth="1"/>
    <col min="13831" max="13831" width="50.7109375" style="859" customWidth="1"/>
    <col min="13832" max="13832" width="9.42578125" style="859" customWidth="1"/>
    <col min="13833" max="13833" width="11.85546875" style="859" customWidth="1"/>
    <col min="13834" max="13834" width="8.42578125" style="859" bestFit="1" customWidth="1"/>
    <col min="13835" max="13837" width="0" style="859" hidden="1" customWidth="1"/>
    <col min="13838" max="13838" width="6" style="859" bestFit="1" customWidth="1"/>
    <col min="13839" max="13839" width="9.5703125" style="859" customWidth="1"/>
    <col min="13840" max="13840" width="9.85546875" style="859" customWidth="1"/>
    <col min="13841" max="13841" width="9.7109375" style="859" customWidth="1"/>
    <col min="13842" max="13842" width="9.5703125" style="859" customWidth="1"/>
    <col min="13843" max="13843" width="9.85546875" style="859" customWidth="1"/>
    <col min="13844" max="13844" width="6.5703125" style="859" customWidth="1"/>
    <col min="13845" max="13845" width="6" style="859" bestFit="1" customWidth="1"/>
    <col min="13846" max="13846" width="6.28515625" style="859" customWidth="1"/>
    <col min="13847" max="13847" width="11.7109375" style="859" customWidth="1"/>
    <col min="13848" max="13848" width="0" style="859" hidden="1" customWidth="1"/>
    <col min="13849" max="13849" width="14.5703125" style="859" customWidth="1"/>
    <col min="13850" max="13850" width="11.85546875" style="859" customWidth="1"/>
    <col min="13851" max="14085" width="9.140625" style="859"/>
    <col min="14086" max="14086" width="2.85546875" style="859" customWidth="1"/>
    <col min="14087" max="14087" width="50.7109375" style="859" customWidth="1"/>
    <col min="14088" max="14088" width="9.42578125" style="859" customWidth="1"/>
    <col min="14089" max="14089" width="11.85546875" style="859" customWidth="1"/>
    <col min="14090" max="14090" width="8.42578125" style="859" bestFit="1" customWidth="1"/>
    <col min="14091" max="14093" width="0" style="859" hidden="1" customWidth="1"/>
    <col min="14094" max="14094" width="6" style="859" bestFit="1" customWidth="1"/>
    <col min="14095" max="14095" width="9.5703125" style="859" customWidth="1"/>
    <col min="14096" max="14096" width="9.85546875" style="859" customWidth="1"/>
    <col min="14097" max="14097" width="9.7109375" style="859" customWidth="1"/>
    <col min="14098" max="14098" width="9.5703125" style="859" customWidth="1"/>
    <col min="14099" max="14099" width="9.85546875" style="859" customWidth="1"/>
    <col min="14100" max="14100" width="6.5703125" style="859" customWidth="1"/>
    <col min="14101" max="14101" width="6" style="859" bestFit="1" customWidth="1"/>
    <col min="14102" max="14102" width="6.28515625" style="859" customWidth="1"/>
    <col min="14103" max="14103" width="11.7109375" style="859" customWidth="1"/>
    <col min="14104" max="14104" width="0" style="859" hidden="1" customWidth="1"/>
    <col min="14105" max="14105" width="14.5703125" style="859" customWidth="1"/>
    <col min="14106" max="14106" width="11.85546875" style="859" customWidth="1"/>
    <col min="14107" max="14341" width="9.140625" style="859"/>
    <col min="14342" max="14342" width="2.85546875" style="859" customWidth="1"/>
    <col min="14343" max="14343" width="50.7109375" style="859" customWidth="1"/>
    <col min="14344" max="14344" width="9.42578125" style="859" customWidth="1"/>
    <col min="14345" max="14345" width="11.85546875" style="859" customWidth="1"/>
    <col min="14346" max="14346" width="8.42578125" style="859" bestFit="1" customWidth="1"/>
    <col min="14347" max="14349" width="0" style="859" hidden="1" customWidth="1"/>
    <col min="14350" max="14350" width="6" style="859" bestFit="1" customWidth="1"/>
    <col min="14351" max="14351" width="9.5703125" style="859" customWidth="1"/>
    <col min="14352" max="14352" width="9.85546875" style="859" customWidth="1"/>
    <col min="14353" max="14353" width="9.7109375" style="859" customWidth="1"/>
    <col min="14354" max="14354" width="9.5703125" style="859" customWidth="1"/>
    <col min="14355" max="14355" width="9.85546875" style="859" customWidth="1"/>
    <col min="14356" max="14356" width="6.5703125" style="859" customWidth="1"/>
    <col min="14357" max="14357" width="6" style="859" bestFit="1" customWidth="1"/>
    <col min="14358" max="14358" width="6.28515625" style="859" customWidth="1"/>
    <col min="14359" max="14359" width="11.7109375" style="859" customWidth="1"/>
    <col min="14360" max="14360" width="0" style="859" hidden="1" customWidth="1"/>
    <col min="14361" max="14361" width="14.5703125" style="859" customWidth="1"/>
    <col min="14362" max="14362" width="11.85546875" style="859" customWidth="1"/>
    <col min="14363" max="14597" width="9.140625" style="859"/>
    <col min="14598" max="14598" width="2.85546875" style="859" customWidth="1"/>
    <col min="14599" max="14599" width="50.7109375" style="859" customWidth="1"/>
    <col min="14600" max="14600" width="9.42578125" style="859" customWidth="1"/>
    <col min="14601" max="14601" width="11.85546875" style="859" customWidth="1"/>
    <col min="14602" max="14602" width="8.42578125" style="859" bestFit="1" customWidth="1"/>
    <col min="14603" max="14605" width="0" style="859" hidden="1" customWidth="1"/>
    <col min="14606" max="14606" width="6" style="859" bestFit="1" customWidth="1"/>
    <col min="14607" max="14607" width="9.5703125" style="859" customWidth="1"/>
    <col min="14608" max="14608" width="9.85546875" style="859" customWidth="1"/>
    <col min="14609" max="14609" width="9.7109375" style="859" customWidth="1"/>
    <col min="14610" max="14610" width="9.5703125" style="859" customWidth="1"/>
    <col min="14611" max="14611" width="9.85546875" style="859" customWidth="1"/>
    <col min="14612" max="14612" width="6.5703125" style="859" customWidth="1"/>
    <col min="14613" max="14613" width="6" style="859" bestFit="1" customWidth="1"/>
    <col min="14614" max="14614" width="6.28515625" style="859" customWidth="1"/>
    <col min="14615" max="14615" width="11.7109375" style="859" customWidth="1"/>
    <col min="14616" max="14616" width="0" style="859" hidden="1" customWidth="1"/>
    <col min="14617" max="14617" width="14.5703125" style="859" customWidth="1"/>
    <col min="14618" max="14618" width="11.85546875" style="859" customWidth="1"/>
    <col min="14619" max="14853" width="9.140625" style="859"/>
    <col min="14854" max="14854" width="2.85546875" style="859" customWidth="1"/>
    <col min="14855" max="14855" width="50.7109375" style="859" customWidth="1"/>
    <col min="14856" max="14856" width="9.42578125" style="859" customWidth="1"/>
    <col min="14857" max="14857" width="11.85546875" style="859" customWidth="1"/>
    <col min="14858" max="14858" width="8.42578125" style="859" bestFit="1" customWidth="1"/>
    <col min="14859" max="14861" width="0" style="859" hidden="1" customWidth="1"/>
    <col min="14862" max="14862" width="6" style="859" bestFit="1" customWidth="1"/>
    <col min="14863" max="14863" width="9.5703125" style="859" customWidth="1"/>
    <col min="14864" max="14864" width="9.85546875" style="859" customWidth="1"/>
    <col min="14865" max="14865" width="9.7109375" style="859" customWidth="1"/>
    <col min="14866" max="14866" width="9.5703125" style="859" customWidth="1"/>
    <col min="14867" max="14867" width="9.85546875" style="859" customWidth="1"/>
    <col min="14868" max="14868" width="6.5703125" style="859" customWidth="1"/>
    <col min="14869" max="14869" width="6" style="859" bestFit="1" customWidth="1"/>
    <col min="14870" max="14870" width="6.28515625" style="859" customWidth="1"/>
    <col min="14871" max="14871" width="11.7109375" style="859" customWidth="1"/>
    <col min="14872" max="14872" width="0" style="859" hidden="1" customWidth="1"/>
    <col min="14873" max="14873" width="14.5703125" style="859" customWidth="1"/>
    <col min="14874" max="14874" width="11.85546875" style="859" customWidth="1"/>
    <col min="14875" max="15109" width="9.140625" style="859"/>
    <col min="15110" max="15110" width="2.85546875" style="859" customWidth="1"/>
    <col min="15111" max="15111" width="50.7109375" style="859" customWidth="1"/>
    <col min="15112" max="15112" width="9.42578125" style="859" customWidth="1"/>
    <col min="15113" max="15113" width="11.85546875" style="859" customWidth="1"/>
    <col min="15114" max="15114" width="8.42578125" style="859" bestFit="1" customWidth="1"/>
    <col min="15115" max="15117" width="0" style="859" hidden="1" customWidth="1"/>
    <col min="15118" max="15118" width="6" style="859" bestFit="1" customWidth="1"/>
    <col min="15119" max="15119" width="9.5703125" style="859" customWidth="1"/>
    <col min="15120" max="15120" width="9.85546875" style="859" customWidth="1"/>
    <col min="15121" max="15121" width="9.7109375" style="859" customWidth="1"/>
    <col min="15122" max="15122" width="9.5703125" style="859" customWidth="1"/>
    <col min="15123" max="15123" width="9.85546875" style="859" customWidth="1"/>
    <col min="15124" max="15124" width="6.5703125" style="859" customWidth="1"/>
    <col min="15125" max="15125" width="6" style="859" bestFit="1" customWidth="1"/>
    <col min="15126" max="15126" width="6.28515625" style="859" customWidth="1"/>
    <col min="15127" max="15127" width="11.7109375" style="859" customWidth="1"/>
    <col min="15128" max="15128" width="0" style="859" hidden="1" customWidth="1"/>
    <col min="15129" max="15129" width="14.5703125" style="859" customWidth="1"/>
    <col min="15130" max="15130" width="11.85546875" style="859" customWidth="1"/>
    <col min="15131" max="15365" width="9.140625" style="859"/>
    <col min="15366" max="15366" width="2.85546875" style="859" customWidth="1"/>
    <col min="15367" max="15367" width="50.7109375" style="859" customWidth="1"/>
    <col min="15368" max="15368" width="9.42578125" style="859" customWidth="1"/>
    <col min="15369" max="15369" width="11.85546875" style="859" customWidth="1"/>
    <col min="15370" max="15370" width="8.42578125" style="859" bestFit="1" customWidth="1"/>
    <col min="15371" max="15373" width="0" style="859" hidden="1" customWidth="1"/>
    <col min="15374" max="15374" width="6" style="859" bestFit="1" customWidth="1"/>
    <col min="15375" max="15375" width="9.5703125" style="859" customWidth="1"/>
    <col min="15376" max="15376" width="9.85546875" style="859" customWidth="1"/>
    <col min="15377" max="15377" width="9.7109375" style="859" customWidth="1"/>
    <col min="15378" max="15378" width="9.5703125" style="859" customWidth="1"/>
    <col min="15379" max="15379" width="9.85546875" style="859" customWidth="1"/>
    <col min="15380" max="15380" width="6.5703125" style="859" customWidth="1"/>
    <col min="15381" max="15381" width="6" style="859" bestFit="1" customWidth="1"/>
    <col min="15382" max="15382" width="6.28515625" style="859" customWidth="1"/>
    <col min="15383" max="15383" width="11.7109375" style="859" customWidth="1"/>
    <col min="15384" max="15384" width="0" style="859" hidden="1" customWidth="1"/>
    <col min="15385" max="15385" width="14.5703125" style="859" customWidth="1"/>
    <col min="15386" max="15386" width="11.85546875" style="859" customWidth="1"/>
    <col min="15387" max="15621" width="9.140625" style="859"/>
    <col min="15622" max="15622" width="2.85546875" style="859" customWidth="1"/>
    <col min="15623" max="15623" width="50.7109375" style="859" customWidth="1"/>
    <col min="15624" max="15624" width="9.42578125" style="859" customWidth="1"/>
    <col min="15625" max="15625" width="11.85546875" style="859" customWidth="1"/>
    <col min="15626" max="15626" width="8.42578125" style="859" bestFit="1" customWidth="1"/>
    <col min="15627" max="15629" width="0" style="859" hidden="1" customWidth="1"/>
    <col min="15630" max="15630" width="6" style="859" bestFit="1" customWidth="1"/>
    <col min="15631" max="15631" width="9.5703125" style="859" customWidth="1"/>
    <col min="15632" max="15632" width="9.85546875" style="859" customWidth="1"/>
    <col min="15633" max="15633" width="9.7109375" style="859" customWidth="1"/>
    <col min="15634" max="15634" width="9.5703125" style="859" customWidth="1"/>
    <col min="15635" max="15635" width="9.85546875" style="859" customWidth="1"/>
    <col min="15636" max="15636" width="6.5703125" style="859" customWidth="1"/>
    <col min="15637" max="15637" width="6" style="859" bestFit="1" customWidth="1"/>
    <col min="15638" max="15638" width="6.28515625" style="859" customWidth="1"/>
    <col min="15639" max="15639" width="11.7109375" style="859" customWidth="1"/>
    <col min="15640" max="15640" width="0" style="859" hidden="1" customWidth="1"/>
    <col min="15641" max="15641" width="14.5703125" style="859" customWidth="1"/>
    <col min="15642" max="15642" width="11.85546875" style="859" customWidth="1"/>
    <col min="15643" max="15877" width="9.140625" style="859"/>
    <col min="15878" max="15878" width="2.85546875" style="859" customWidth="1"/>
    <col min="15879" max="15879" width="50.7109375" style="859" customWidth="1"/>
    <col min="15880" max="15880" width="9.42578125" style="859" customWidth="1"/>
    <col min="15881" max="15881" width="11.85546875" style="859" customWidth="1"/>
    <col min="15882" max="15882" width="8.42578125" style="859" bestFit="1" customWidth="1"/>
    <col min="15883" max="15885" width="0" style="859" hidden="1" customWidth="1"/>
    <col min="15886" max="15886" width="6" style="859" bestFit="1" customWidth="1"/>
    <col min="15887" max="15887" width="9.5703125" style="859" customWidth="1"/>
    <col min="15888" max="15888" width="9.85546875" style="859" customWidth="1"/>
    <col min="15889" max="15889" width="9.7109375" style="859" customWidth="1"/>
    <col min="15890" max="15890" width="9.5703125" style="859" customWidth="1"/>
    <col min="15891" max="15891" width="9.85546875" style="859" customWidth="1"/>
    <col min="15892" max="15892" width="6.5703125" style="859" customWidth="1"/>
    <col min="15893" max="15893" width="6" style="859" bestFit="1" customWidth="1"/>
    <col min="15894" max="15894" width="6.28515625" style="859" customWidth="1"/>
    <col min="15895" max="15895" width="11.7109375" style="859" customWidth="1"/>
    <col min="15896" max="15896" width="0" style="859" hidden="1" customWidth="1"/>
    <col min="15897" max="15897" width="14.5703125" style="859" customWidth="1"/>
    <col min="15898" max="15898" width="11.85546875" style="859" customWidth="1"/>
    <col min="15899" max="16133" width="9.140625" style="859"/>
    <col min="16134" max="16134" width="2.85546875" style="859" customWidth="1"/>
    <col min="16135" max="16135" width="50.7109375" style="859" customWidth="1"/>
    <col min="16136" max="16136" width="9.42578125" style="859" customWidth="1"/>
    <col min="16137" max="16137" width="11.85546875" style="859" customWidth="1"/>
    <col min="16138" max="16138" width="8.42578125" style="859" bestFit="1" customWidth="1"/>
    <col min="16139" max="16141" width="0" style="859" hidden="1" customWidth="1"/>
    <col min="16142" max="16142" width="6" style="859" bestFit="1" customWidth="1"/>
    <col min="16143" max="16143" width="9.5703125" style="859" customWidth="1"/>
    <col min="16144" max="16144" width="9.85546875" style="859" customWidth="1"/>
    <col min="16145" max="16145" width="9.7109375" style="859" customWidth="1"/>
    <col min="16146" max="16146" width="9.5703125" style="859" customWidth="1"/>
    <col min="16147" max="16147" width="9.85546875" style="859" customWidth="1"/>
    <col min="16148" max="16148" width="6.5703125" style="859" customWidth="1"/>
    <col min="16149" max="16149" width="6" style="859" bestFit="1" customWidth="1"/>
    <col min="16150" max="16150" width="6.28515625" style="859" customWidth="1"/>
    <col min="16151" max="16151" width="11.7109375" style="859" customWidth="1"/>
    <col min="16152" max="16152" width="0" style="859" hidden="1" customWidth="1"/>
    <col min="16153" max="16153" width="14.5703125" style="859" customWidth="1"/>
    <col min="16154" max="16154" width="11.85546875" style="859" customWidth="1"/>
    <col min="16155" max="16384" width="9.140625" style="859"/>
  </cols>
  <sheetData>
    <row r="1" spans="1:26" ht="15" customHeight="1">
      <c r="O1" s="860"/>
      <c r="P1" s="903"/>
      <c r="R1" s="859"/>
      <c r="S1" s="861" t="s">
        <v>287</v>
      </c>
      <c r="T1" s="859"/>
      <c r="U1" s="859"/>
      <c r="V1" s="859"/>
      <c r="W1" s="859"/>
      <c r="X1" s="862"/>
      <c r="Y1" s="863"/>
    </row>
    <row r="2" spans="1:26" ht="2.25" customHeight="1">
      <c r="N2" s="1229"/>
      <c r="O2" s="864"/>
      <c r="P2" s="865"/>
      <c r="Q2" s="859"/>
      <c r="R2" s="859"/>
      <c r="S2" s="859"/>
      <c r="T2" s="859"/>
      <c r="U2" s="859"/>
      <c r="V2" s="859"/>
      <c r="W2" s="859"/>
      <c r="X2" s="862"/>
      <c r="Y2" s="863"/>
    </row>
    <row r="3" spans="1:26" ht="9" customHeight="1">
      <c r="N3" s="1229"/>
      <c r="O3" s="864"/>
      <c r="P3" s="865"/>
      <c r="Q3" s="859"/>
      <c r="R3" s="859"/>
      <c r="S3" s="859"/>
      <c r="T3" s="859"/>
      <c r="U3" s="859"/>
      <c r="V3" s="859"/>
      <c r="W3" s="859"/>
      <c r="X3" s="862"/>
      <c r="Y3" s="863"/>
    </row>
    <row r="4" spans="1:26" ht="36" customHeight="1" thickBot="1">
      <c r="A4" s="3450" t="s">
        <v>279</v>
      </c>
      <c r="B4" s="3450"/>
      <c r="C4" s="3450"/>
      <c r="D4" s="3450"/>
      <c r="E4" s="3450"/>
      <c r="F4" s="3450"/>
      <c r="G4" s="3450"/>
      <c r="H4" s="3450"/>
      <c r="I4" s="3450"/>
      <c r="J4" s="3450"/>
      <c r="K4" s="3450"/>
      <c r="L4" s="3450"/>
      <c r="M4" s="3450"/>
      <c r="N4" s="3450"/>
      <c r="O4" s="3450"/>
      <c r="P4" s="3450"/>
      <c r="Q4" s="3450"/>
      <c r="R4" s="3450"/>
      <c r="S4" s="3450"/>
      <c r="T4" s="3450"/>
      <c r="U4" s="3450"/>
      <c r="V4" s="3450"/>
      <c r="W4" s="3450"/>
      <c r="X4" s="3450"/>
      <c r="Y4" s="3450"/>
    </row>
    <row r="5" spans="1:26" ht="29.25" customHeight="1">
      <c r="A5" s="866"/>
      <c r="B5" s="3451" t="s">
        <v>91</v>
      </c>
      <c r="C5" s="3054" t="s">
        <v>87</v>
      </c>
      <c r="D5" s="3057" t="s">
        <v>141</v>
      </c>
      <c r="E5" s="3454" t="s">
        <v>3</v>
      </c>
      <c r="F5" s="3455"/>
      <c r="G5" s="3455"/>
      <c r="H5" s="3455"/>
      <c r="I5" s="3455"/>
      <c r="J5" s="3455"/>
      <c r="K5" s="3455"/>
      <c r="L5" s="3456"/>
      <c r="M5" s="3462" t="s">
        <v>293</v>
      </c>
      <c r="N5" s="1251"/>
      <c r="O5" s="3074" t="s">
        <v>415</v>
      </c>
      <c r="P5" s="3076" t="s">
        <v>410</v>
      </c>
      <c r="Q5" s="3077"/>
      <c r="R5" s="3077"/>
      <c r="S5" s="3077"/>
      <c r="T5" s="3077"/>
      <c r="U5" s="3077"/>
      <c r="V5" s="3077"/>
      <c r="W5" s="3078"/>
      <c r="X5" s="3333" t="s">
        <v>381</v>
      </c>
      <c r="Y5" s="3195" t="s">
        <v>89</v>
      </c>
    </row>
    <row r="6" spans="1:26" ht="29.25" customHeight="1">
      <c r="A6" s="867" t="s">
        <v>90</v>
      </c>
      <c r="B6" s="3452"/>
      <c r="C6" s="3218"/>
      <c r="D6" s="3220"/>
      <c r="E6" s="3457"/>
      <c r="F6" s="3458"/>
      <c r="G6" s="3458"/>
      <c r="H6" s="3458"/>
      <c r="I6" s="3458"/>
      <c r="J6" s="3458"/>
      <c r="K6" s="3458"/>
      <c r="L6" s="3459"/>
      <c r="M6" s="3463"/>
      <c r="N6" s="1252"/>
      <c r="O6" s="3075"/>
      <c r="P6" s="3079"/>
      <c r="Q6" s="3080"/>
      <c r="R6" s="3080"/>
      <c r="S6" s="3080"/>
      <c r="T6" s="3080"/>
      <c r="U6" s="3080"/>
      <c r="V6" s="3080"/>
      <c r="W6" s="3081"/>
      <c r="X6" s="3460"/>
      <c r="Y6" s="3196"/>
    </row>
    <row r="7" spans="1:26" ht="24" customHeight="1" thickBot="1">
      <c r="A7" s="867"/>
      <c r="B7" s="3453"/>
      <c r="C7" s="3219"/>
      <c r="D7" s="3221"/>
      <c r="E7" s="868" t="s">
        <v>6</v>
      </c>
      <c r="F7" s="869" t="s">
        <v>7</v>
      </c>
      <c r="G7" s="869" t="s">
        <v>8</v>
      </c>
      <c r="H7" s="869" t="s">
        <v>9</v>
      </c>
      <c r="I7" s="2472" t="s">
        <v>10</v>
      </c>
      <c r="J7" s="2472" t="s">
        <v>11</v>
      </c>
      <c r="K7" s="2472" t="s">
        <v>12</v>
      </c>
      <c r="L7" s="2472" t="s">
        <v>13</v>
      </c>
      <c r="M7" s="1210" t="s">
        <v>382</v>
      </c>
      <c r="N7" s="1230" t="s">
        <v>14</v>
      </c>
      <c r="O7" s="870" t="s">
        <v>15</v>
      </c>
      <c r="P7" s="870" t="s">
        <v>16</v>
      </c>
      <c r="Q7" s="870" t="s">
        <v>17</v>
      </c>
      <c r="R7" s="870" t="s">
        <v>18</v>
      </c>
      <c r="S7" s="870" t="s">
        <v>290</v>
      </c>
      <c r="T7" s="870" t="s">
        <v>291</v>
      </c>
      <c r="U7" s="870" t="s">
        <v>378</v>
      </c>
      <c r="V7" s="870" t="s">
        <v>379</v>
      </c>
      <c r="W7" s="870" t="s">
        <v>380</v>
      </c>
      <c r="X7" s="3461"/>
      <c r="Y7" s="3197"/>
    </row>
    <row r="8" spans="1:26" ht="15" customHeight="1" thickBot="1">
      <c r="A8" s="871">
        <v>1</v>
      </c>
      <c r="B8" s="872">
        <v>2</v>
      </c>
      <c r="C8" s="873" t="s">
        <v>142</v>
      </c>
      <c r="D8" s="873" t="s">
        <v>143</v>
      </c>
      <c r="E8" s="873" t="s">
        <v>144</v>
      </c>
      <c r="F8" s="874">
        <v>8</v>
      </c>
      <c r="G8" s="874">
        <v>9</v>
      </c>
      <c r="H8" s="874">
        <v>10</v>
      </c>
      <c r="I8" s="875" t="s">
        <v>145</v>
      </c>
      <c r="J8" s="875" t="s">
        <v>146</v>
      </c>
      <c r="K8" s="875" t="s">
        <v>147</v>
      </c>
      <c r="L8" s="875" t="s">
        <v>148</v>
      </c>
      <c r="M8" s="875">
        <v>5</v>
      </c>
      <c r="N8" s="875" t="s">
        <v>375</v>
      </c>
      <c r="O8" s="875">
        <v>6</v>
      </c>
      <c r="P8" s="875">
        <v>7</v>
      </c>
      <c r="Q8" s="875">
        <v>8</v>
      </c>
      <c r="R8" s="875">
        <v>9</v>
      </c>
      <c r="S8" s="942">
        <v>10</v>
      </c>
      <c r="T8" s="942">
        <v>11</v>
      </c>
      <c r="U8" s="942">
        <v>12</v>
      </c>
      <c r="V8" s="942">
        <v>13</v>
      </c>
      <c r="W8" s="942">
        <v>14</v>
      </c>
      <c r="X8" s="876">
        <v>15</v>
      </c>
      <c r="Y8" s="877">
        <v>16</v>
      </c>
    </row>
    <row r="9" spans="1:26" s="1006" customFormat="1" ht="15.75" customHeight="1">
      <c r="A9" s="668"/>
      <c r="B9" s="878" t="s">
        <v>92</v>
      </c>
      <c r="C9" s="790"/>
      <c r="D9" s="791">
        <f>+D10+D11</f>
        <v>2259649</v>
      </c>
      <c r="E9" s="791">
        <f t="shared" ref="E9:Q9" si="0">+E10+E11</f>
        <v>0</v>
      </c>
      <c r="F9" s="791">
        <f t="shared" si="0"/>
        <v>0</v>
      </c>
      <c r="G9" s="791">
        <f t="shared" si="0"/>
        <v>0</v>
      </c>
      <c r="H9" s="791">
        <f t="shared" si="0"/>
        <v>0</v>
      </c>
      <c r="I9" s="791">
        <f t="shared" si="0"/>
        <v>0</v>
      </c>
      <c r="J9" s="791">
        <f t="shared" si="0"/>
        <v>0</v>
      </c>
      <c r="K9" s="791">
        <f t="shared" si="0"/>
        <v>0</v>
      </c>
      <c r="L9" s="791">
        <f t="shared" si="0"/>
        <v>0</v>
      </c>
      <c r="M9" s="791">
        <f t="shared" ref="M9" si="1">+M10+M11</f>
        <v>0</v>
      </c>
      <c r="N9" s="791">
        <f t="shared" si="0"/>
        <v>0</v>
      </c>
      <c r="O9" s="791">
        <f t="shared" si="0"/>
        <v>49386</v>
      </c>
      <c r="P9" s="791">
        <f t="shared" si="0"/>
        <v>416027</v>
      </c>
      <c r="Q9" s="791">
        <f t="shared" si="0"/>
        <v>805746</v>
      </c>
      <c r="R9" s="791">
        <f t="shared" ref="R9:T9" si="2">+R10+R11</f>
        <v>716400</v>
      </c>
      <c r="S9" s="791">
        <f t="shared" si="2"/>
        <v>145187</v>
      </c>
      <c r="T9" s="791">
        <f t="shared" si="2"/>
        <v>126903</v>
      </c>
      <c r="U9" s="791">
        <f t="shared" ref="U9:W9" si="3">+U10+U11</f>
        <v>0</v>
      </c>
      <c r="V9" s="791">
        <f t="shared" si="3"/>
        <v>0</v>
      </c>
      <c r="W9" s="791">
        <f t="shared" si="3"/>
        <v>0</v>
      </c>
      <c r="X9" s="676">
        <f>+X10+X11</f>
        <v>2210263</v>
      </c>
      <c r="Y9" s="346"/>
      <c r="Z9" s="1005"/>
    </row>
    <row r="10" spans="1:26" s="1006" customFormat="1" ht="13.5" customHeight="1">
      <c r="A10" s="668"/>
      <c r="B10" s="813" t="s">
        <v>93</v>
      </c>
      <c r="C10" s="793"/>
      <c r="D10" s="794">
        <f>+D26+D35+D55</f>
        <v>2259649</v>
      </c>
      <c r="E10" s="794">
        <f t="shared" ref="E10:L10" si="4">+E26+E35+E56</f>
        <v>0</v>
      </c>
      <c r="F10" s="794">
        <f t="shared" si="4"/>
        <v>0</v>
      </c>
      <c r="G10" s="794">
        <f t="shared" si="4"/>
        <v>0</v>
      </c>
      <c r="H10" s="794">
        <f t="shared" si="4"/>
        <v>0</v>
      </c>
      <c r="I10" s="794">
        <f t="shared" si="4"/>
        <v>0</v>
      </c>
      <c r="J10" s="794">
        <f t="shared" si="4"/>
        <v>0</v>
      </c>
      <c r="K10" s="794">
        <f t="shared" si="4"/>
        <v>0</v>
      </c>
      <c r="L10" s="794">
        <f t="shared" si="4"/>
        <v>0</v>
      </c>
      <c r="M10" s="794">
        <f>+M26+M35+M55</f>
        <v>0</v>
      </c>
      <c r="N10" s="794">
        <f>+N26+N35</f>
        <v>0</v>
      </c>
      <c r="O10" s="794">
        <f t="shared" ref="O10:T10" si="5">+O26+O35+O55</f>
        <v>49386</v>
      </c>
      <c r="P10" s="794">
        <f t="shared" si="5"/>
        <v>416027</v>
      </c>
      <c r="Q10" s="794">
        <f t="shared" si="5"/>
        <v>805746</v>
      </c>
      <c r="R10" s="794">
        <f t="shared" si="5"/>
        <v>716400</v>
      </c>
      <c r="S10" s="794">
        <f t="shared" si="5"/>
        <v>145187</v>
      </c>
      <c r="T10" s="794">
        <f t="shared" si="5"/>
        <v>126903</v>
      </c>
      <c r="U10" s="794">
        <f t="shared" ref="U10:W10" si="6">+U26+U35+U56</f>
        <v>0</v>
      </c>
      <c r="V10" s="794">
        <f t="shared" si="6"/>
        <v>0</v>
      </c>
      <c r="W10" s="794">
        <f t="shared" si="6"/>
        <v>0</v>
      </c>
      <c r="X10" s="2568">
        <f>SUM(P10:T10)</f>
        <v>2210263</v>
      </c>
      <c r="Y10" s="346"/>
    </row>
    <row r="11" spans="1:26" s="1006" customFormat="1" ht="13.5" customHeight="1" thickBot="1">
      <c r="A11" s="668"/>
      <c r="B11" s="879" t="s">
        <v>21</v>
      </c>
      <c r="C11" s="880"/>
      <c r="D11" s="881">
        <f>D44</f>
        <v>0</v>
      </c>
      <c r="E11" s="881">
        <f t="shared" ref="E11:Q11" si="7">E44</f>
        <v>0</v>
      </c>
      <c r="F11" s="881">
        <f t="shared" si="7"/>
        <v>0</v>
      </c>
      <c r="G11" s="881">
        <f t="shared" si="7"/>
        <v>0</v>
      </c>
      <c r="H11" s="881">
        <f t="shared" si="7"/>
        <v>0</v>
      </c>
      <c r="I11" s="881">
        <f t="shared" si="7"/>
        <v>0</v>
      </c>
      <c r="J11" s="881">
        <f t="shared" si="7"/>
        <v>0</v>
      </c>
      <c r="K11" s="881">
        <f t="shared" si="7"/>
        <v>0</v>
      </c>
      <c r="L11" s="881">
        <f t="shared" si="7"/>
        <v>0</v>
      </c>
      <c r="M11" s="881">
        <f t="shared" ref="M11" si="8">M44</f>
        <v>0</v>
      </c>
      <c r="N11" s="881">
        <f t="shared" si="7"/>
        <v>0</v>
      </c>
      <c r="O11" s="881">
        <f t="shared" si="7"/>
        <v>0</v>
      </c>
      <c r="P11" s="881">
        <f t="shared" si="7"/>
        <v>0</v>
      </c>
      <c r="Q11" s="881">
        <f t="shared" si="7"/>
        <v>0</v>
      </c>
      <c r="R11" s="881">
        <f t="shared" ref="R11:T11" si="9">R44</f>
        <v>0</v>
      </c>
      <c r="S11" s="881">
        <f t="shared" si="9"/>
        <v>0</v>
      </c>
      <c r="T11" s="881">
        <f t="shared" si="9"/>
        <v>0</v>
      </c>
      <c r="U11" s="881">
        <f t="shared" ref="U11:W11" si="10">U44</f>
        <v>0</v>
      </c>
      <c r="V11" s="881">
        <f t="shared" si="10"/>
        <v>0</v>
      </c>
      <c r="W11" s="881">
        <f t="shared" si="10"/>
        <v>0</v>
      </c>
      <c r="X11" s="678">
        <f>SUM(P11:T11)</f>
        <v>0</v>
      </c>
      <c r="Y11" s="346"/>
    </row>
    <row r="12" spans="1:26" ht="12">
      <c r="A12" s="668"/>
      <c r="B12" s="543" t="s">
        <v>22</v>
      </c>
      <c r="C12" s="538"/>
      <c r="D12" s="600">
        <f>D13+D16</f>
        <v>2259649</v>
      </c>
      <c r="E12" s="600">
        <f t="shared" ref="E12:O12" si="11">E13+E16</f>
        <v>0</v>
      </c>
      <c r="F12" s="600">
        <f t="shared" si="11"/>
        <v>0</v>
      </c>
      <c r="G12" s="600">
        <f t="shared" si="11"/>
        <v>0</v>
      </c>
      <c r="H12" s="600">
        <f t="shared" si="11"/>
        <v>0</v>
      </c>
      <c r="I12" s="600">
        <f t="shared" si="11"/>
        <v>0</v>
      </c>
      <c r="J12" s="600">
        <f t="shared" si="11"/>
        <v>0</v>
      </c>
      <c r="K12" s="600">
        <f t="shared" si="11"/>
        <v>0</v>
      </c>
      <c r="L12" s="600">
        <f t="shared" si="11"/>
        <v>0</v>
      </c>
      <c r="M12" s="600">
        <f t="shared" ref="M12" si="12">M13+M16</f>
        <v>0</v>
      </c>
      <c r="N12" s="600">
        <f t="shared" si="11"/>
        <v>0</v>
      </c>
      <c r="O12" s="600">
        <f t="shared" si="11"/>
        <v>49386</v>
      </c>
      <c r="P12" s="600">
        <f t="shared" ref="P12:T12" si="13">P13+P16</f>
        <v>416027</v>
      </c>
      <c r="Q12" s="600">
        <f t="shared" si="13"/>
        <v>805746</v>
      </c>
      <c r="R12" s="600">
        <f t="shared" si="13"/>
        <v>716400</v>
      </c>
      <c r="S12" s="600">
        <f t="shared" si="13"/>
        <v>145187</v>
      </c>
      <c r="T12" s="600">
        <f t="shared" si="13"/>
        <v>126903</v>
      </c>
      <c r="U12" s="600">
        <f t="shared" ref="U12:W12" si="14">U13+U16</f>
        <v>0</v>
      </c>
      <c r="V12" s="600">
        <f t="shared" si="14"/>
        <v>0</v>
      </c>
      <c r="W12" s="600">
        <f t="shared" si="14"/>
        <v>0</v>
      </c>
      <c r="X12" s="480">
        <f>+X13+X16</f>
        <v>2210263</v>
      </c>
      <c r="Y12" s="658"/>
    </row>
    <row r="13" spans="1:26" ht="13.5" customHeight="1">
      <c r="A13" s="668"/>
      <c r="B13" s="844" t="s">
        <v>36</v>
      </c>
      <c r="C13" s="845"/>
      <c r="D13" s="882">
        <f>+D14+D15</f>
        <v>379642</v>
      </c>
      <c r="E13" s="882">
        <f t="shared" ref="E13:W13" si="15">+E14+E15</f>
        <v>0</v>
      </c>
      <c r="F13" s="882">
        <f t="shared" si="15"/>
        <v>0</v>
      </c>
      <c r="G13" s="882">
        <f t="shared" si="15"/>
        <v>0</v>
      </c>
      <c r="H13" s="882">
        <f t="shared" si="15"/>
        <v>0</v>
      </c>
      <c r="I13" s="882">
        <f t="shared" si="15"/>
        <v>0</v>
      </c>
      <c r="J13" s="882">
        <f t="shared" si="15"/>
        <v>0</v>
      </c>
      <c r="K13" s="882">
        <f t="shared" si="15"/>
        <v>0</v>
      </c>
      <c r="L13" s="882">
        <f t="shared" si="15"/>
        <v>0</v>
      </c>
      <c r="M13" s="882">
        <f t="shared" si="15"/>
        <v>0</v>
      </c>
      <c r="N13" s="882">
        <f t="shared" si="15"/>
        <v>0</v>
      </c>
      <c r="O13" s="882">
        <f t="shared" si="15"/>
        <v>12423</v>
      </c>
      <c r="P13" s="882">
        <f t="shared" si="15"/>
        <v>69692</v>
      </c>
      <c r="Q13" s="882">
        <f t="shared" si="15"/>
        <v>127959</v>
      </c>
      <c r="R13" s="882">
        <f t="shared" si="15"/>
        <v>114557</v>
      </c>
      <c r="S13" s="882">
        <f t="shared" si="15"/>
        <v>28877</v>
      </c>
      <c r="T13" s="882">
        <f t="shared" si="15"/>
        <v>26134</v>
      </c>
      <c r="U13" s="882">
        <f t="shared" si="15"/>
        <v>0</v>
      </c>
      <c r="V13" s="882">
        <f t="shared" si="15"/>
        <v>0</v>
      </c>
      <c r="W13" s="882">
        <f t="shared" si="15"/>
        <v>0</v>
      </c>
      <c r="X13" s="883">
        <f>+X14+X15</f>
        <v>367219</v>
      </c>
      <c r="Y13" s="2247"/>
    </row>
    <row r="14" spans="1:26" ht="14.25" customHeight="1">
      <c r="A14" s="668"/>
      <c r="B14" s="361" t="s">
        <v>24</v>
      </c>
      <c r="C14" s="362"/>
      <c r="D14" s="884">
        <f>D28+D37+D58</f>
        <v>280245</v>
      </c>
      <c r="E14" s="884">
        <f t="shared" ref="E14:N14" si="16">E28+E37</f>
        <v>0</v>
      </c>
      <c r="F14" s="884">
        <f t="shared" si="16"/>
        <v>0</v>
      </c>
      <c r="G14" s="884">
        <f t="shared" si="16"/>
        <v>0</v>
      </c>
      <c r="H14" s="884">
        <f t="shared" si="16"/>
        <v>0</v>
      </c>
      <c r="I14" s="884">
        <f t="shared" si="16"/>
        <v>0</v>
      </c>
      <c r="J14" s="884">
        <f t="shared" si="16"/>
        <v>0</v>
      </c>
      <c r="K14" s="884">
        <f t="shared" si="16"/>
        <v>0</v>
      </c>
      <c r="L14" s="884">
        <f t="shared" si="16"/>
        <v>0</v>
      </c>
      <c r="M14" s="884">
        <f>M28+M37+M58</f>
        <v>0</v>
      </c>
      <c r="N14" s="884">
        <f t="shared" si="16"/>
        <v>0</v>
      </c>
      <c r="O14" s="884">
        <f>O28+O37+O58</f>
        <v>102</v>
      </c>
      <c r="P14" s="884">
        <f t="shared" ref="P14:W14" si="17">P28+P37+P58</f>
        <v>51894</v>
      </c>
      <c r="Q14" s="884">
        <f t="shared" si="17"/>
        <v>110640</v>
      </c>
      <c r="R14" s="884">
        <f t="shared" si="17"/>
        <v>97238</v>
      </c>
      <c r="S14" s="884">
        <f t="shared" si="17"/>
        <v>11557</v>
      </c>
      <c r="T14" s="884">
        <f t="shared" si="17"/>
        <v>8814</v>
      </c>
      <c r="U14" s="884">
        <f t="shared" si="17"/>
        <v>0</v>
      </c>
      <c r="V14" s="884">
        <f t="shared" si="17"/>
        <v>0</v>
      </c>
      <c r="W14" s="884">
        <f t="shared" si="17"/>
        <v>0</v>
      </c>
      <c r="X14" s="409">
        <f>+P14+Q14+R14+S14+T14</f>
        <v>280143</v>
      </c>
      <c r="Y14" s="2247"/>
    </row>
    <row r="15" spans="1:26" ht="13.5" customHeight="1">
      <c r="A15" s="668"/>
      <c r="B15" s="361" t="s">
        <v>25</v>
      </c>
      <c r="C15" s="2251"/>
      <c r="D15" s="2268">
        <f>+D57</f>
        <v>99397</v>
      </c>
      <c r="E15" s="2268"/>
      <c r="F15" s="2268"/>
      <c r="G15" s="2268"/>
      <c r="H15" s="2268"/>
      <c r="I15" s="2268"/>
      <c r="J15" s="2268"/>
      <c r="K15" s="2268"/>
      <c r="L15" s="2268"/>
      <c r="M15" s="2268">
        <f>+M57</f>
        <v>0</v>
      </c>
      <c r="N15" s="2268"/>
      <c r="O15" s="2268">
        <f>+O57</f>
        <v>12321</v>
      </c>
      <c r="P15" s="2268">
        <f t="shared" ref="P15:W15" si="18">+P57</f>
        <v>17798</v>
      </c>
      <c r="Q15" s="2268">
        <f t="shared" si="18"/>
        <v>17319</v>
      </c>
      <c r="R15" s="2268">
        <f t="shared" si="18"/>
        <v>17319</v>
      </c>
      <c r="S15" s="2268">
        <f t="shared" si="18"/>
        <v>17320</v>
      </c>
      <c r="T15" s="2268">
        <f>+T57</f>
        <v>17320</v>
      </c>
      <c r="U15" s="2268">
        <f t="shared" si="18"/>
        <v>0</v>
      </c>
      <c r="V15" s="2268">
        <f t="shared" si="18"/>
        <v>0</v>
      </c>
      <c r="W15" s="2268">
        <f t="shared" si="18"/>
        <v>0</v>
      </c>
      <c r="X15" s="2269">
        <f>+W15+V15+U15+T15+S15+R15+Q15+P15</f>
        <v>87076</v>
      </c>
      <c r="Y15" s="2247"/>
    </row>
    <row r="16" spans="1:26" ht="13.5" customHeight="1">
      <c r="A16" s="668"/>
      <c r="B16" s="846" t="s">
        <v>30</v>
      </c>
      <c r="C16" s="353"/>
      <c r="D16" s="882">
        <f>+D17+D18</f>
        <v>1880007</v>
      </c>
      <c r="E16" s="882">
        <f t="shared" ref="E16:N16" si="19">E17</f>
        <v>0</v>
      </c>
      <c r="F16" s="882">
        <f t="shared" si="19"/>
        <v>0</v>
      </c>
      <c r="G16" s="882">
        <f t="shared" si="19"/>
        <v>0</v>
      </c>
      <c r="H16" s="882">
        <f t="shared" si="19"/>
        <v>0</v>
      </c>
      <c r="I16" s="882">
        <f t="shared" si="19"/>
        <v>0</v>
      </c>
      <c r="J16" s="882">
        <f t="shared" si="19"/>
        <v>0</v>
      </c>
      <c r="K16" s="882">
        <f t="shared" si="19"/>
        <v>0</v>
      </c>
      <c r="L16" s="882">
        <f t="shared" si="19"/>
        <v>0</v>
      </c>
      <c r="M16" s="882">
        <f>+M17+M18</f>
        <v>0</v>
      </c>
      <c r="N16" s="882">
        <f t="shared" si="19"/>
        <v>0</v>
      </c>
      <c r="O16" s="882">
        <f>+O17+O18</f>
        <v>36963</v>
      </c>
      <c r="P16" s="882">
        <f>+P17+P18</f>
        <v>346335</v>
      </c>
      <c r="Q16" s="882">
        <f t="shared" ref="Q16:W16" si="20">+Q17+Q18</f>
        <v>677787</v>
      </c>
      <c r="R16" s="882">
        <f t="shared" si="20"/>
        <v>601843</v>
      </c>
      <c r="S16" s="882">
        <f t="shared" si="20"/>
        <v>116310</v>
      </c>
      <c r="T16" s="882">
        <f t="shared" si="20"/>
        <v>100769</v>
      </c>
      <c r="U16" s="882">
        <f t="shared" si="20"/>
        <v>0</v>
      </c>
      <c r="V16" s="882">
        <f t="shared" si="20"/>
        <v>0</v>
      </c>
      <c r="W16" s="882">
        <f t="shared" si="20"/>
        <v>0</v>
      </c>
      <c r="X16" s="502">
        <f>+X17+X18</f>
        <v>1843044</v>
      </c>
      <c r="Y16" s="2247"/>
    </row>
    <row r="17" spans="1:27" ht="13.5" hidden="1" customHeight="1">
      <c r="A17" s="668"/>
      <c r="B17" s="361" t="s">
        <v>33</v>
      </c>
      <c r="C17" s="372"/>
      <c r="D17" s="885"/>
      <c r="E17" s="885"/>
      <c r="F17" s="885"/>
      <c r="G17" s="885"/>
      <c r="H17" s="885"/>
      <c r="I17" s="885"/>
      <c r="J17" s="885"/>
      <c r="K17" s="885"/>
      <c r="L17" s="885"/>
      <c r="M17" s="885"/>
      <c r="N17" s="885"/>
      <c r="O17" s="885"/>
      <c r="P17" s="885"/>
      <c r="Q17" s="885"/>
      <c r="R17" s="885"/>
      <c r="S17" s="885"/>
      <c r="T17" s="885"/>
      <c r="U17" s="885"/>
      <c r="V17" s="885"/>
      <c r="W17" s="885"/>
      <c r="X17" s="409">
        <f>+W17+V17+U17+T17+S17+R17+Q17+P17+O17+M17</f>
        <v>0</v>
      </c>
      <c r="Y17" s="2247"/>
    </row>
    <row r="18" spans="1:27" ht="12.75" customHeight="1">
      <c r="A18" s="668"/>
      <c r="B18" s="2267" t="s">
        <v>32</v>
      </c>
      <c r="C18" s="2263"/>
      <c r="D18" s="2264">
        <f>+D30+D39+D60</f>
        <v>1880007</v>
      </c>
      <c r="E18" s="2264">
        <f t="shared" ref="E18:W18" si="21">+E30+E39+E60</f>
        <v>0</v>
      </c>
      <c r="F18" s="2264">
        <f t="shared" si="21"/>
        <v>0</v>
      </c>
      <c r="G18" s="2264">
        <f t="shared" si="21"/>
        <v>0</v>
      </c>
      <c r="H18" s="2264">
        <f t="shared" si="21"/>
        <v>0</v>
      </c>
      <c r="I18" s="2264">
        <f t="shared" si="21"/>
        <v>0</v>
      </c>
      <c r="J18" s="2264">
        <f t="shared" si="21"/>
        <v>0</v>
      </c>
      <c r="K18" s="2264">
        <f t="shared" si="21"/>
        <v>0</v>
      </c>
      <c r="L18" s="2264">
        <f t="shared" si="21"/>
        <v>0</v>
      </c>
      <c r="M18" s="2264">
        <f t="shared" si="21"/>
        <v>0</v>
      </c>
      <c r="N18" s="2264">
        <f t="shared" si="21"/>
        <v>0</v>
      </c>
      <c r="O18" s="2264">
        <f t="shared" si="21"/>
        <v>36963</v>
      </c>
      <c r="P18" s="2264">
        <f t="shared" si="21"/>
        <v>346335</v>
      </c>
      <c r="Q18" s="2264">
        <f t="shared" si="21"/>
        <v>677787</v>
      </c>
      <c r="R18" s="2264">
        <f t="shared" si="21"/>
        <v>601843</v>
      </c>
      <c r="S18" s="2264">
        <f t="shared" si="21"/>
        <v>116310</v>
      </c>
      <c r="T18" s="2264">
        <f t="shared" si="21"/>
        <v>100769</v>
      </c>
      <c r="U18" s="2264">
        <f t="shared" si="21"/>
        <v>0</v>
      </c>
      <c r="V18" s="2264">
        <f t="shared" si="21"/>
        <v>0</v>
      </c>
      <c r="W18" s="2264">
        <f t="shared" si="21"/>
        <v>0</v>
      </c>
      <c r="X18" s="2092">
        <f>+W18+V18+U18+T18+S18+R18+Q18+P18</f>
        <v>1843044</v>
      </c>
      <c r="Y18" s="2247"/>
    </row>
    <row r="19" spans="1:27" ht="12">
      <c r="A19" s="668"/>
      <c r="B19" s="517" t="s">
        <v>34</v>
      </c>
      <c r="C19" s="375"/>
      <c r="D19" s="400">
        <f>D22+D20</f>
        <v>1979404</v>
      </c>
      <c r="E19" s="400">
        <f t="shared" ref="E19:P19" si="22">E22+E20</f>
        <v>0</v>
      </c>
      <c r="F19" s="400">
        <f t="shared" si="22"/>
        <v>0</v>
      </c>
      <c r="G19" s="400">
        <f t="shared" si="22"/>
        <v>0</v>
      </c>
      <c r="H19" s="400">
        <f t="shared" si="22"/>
        <v>0</v>
      </c>
      <c r="I19" s="400">
        <f t="shared" si="22"/>
        <v>0</v>
      </c>
      <c r="J19" s="400">
        <f t="shared" si="22"/>
        <v>0</v>
      </c>
      <c r="K19" s="400">
        <f t="shared" si="22"/>
        <v>0</v>
      </c>
      <c r="L19" s="400">
        <f t="shared" si="22"/>
        <v>0</v>
      </c>
      <c r="M19" s="400">
        <f t="shared" si="22"/>
        <v>0</v>
      </c>
      <c r="N19" s="400">
        <f t="shared" si="22"/>
        <v>0</v>
      </c>
      <c r="O19" s="400">
        <f t="shared" si="22"/>
        <v>0</v>
      </c>
      <c r="P19" s="400">
        <f t="shared" si="22"/>
        <v>0</v>
      </c>
      <c r="Q19" s="400">
        <f>Q22+Q21</f>
        <v>413417</v>
      </c>
      <c r="R19" s="400">
        <f t="shared" ref="R19:W19" si="23">R22+R21</f>
        <v>695106</v>
      </c>
      <c r="S19" s="400">
        <f t="shared" si="23"/>
        <v>619162</v>
      </c>
      <c r="T19" s="400">
        <f t="shared" si="23"/>
        <v>133630</v>
      </c>
      <c r="U19" s="400">
        <f t="shared" si="23"/>
        <v>118089</v>
      </c>
      <c r="V19" s="400">
        <f t="shared" si="23"/>
        <v>0</v>
      </c>
      <c r="W19" s="400">
        <f t="shared" si="23"/>
        <v>0</v>
      </c>
      <c r="X19" s="2964" t="s">
        <v>77</v>
      </c>
      <c r="Y19" s="2261"/>
      <c r="Z19" s="1008"/>
    </row>
    <row r="20" spans="1:27" ht="14.25" customHeight="1">
      <c r="A20" s="668"/>
      <c r="B20" s="886" t="s">
        <v>24</v>
      </c>
      <c r="C20" s="887"/>
      <c r="D20" s="888">
        <f>+D21</f>
        <v>99397</v>
      </c>
      <c r="E20" s="888"/>
      <c r="F20" s="888"/>
      <c r="G20" s="888"/>
      <c r="H20" s="888"/>
      <c r="I20" s="888"/>
      <c r="J20" s="888"/>
      <c r="K20" s="888"/>
      <c r="L20" s="888"/>
      <c r="M20" s="888">
        <f>+M21</f>
        <v>0</v>
      </c>
      <c r="N20" s="888">
        <f t="shared" ref="N20:W20" si="24">+N21</f>
        <v>0</v>
      </c>
      <c r="O20" s="888">
        <f t="shared" si="24"/>
        <v>0</v>
      </c>
      <c r="P20" s="888">
        <f t="shared" si="24"/>
        <v>0</v>
      </c>
      <c r="Q20" s="888">
        <f t="shared" si="24"/>
        <v>30119</v>
      </c>
      <c r="R20" s="888">
        <f t="shared" si="24"/>
        <v>17319</v>
      </c>
      <c r="S20" s="888">
        <f t="shared" si="24"/>
        <v>17319</v>
      </c>
      <c r="T20" s="888">
        <f t="shared" si="24"/>
        <v>17320</v>
      </c>
      <c r="U20" s="888">
        <f t="shared" si="24"/>
        <v>17320</v>
      </c>
      <c r="V20" s="888">
        <f t="shared" si="24"/>
        <v>0</v>
      </c>
      <c r="W20" s="888">
        <f t="shared" si="24"/>
        <v>0</v>
      </c>
      <c r="X20" s="2953"/>
      <c r="Y20" s="2261"/>
      <c r="Z20" s="1008"/>
    </row>
    <row r="21" spans="1:27" s="1007" customFormat="1" ht="15" customHeight="1">
      <c r="A21" s="2270"/>
      <c r="B21" s="2258" t="s">
        <v>25</v>
      </c>
      <c r="C21" s="2271"/>
      <c r="D21" s="2272">
        <f>+M21+O21+P21+Q21+R21+S21+T21+U21</f>
        <v>99397</v>
      </c>
      <c r="E21" s="2272"/>
      <c r="F21" s="2272"/>
      <c r="G21" s="2272"/>
      <c r="H21" s="2272"/>
      <c r="I21" s="2272"/>
      <c r="J21" s="2272"/>
      <c r="K21" s="2272"/>
      <c r="L21" s="2272"/>
      <c r="M21" s="2272">
        <f>+M63</f>
        <v>0</v>
      </c>
      <c r="N21" s="2272">
        <f t="shared" ref="N21:W21" si="25">+N63</f>
        <v>0</v>
      </c>
      <c r="O21" s="2272">
        <f>+O63</f>
        <v>0</v>
      </c>
      <c r="P21" s="2272">
        <f t="shared" si="25"/>
        <v>0</v>
      </c>
      <c r="Q21" s="2272">
        <f t="shared" si="25"/>
        <v>30119</v>
      </c>
      <c r="R21" s="2272">
        <f t="shared" si="25"/>
        <v>17319</v>
      </c>
      <c r="S21" s="2272">
        <f t="shared" si="25"/>
        <v>17319</v>
      </c>
      <c r="T21" s="2272">
        <f t="shared" si="25"/>
        <v>17320</v>
      </c>
      <c r="U21" s="2272">
        <f t="shared" si="25"/>
        <v>17320</v>
      </c>
      <c r="V21" s="2272">
        <f t="shared" si="25"/>
        <v>0</v>
      </c>
      <c r="W21" s="2272">
        <f t="shared" si="25"/>
        <v>0</v>
      </c>
      <c r="X21" s="2953"/>
      <c r="Y21" s="2273"/>
      <c r="Z21" s="2275"/>
    </row>
    <row r="22" spans="1:27" s="1007" customFormat="1" ht="15" customHeight="1">
      <c r="A22" s="2254"/>
      <c r="B22" s="716" t="s">
        <v>30</v>
      </c>
      <c r="C22" s="2256"/>
      <c r="D22" s="2257">
        <f>+D23+D24</f>
        <v>1880007</v>
      </c>
      <c r="E22" s="2257">
        <f t="shared" ref="E22:N22" si="26">E23</f>
        <v>0</v>
      </c>
      <c r="F22" s="2257">
        <f t="shared" si="26"/>
        <v>0</v>
      </c>
      <c r="G22" s="2257">
        <f t="shared" si="26"/>
        <v>0</v>
      </c>
      <c r="H22" s="2257">
        <f t="shared" si="26"/>
        <v>0</v>
      </c>
      <c r="I22" s="2257">
        <f t="shared" si="26"/>
        <v>0</v>
      </c>
      <c r="J22" s="2257">
        <f t="shared" si="26"/>
        <v>0</v>
      </c>
      <c r="K22" s="2257">
        <f t="shared" si="26"/>
        <v>0</v>
      </c>
      <c r="L22" s="2257">
        <f t="shared" si="26"/>
        <v>0</v>
      </c>
      <c r="M22" s="2257">
        <f>+M23+M24</f>
        <v>0</v>
      </c>
      <c r="N22" s="2257">
        <f t="shared" si="26"/>
        <v>0</v>
      </c>
      <c r="O22" s="2257">
        <f>+O23+O24</f>
        <v>0</v>
      </c>
      <c r="P22" s="2257">
        <f>+P23+P24</f>
        <v>0</v>
      </c>
      <c r="Q22" s="2257">
        <f t="shared" ref="Q22:W22" si="27">+Q23+Q24</f>
        <v>383298</v>
      </c>
      <c r="R22" s="2257">
        <f t="shared" si="27"/>
        <v>677787</v>
      </c>
      <c r="S22" s="2257">
        <f t="shared" si="27"/>
        <v>601843</v>
      </c>
      <c r="T22" s="2257">
        <f t="shared" si="27"/>
        <v>116310</v>
      </c>
      <c r="U22" s="2257">
        <f t="shared" si="27"/>
        <v>100769</v>
      </c>
      <c r="V22" s="2257">
        <f t="shared" si="27"/>
        <v>0</v>
      </c>
      <c r="W22" s="2257">
        <f t="shared" si="27"/>
        <v>0</v>
      </c>
      <c r="X22" s="2953"/>
      <c r="Y22" s="2261"/>
    </row>
    <row r="23" spans="1:27" ht="15" hidden="1" customHeight="1">
      <c r="A23" s="2254"/>
      <c r="B23" s="2258" t="s">
        <v>33</v>
      </c>
      <c r="C23" s="2259"/>
      <c r="D23" s="2272"/>
      <c r="E23" s="2252"/>
      <c r="F23" s="2252"/>
      <c r="G23" s="2252"/>
      <c r="H23" s="2252"/>
      <c r="I23" s="2252"/>
      <c r="J23" s="2252"/>
      <c r="K23" s="2252"/>
      <c r="L23" s="2252"/>
      <c r="M23" s="2252"/>
      <c r="N23" s="2252"/>
      <c r="O23" s="2252"/>
      <c r="P23" s="2252"/>
      <c r="Q23" s="2252"/>
      <c r="R23" s="2252"/>
      <c r="S23" s="2252"/>
      <c r="T23" s="2252"/>
      <c r="U23" s="2252"/>
      <c r="V23" s="2252"/>
      <c r="W23" s="2252"/>
      <c r="X23" s="2953"/>
      <c r="Y23" s="2261"/>
      <c r="Z23" s="1008"/>
    </row>
    <row r="24" spans="1:27" ht="12.75" thickBot="1">
      <c r="A24" s="2255"/>
      <c r="B24" s="2260" t="s">
        <v>32</v>
      </c>
      <c r="C24" s="2253"/>
      <c r="D24" s="2272">
        <f>+D33+D42+D65</f>
        <v>1880007</v>
      </c>
      <c r="E24" s="2272">
        <f t="shared" ref="E24:W24" si="28">+E33+E42+E65</f>
        <v>0</v>
      </c>
      <c r="F24" s="2272">
        <f t="shared" si="28"/>
        <v>0</v>
      </c>
      <c r="G24" s="2272">
        <f t="shared" si="28"/>
        <v>0</v>
      </c>
      <c r="H24" s="2272">
        <f t="shared" si="28"/>
        <v>0</v>
      </c>
      <c r="I24" s="2272">
        <f t="shared" si="28"/>
        <v>0</v>
      </c>
      <c r="J24" s="2272">
        <f t="shared" si="28"/>
        <v>0</v>
      </c>
      <c r="K24" s="2272">
        <f t="shared" si="28"/>
        <v>0</v>
      </c>
      <c r="L24" s="2272">
        <f t="shared" si="28"/>
        <v>0</v>
      </c>
      <c r="M24" s="2272">
        <f t="shared" si="28"/>
        <v>0</v>
      </c>
      <c r="N24" s="2272">
        <f t="shared" si="28"/>
        <v>0</v>
      </c>
      <c r="O24" s="2272">
        <f t="shared" si="28"/>
        <v>0</v>
      </c>
      <c r="P24" s="2272">
        <f t="shared" si="28"/>
        <v>0</v>
      </c>
      <c r="Q24" s="2272">
        <f t="shared" si="28"/>
        <v>383298</v>
      </c>
      <c r="R24" s="2272">
        <f t="shared" si="28"/>
        <v>677787</v>
      </c>
      <c r="S24" s="2272">
        <f t="shared" si="28"/>
        <v>601843</v>
      </c>
      <c r="T24" s="2272">
        <f t="shared" si="28"/>
        <v>116310</v>
      </c>
      <c r="U24" s="2272">
        <f t="shared" si="28"/>
        <v>100769</v>
      </c>
      <c r="V24" s="2272">
        <f t="shared" si="28"/>
        <v>0</v>
      </c>
      <c r="W24" s="2272">
        <f t="shared" si="28"/>
        <v>0</v>
      </c>
      <c r="X24" s="2954"/>
      <c r="Y24" s="2262"/>
      <c r="Z24" s="1008"/>
    </row>
    <row r="25" spans="1:27" ht="27" customHeight="1">
      <c r="A25" s="3464" t="s">
        <v>79</v>
      </c>
      <c r="B25" s="889" t="s">
        <v>622</v>
      </c>
      <c r="C25" s="890" t="s">
        <v>130</v>
      </c>
      <c r="D25" s="891"/>
      <c r="E25" s="892"/>
      <c r="F25" s="892"/>
      <c r="G25" s="892"/>
      <c r="H25" s="892"/>
      <c r="I25" s="892"/>
      <c r="J25" s="892"/>
      <c r="K25" s="892"/>
      <c r="L25" s="893"/>
      <c r="M25" s="893"/>
      <c r="N25" s="893"/>
      <c r="O25" s="893"/>
      <c r="P25" s="894"/>
      <c r="Q25" s="894"/>
      <c r="R25" s="894"/>
      <c r="S25" s="894"/>
      <c r="T25" s="894"/>
      <c r="U25" s="894"/>
      <c r="V25" s="894"/>
      <c r="W25" s="894"/>
      <c r="X25" s="895"/>
      <c r="Y25" s="3467" t="s">
        <v>595</v>
      </c>
    </row>
    <row r="26" spans="1:27" ht="12">
      <c r="A26" s="3465"/>
      <c r="B26" s="499" t="s">
        <v>22</v>
      </c>
      <c r="C26" s="375"/>
      <c r="D26" s="443">
        <f t="shared" ref="D26:L26" si="29">+D27+D29</f>
        <v>963249</v>
      </c>
      <c r="E26" s="443">
        <f t="shared" si="29"/>
        <v>0</v>
      </c>
      <c r="F26" s="443">
        <f t="shared" si="29"/>
        <v>0</v>
      </c>
      <c r="G26" s="443">
        <f t="shared" si="29"/>
        <v>0</v>
      </c>
      <c r="H26" s="443">
        <f t="shared" si="29"/>
        <v>0</v>
      </c>
      <c r="I26" s="443">
        <f t="shared" si="29"/>
        <v>0</v>
      </c>
      <c r="J26" s="443">
        <f t="shared" si="29"/>
        <v>0</v>
      </c>
      <c r="K26" s="443">
        <f t="shared" si="29"/>
        <v>0</v>
      </c>
      <c r="L26" s="443">
        <f t="shared" si="29"/>
        <v>0</v>
      </c>
      <c r="M26" s="443">
        <f t="shared" ref="M26:O26" si="30">+M27+M29</f>
        <v>0</v>
      </c>
      <c r="N26" s="443">
        <f t="shared" si="30"/>
        <v>0</v>
      </c>
      <c r="O26" s="443">
        <f t="shared" si="30"/>
        <v>0</v>
      </c>
      <c r="P26" s="443">
        <f>+P27+P29</f>
        <v>187530</v>
      </c>
      <c r="Q26" s="443">
        <f t="shared" ref="Q26:S26" si="31">+Q27+Q29</f>
        <v>386875</v>
      </c>
      <c r="R26" s="443">
        <f t="shared" si="31"/>
        <v>354673</v>
      </c>
      <c r="S26" s="443">
        <f t="shared" si="31"/>
        <v>34171</v>
      </c>
      <c r="T26" s="443"/>
      <c r="U26" s="443"/>
      <c r="V26" s="443"/>
      <c r="W26" s="443"/>
      <c r="X26" s="480">
        <f>+X27+X29</f>
        <v>963249</v>
      </c>
      <c r="Y26" s="3468"/>
      <c r="Z26" s="1008"/>
      <c r="AA26" s="1008"/>
    </row>
    <row r="27" spans="1:27" ht="12">
      <c r="A27" s="3465"/>
      <c r="B27" s="500" t="s">
        <v>36</v>
      </c>
      <c r="C27" s="2978" t="s">
        <v>280</v>
      </c>
      <c r="D27" s="564">
        <f>+D28</f>
        <v>144487</v>
      </c>
      <c r="E27" s="564">
        <f t="shared" ref="E27:J27" si="32">+E28</f>
        <v>0</v>
      </c>
      <c r="F27" s="2887">
        <f t="shared" si="32"/>
        <v>0</v>
      </c>
      <c r="G27" s="761">
        <f t="shared" si="32"/>
        <v>0</v>
      </c>
      <c r="H27" s="564">
        <f t="shared" si="32"/>
        <v>0</v>
      </c>
      <c r="I27" s="564">
        <f t="shared" si="32"/>
        <v>0</v>
      </c>
      <c r="J27" s="564">
        <f t="shared" si="32"/>
        <v>0</v>
      </c>
      <c r="K27" s="761">
        <f>+K28</f>
        <v>0</v>
      </c>
      <c r="L27" s="761">
        <f>+L28</f>
        <v>0</v>
      </c>
      <c r="M27" s="761">
        <f>+M28</f>
        <v>0</v>
      </c>
      <c r="N27" s="761">
        <f t="shared" ref="N27:O27" si="33">+N28</f>
        <v>0</v>
      </c>
      <c r="O27" s="761">
        <f t="shared" si="33"/>
        <v>0</v>
      </c>
      <c r="P27" s="552">
        <f>+P28</f>
        <v>28129</v>
      </c>
      <c r="Q27" s="552">
        <f t="shared" ref="Q27:S27" si="34">+Q28</f>
        <v>58031</v>
      </c>
      <c r="R27" s="552">
        <f t="shared" si="34"/>
        <v>53201</v>
      </c>
      <c r="S27" s="552">
        <f t="shared" si="34"/>
        <v>5126</v>
      </c>
      <c r="T27" s="552"/>
      <c r="U27" s="552"/>
      <c r="V27" s="552"/>
      <c r="W27" s="552"/>
      <c r="X27" s="2888">
        <f>+X28</f>
        <v>144487</v>
      </c>
      <c r="Y27" s="3469"/>
    </row>
    <row r="28" spans="1:27" ht="12">
      <c r="A28" s="3465"/>
      <c r="B28" s="484" t="s">
        <v>24</v>
      </c>
      <c r="C28" s="3471"/>
      <c r="D28" s="456">
        <f>M28+O28+P28+Q28+R28+S28+T28+U28+V28+W28</f>
        <v>144487</v>
      </c>
      <c r="E28" s="456">
        <v>0</v>
      </c>
      <c r="F28" s="457"/>
      <c r="G28" s="457"/>
      <c r="H28" s="456"/>
      <c r="I28" s="456">
        <v>0</v>
      </c>
      <c r="J28" s="456">
        <v>0</v>
      </c>
      <c r="K28" s="456">
        <v>0</v>
      </c>
      <c r="L28" s="456">
        <v>0</v>
      </c>
      <c r="M28" s="456">
        <v>0</v>
      </c>
      <c r="N28" s="456">
        <v>0</v>
      </c>
      <c r="O28" s="456">
        <v>0</v>
      </c>
      <c r="P28" s="457">
        <v>28129</v>
      </c>
      <c r="Q28" s="457">
        <v>58031</v>
      </c>
      <c r="R28" s="457">
        <v>53201</v>
      </c>
      <c r="S28" s="457">
        <v>5126</v>
      </c>
      <c r="T28" s="457"/>
      <c r="U28" s="457"/>
      <c r="V28" s="457"/>
      <c r="W28" s="457"/>
      <c r="X28" s="409">
        <f>SUM(P28:T28)</f>
        <v>144487</v>
      </c>
      <c r="Y28" s="3469"/>
    </row>
    <row r="29" spans="1:27" ht="12">
      <c r="A29" s="3465"/>
      <c r="B29" s="540" t="s">
        <v>30</v>
      </c>
      <c r="C29" s="3471"/>
      <c r="D29" s="896">
        <f t="shared" ref="D29:X29" si="35">+D30</f>
        <v>818762</v>
      </c>
      <c r="E29" s="896">
        <f t="shared" si="35"/>
        <v>0</v>
      </c>
      <c r="F29" s="896">
        <f t="shared" si="35"/>
        <v>0</v>
      </c>
      <c r="G29" s="896">
        <f t="shared" si="35"/>
        <v>0</v>
      </c>
      <c r="H29" s="896">
        <f t="shared" si="35"/>
        <v>0</v>
      </c>
      <c r="I29" s="564">
        <f t="shared" si="35"/>
        <v>0</v>
      </c>
      <c r="J29" s="564">
        <f t="shared" si="35"/>
        <v>0</v>
      </c>
      <c r="K29" s="761">
        <f t="shared" si="35"/>
        <v>0</v>
      </c>
      <c r="L29" s="564">
        <f t="shared" si="35"/>
        <v>0</v>
      </c>
      <c r="M29" s="564">
        <f t="shared" si="35"/>
        <v>0</v>
      </c>
      <c r="N29" s="564">
        <f t="shared" si="35"/>
        <v>0</v>
      </c>
      <c r="O29" s="564">
        <f t="shared" si="35"/>
        <v>0</v>
      </c>
      <c r="P29" s="570">
        <f>+P30</f>
        <v>159401</v>
      </c>
      <c r="Q29" s="570">
        <f t="shared" ref="Q29:S29" si="36">+Q30</f>
        <v>328844</v>
      </c>
      <c r="R29" s="570">
        <f t="shared" si="36"/>
        <v>301472</v>
      </c>
      <c r="S29" s="570">
        <f t="shared" si="36"/>
        <v>29045</v>
      </c>
      <c r="T29" s="570"/>
      <c r="U29" s="570"/>
      <c r="V29" s="570"/>
      <c r="W29" s="570"/>
      <c r="X29" s="502">
        <f t="shared" si="35"/>
        <v>818762</v>
      </c>
      <c r="Y29" s="3469"/>
    </row>
    <row r="30" spans="1:27" ht="12">
      <c r="A30" s="3465"/>
      <c r="B30" s="1952" t="s">
        <v>32</v>
      </c>
      <c r="C30" s="3471"/>
      <c r="D30" s="456">
        <f>M30+O30+P30+Q30+R30+S30+T30+U30+V30+W30</f>
        <v>818762</v>
      </c>
      <c r="E30" s="454">
        <v>0</v>
      </c>
      <c r="F30" s="462">
        <v>0</v>
      </c>
      <c r="G30" s="462"/>
      <c r="H30" s="454"/>
      <c r="I30" s="454">
        <v>0</v>
      </c>
      <c r="J30" s="454">
        <v>0</v>
      </c>
      <c r="K30" s="454">
        <v>0</v>
      </c>
      <c r="L30" s="454">
        <v>0</v>
      </c>
      <c r="M30" s="456">
        <v>0</v>
      </c>
      <c r="N30" s="454">
        <v>0</v>
      </c>
      <c r="O30" s="454">
        <v>0</v>
      </c>
      <c r="P30" s="462">
        <v>159401</v>
      </c>
      <c r="Q30" s="462">
        <v>328844</v>
      </c>
      <c r="R30" s="462">
        <v>301472</v>
      </c>
      <c r="S30" s="462">
        <v>29045</v>
      </c>
      <c r="T30" s="462"/>
      <c r="U30" s="462"/>
      <c r="V30" s="462"/>
      <c r="W30" s="462"/>
      <c r="X30" s="409">
        <f>SUM(P30:T30)</f>
        <v>818762</v>
      </c>
      <c r="Y30" s="3469"/>
    </row>
    <row r="31" spans="1:27" ht="12" customHeight="1">
      <c r="A31" s="3465"/>
      <c r="B31" s="499" t="s">
        <v>34</v>
      </c>
      <c r="C31" s="375"/>
      <c r="D31" s="464">
        <f>+D32</f>
        <v>818762</v>
      </c>
      <c r="E31" s="464">
        <f t="shared" ref="E31:P32" si="37">+E32</f>
        <v>0</v>
      </c>
      <c r="F31" s="464">
        <f t="shared" si="37"/>
        <v>0</v>
      </c>
      <c r="G31" s="464">
        <f t="shared" si="37"/>
        <v>0</v>
      </c>
      <c r="H31" s="464">
        <f t="shared" si="37"/>
        <v>0</v>
      </c>
      <c r="I31" s="464">
        <f t="shared" si="37"/>
        <v>0</v>
      </c>
      <c r="J31" s="464">
        <f t="shared" si="37"/>
        <v>0</v>
      </c>
      <c r="K31" s="464">
        <f t="shared" si="37"/>
        <v>0</v>
      </c>
      <c r="L31" s="464">
        <f t="shared" si="37"/>
        <v>0</v>
      </c>
      <c r="M31" s="464">
        <f t="shared" si="37"/>
        <v>0</v>
      </c>
      <c r="N31" s="464">
        <f t="shared" si="37"/>
        <v>0</v>
      </c>
      <c r="O31" s="464">
        <f t="shared" si="37"/>
        <v>0</v>
      </c>
      <c r="P31" s="464">
        <f>+P32</f>
        <v>0</v>
      </c>
      <c r="Q31" s="464">
        <f t="shared" ref="Q31:T31" si="38">+Q32</f>
        <v>159401</v>
      </c>
      <c r="R31" s="464">
        <f t="shared" si="38"/>
        <v>328844</v>
      </c>
      <c r="S31" s="464">
        <f t="shared" si="38"/>
        <v>301472</v>
      </c>
      <c r="T31" s="464">
        <f t="shared" si="38"/>
        <v>29045</v>
      </c>
      <c r="U31" s="443"/>
      <c r="V31" s="443"/>
      <c r="W31" s="443"/>
      <c r="X31" s="2952" t="s">
        <v>77</v>
      </c>
      <c r="Y31" s="3469"/>
    </row>
    <row r="32" spans="1:27" ht="12" customHeight="1">
      <c r="A32" s="3465"/>
      <c r="B32" s="540" t="s">
        <v>30</v>
      </c>
      <c r="C32" s="3039" t="s">
        <v>280</v>
      </c>
      <c r="D32" s="896">
        <f>+D33</f>
        <v>818762</v>
      </c>
      <c r="E32" s="896">
        <f t="shared" si="37"/>
        <v>0</v>
      </c>
      <c r="F32" s="896">
        <f t="shared" si="37"/>
        <v>0</v>
      </c>
      <c r="G32" s="896">
        <f t="shared" si="37"/>
        <v>0</v>
      </c>
      <c r="H32" s="896">
        <f t="shared" si="37"/>
        <v>0</v>
      </c>
      <c r="I32" s="896">
        <f t="shared" si="37"/>
        <v>0</v>
      </c>
      <c r="J32" s="896">
        <f t="shared" si="37"/>
        <v>0</v>
      </c>
      <c r="K32" s="896">
        <f t="shared" si="37"/>
        <v>0</v>
      </c>
      <c r="L32" s="896">
        <f t="shared" si="37"/>
        <v>0</v>
      </c>
      <c r="M32" s="896">
        <f t="shared" si="37"/>
        <v>0</v>
      </c>
      <c r="N32" s="896">
        <f t="shared" si="37"/>
        <v>0</v>
      </c>
      <c r="O32" s="896">
        <f t="shared" si="37"/>
        <v>0</v>
      </c>
      <c r="P32" s="896">
        <f t="shared" si="37"/>
        <v>0</v>
      </c>
      <c r="Q32" s="896">
        <f>+Q33</f>
        <v>159401</v>
      </c>
      <c r="R32" s="896">
        <f t="shared" ref="R32:T32" si="39">+R33</f>
        <v>328844</v>
      </c>
      <c r="S32" s="896">
        <f t="shared" si="39"/>
        <v>301472</v>
      </c>
      <c r="T32" s="896">
        <f t="shared" si="39"/>
        <v>29045</v>
      </c>
      <c r="U32" s="896"/>
      <c r="V32" s="896"/>
      <c r="W32" s="896"/>
      <c r="X32" s="2953"/>
      <c r="Y32" s="3469"/>
    </row>
    <row r="33" spans="1:29" ht="13.5" customHeight="1" thickBot="1">
      <c r="A33" s="3466"/>
      <c r="B33" s="1952" t="s">
        <v>32</v>
      </c>
      <c r="C33" s="3472"/>
      <c r="D33" s="456">
        <f>M33+O33+P33+Q33+R33+S33+T33+U33+V33+W33</f>
        <v>818762</v>
      </c>
      <c r="E33" s="2889"/>
      <c r="F33" s="2890"/>
      <c r="G33" s="2890"/>
      <c r="H33" s="2890"/>
      <c r="I33" s="2890">
        <v>0</v>
      </c>
      <c r="J33" s="2890">
        <v>0</v>
      </c>
      <c r="K33" s="2890">
        <v>0</v>
      </c>
      <c r="L33" s="2890">
        <v>0</v>
      </c>
      <c r="M33" s="456">
        <v>0</v>
      </c>
      <c r="N33" s="2890">
        <v>0</v>
      </c>
      <c r="O33" s="2890">
        <v>0</v>
      </c>
      <c r="P33" s="2891">
        <v>0</v>
      </c>
      <c r="Q33" s="2891">
        <v>159401</v>
      </c>
      <c r="R33" s="2891">
        <v>328844</v>
      </c>
      <c r="S33" s="2891">
        <v>301472</v>
      </c>
      <c r="T33" s="2891">
        <v>29045</v>
      </c>
      <c r="U33" s="2891"/>
      <c r="V33" s="2891"/>
      <c r="W33" s="2891"/>
      <c r="X33" s="2954"/>
      <c r="Y33" s="3470"/>
    </row>
    <row r="34" spans="1:29" ht="38.25" customHeight="1">
      <c r="A34" s="3464" t="s">
        <v>80</v>
      </c>
      <c r="B34" s="889" t="s">
        <v>623</v>
      </c>
      <c r="C34" s="890" t="s">
        <v>130</v>
      </c>
      <c r="D34" s="891"/>
      <c r="E34" s="892"/>
      <c r="F34" s="892"/>
      <c r="G34" s="892"/>
      <c r="H34" s="892"/>
      <c r="I34" s="892"/>
      <c r="J34" s="892"/>
      <c r="K34" s="892"/>
      <c r="L34" s="893"/>
      <c r="M34" s="893"/>
      <c r="N34" s="893"/>
      <c r="O34" s="893"/>
      <c r="P34" s="894"/>
      <c r="Q34" s="894"/>
      <c r="R34" s="894"/>
      <c r="S34" s="894"/>
      <c r="T34" s="894"/>
      <c r="U34" s="894"/>
      <c r="V34" s="894"/>
      <c r="W34" s="894"/>
      <c r="X34" s="2892"/>
      <c r="Y34" s="3467" t="s">
        <v>595</v>
      </c>
    </row>
    <row r="35" spans="1:29" ht="12">
      <c r="A35" s="3465"/>
      <c r="B35" s="499" t="s">
        <v>22</v>
      </c>
      <c r="C35" s="375"/>
      <c r="D35" s="464">
        <f t="shared" ref="D35:T35" si="40">+D36+D38</f>
        <v>897708</v>
      </c>
      <c r="E35" s="443">
        <f t="shared" si="40"/>
        <v>0</v>
      </c>
      <c r="F35" s="443">
        <f t="shared" si="40"/>
        <v>0</v>
      </c>
      <c r="G35" s="443">
        <f t="shared" si="40"/>
        <v>0</v>
      </c>
      <c r="H35" s="443">
        <f t="shared" si="40"/>
        <v>0</v>
      </c>
      <c r="I35" s="443">
        <f t="shared" si="40"/>
        <v>0</v>
      </c>
      <c r="J35" s="443">
        <f t="shared" si="40"/>
        <v>0</v>
      </c>
      <c r="K35" s="443">
        <f t="shared" si="40"/>
        <v>0</v>
      </c>
      <c r="L35" s="443">
        <f t="shared" si="40"/>
        <v>0</v>
      </c>
      <c r="M35" s="443">
        <f t="shared" ref="M35" si="41">+M36+M38</f>
        <v>0</v>
      </c>
      <c r="N35" s="443">
        <f t="shared" si="40"/>
        <v>0</v>
      </c>
      <c r="O35" s="443">
        <f t="shared" si="40"/>
        <v>0</v>
      </c>
      <c r="P35" s="443">
        <f t="shared" si="40"/>
        <v>157103</v>
      </c>
      <c r="Q35" s="443">
        <f>+Q36+Q38</f>
        <v>349393</v>
      </c>
      <c r="R35" s="443">
        <f t="shared" si="40"/>
        <v>292249</v>
      </c>
      <c r="S35" s="443">
        <f t="shared" si="40"/>
        <v>41538</v>
      </c>
      <c r="T35" s="443">
        <f t="shared" si="40"/>
        <v>57425</v>
      </c>
      <c r="U35" s="443"/>
      <c r="V35" s="443"/>
      <c r="W35" s="443"/>
      <c r="X35" s="480">
        <f>+X36+X38</f>
        <v>897708</v>
      </c>
      <c r="Y35" s="3468"/>
      <c r="Z35" s="1008"/>
      <c r="AA35" s="1008"/>
      <c r="AB35" s="1008"/>
      <c r="AC35" s="1008"/>
    </row>
    <row r="36" spans="1:29" ht="12" customHeight="1">
      <c r="A36" s="3465"/>
      <c r="B36" s="500" t="s">
        <v>36</v>
      </c>
      <c r="C36" s="2978" t="s">
        <v>281</v>
      </c>
      <c r="D36" s="511">
        <f>+D37</f>
        <v>134656</v>
      </c>
      <c r="E36" s="511">
        <f t="shared" ref="E36:J36" si="42">+E37</f>
        <v>0</v>
      </c>
      <c r="F36" s="511">
        <f t="shared" si="42"/>
        <v>0</v>
      </c>
      <c r="G36" s="511">
        <f t="shared" si="42"/>
        <v>0</v>
      </c>
      <c r="H36" s="511">
        <f t="shared" si="42"/>
        <v>0</v>
      </c>
      <c r="I36" s="511">
        <f t="shared" si="42"/>
        <v>0</v>
      </c>
      <c r="J36" s="511">
        <f t="shared" si="42"/>
        <v>0</v>
      </c>
      <c r="K36" s="760">
        <f>+K37</f>
        <v>0</v>
      </c>
      <c r="L36" s="759">
        <f>+L37</f>
        <v>0</v>
      </c>
      <c r="M36" s="759">
        <f>+M37</f>
        <v>0</v>
      </c>
      <c r="N36" s="760">
        <f>+N37</f>
        <v>0</v>
      </c>
      <c r="O36" s="760">
        <f>+O37</f>
        <v>0</v>
      </c>
      <c r="P36" s="760">
        <f t="shared" ref="P36:T36" si="43">+P37</f>
        <v>23565</v>
      </c>
      <c r="Q36" s="760">
        <f t="shared" si="43"/>
        <v>52409</v>
      </c>
      <c r="R36" s="760">
        <f t="shared" si="43"/>
        <v>43837</v>
      </c>
      <c r="S36" s="760">
        <f t="shared" si="43"/>
        <v>6231</v>
      </c>
      <c r="T36" s="760">
        <f t="shared" si="43"/>
        <v>8614</v>
      </c>
      <c r="U36" s="645"/>
      <c r="V36" s="645"/>
      <c r="W36" s="645"/>
      <c r="X36" s="502">
        <f>+X37</f>
        <v>134656</v>
      </c>
      <c r="Y36" s="3469"/>
    </row>
    <row r="37" spans="1:29" ht="11.25" customHeight="1">
      <c r="A37" s="3465"/>
      <c r="B37" s="484" t="s">
        <v>24</v>
      </c>
      <c r="C37" s="3471"/>
      <c r="D37" s="456">
        <f>M37+O37+P37+Q37+R37+S37+T37+U37+V37+W37</f>
        <v>134656</v>
      </c>
      <c r="E37" s="456"/>
      <c r="F37" s="457"/>
      <c r="G37" s="457"/>
      <c r="H37" s="456"/>
      <c r="I37" s="456"/>
      <c r="J37" s="456"/>
      <c r="K37" s="456"/>
      <c r="L37" s="456"/>
      <c r="M37" s="456">
        <v>0</v>
      </c>
      <c r="N37" s="457"/>
      <c r="O37" s="457">
        <v>0</v>
      </c>
      <c r="P37" s="457">
        <v>23565</v>
      </c>
      <c r="Q37" s="457">
        <v>52409</v>
      </c>
      <c r="R37" s="457">
        <v>43837</v>
      </c>
      <c r="S37" s="457">
        <v>6231</v>
      </c>
      <c r="T37" s="457">
        <v>8614</v>
      </c>
      <c r="U37" s="457"/>
      <c r="V37" s="457"/>
      <c r="W37" s="457"/>
      <c r="X37" s="409">
        <f>SUM(P37:T37)</f>
        <v>134656</v>
      </c>
      <c r="Y37" s="3469"/>
    </row>
    <row r="38" spans="1:29" ht="12" customHeight="1">
      <c r="A38" s="3465"/>
      <c r="B38" s="540" t="s">
        <v>30</v>
      </c>
      <c r="C38" s="3471"/>
      <c r="D38" s="897">
        <f t="shared" ref="D38:X38" si="44">+D39</f>
        <v>763052</v>
      </c>
      <c r="E38" s="896">
        <f t="shared" si="44"/>
        <v>0</v>
      </c>
      <c r="F38" s="896">
        <f t="shared" si="44"/>
        <v>0</v>
      </c>
      <c r="G38" s="896">
        <f t="shared" si="44"/>
        <v>0</v>
      </c>
      <c r="H38" s="896">
        <f t="shared" si="44"/>
        <v>0</v>
      </c>
      <c r="I38" s="564">
        <f t="shared" si="44"/>
        <v>0</v>
      </c>
      <c r="J38" s="564">
        <f t="shared" si="44"/>
        <v>0</v>
      </c>
      <c r="K38" s="761">
        <f t="shared" si="44"/>
        <v>0</v>
      </c>
      <c r="L38" s="564">
        <f t="shared" si="44"/>
        <v>0</v>
      </c>
      <c r="M38" s="564">
        <f t="shared" si="44"/>
        <v>0</v>
      </c>
      <c r="N38" s="761">
        <f t="shared" si="44"/>
        <v>0</v>
      </c>
      <c r="O38" s="761">
        <f t="shared" si="44"/>
        <v>0</v>
      </c>
      <c r="P38" s="761">
        <f t="shared" si="44"/>
        <v>133538</v>
      </c>
      <c r="Q38" s="761">
        <f t="shared" si="44"/>
        <v>296984</v>
      </c>
      <c r="R38" s="761">
        <f t="shared" si="44"/>
        <v>248412</v>
      </c>
      <c r="S38" s="761">
        <f t="shared" si="44"/>
        <v>35307</v>
      </c>
      <c r="T38" s="761">
        <f t="shared" si="44"/>
        <v>48811</v>
      </c>
      <c r="U38" s="2887"/>
      <c r="V38" s="2887"/>
      <c r="W38" s="2887"/>
      <c r="X38" s="502">
        <f t="shared" si="44"/>
        <v>763052</v>
      </c>
      <c r="Y38" s="3469"/>
    </row>
    <row r="39" spans="1:29" ht="12" customHeight="1">
      <c r="A39" s="3465"/>
      <c r="B39" s="1952" t="s">
        <v>32</v>
      </c>
      <c r="C39" s="3471"/>
      <c r="D39" s="456">
        <f>M39+O39+P39+Q39+R39+S39+T39+U39+V39+W39</f>
        <v>763052</v>
      </c>
      <c r="E39" s="454"/>
      <c r="F39" s="462"/>
      <c r="G39" s="462"/>
      <c r="H39" s="454"/>
      <c r="I39" s="454"/>
      <c r="J39" s="454"/>
      <c r="K39" s="454"/>
      <c r="L39" s="454"/>
      <c r="M39" s="456">
        <v>0</v>
      </c>
      <c r="N39" s="462"/>
      <c r="O39" s="462">
        <v>0</v>
      </c>
      <c r="P39" s="462">
        <v>133538</v>
      </c>
      <c r="Q39" s="462">
        <v>296984</v>
      </c>
      <c r="R39" s="462">
        <v>248412</v>
      </c>
      <c r="S39" s="462">
        <v>35307</v>
      </c>
      <c r="T39" s="462">
        <v>48811</v>
      </c>
      <c r="U39" s="462"/>
      <c r="V39" s="462"/>
      <c r="W39" s="462"/>
      <c r="X39" s="1262">
        <f>SUM(P39:T39)</f>
        <v>763052</v>
      </c>
      <c r="Y39" s="3469"/>
    </row>
    <row r="40" spans="1:29" ht="12">
      <c r="A40" s="3465"/>
      <c r="B40" s="505" t="s">
        <v>34</v>
      </c>
      <c r="C40" s="375"/>
      <c r="D40" s="464">
        <f>+D41</f>
        <v>763052</v>
      </c>
      <c r="E40" s="464">
        <f t="shared" ref="E40:T41" si="45">+E41</f>
        <v>0</v>
      </c>
      <c r="F40" s="464">
        <f t="shared" si="45"/>
        <v>0</v>
      </c>
      <c r="G40" s="464">
        <f t="shared" si="45"/>
        <v>0</v>
      </c>
      <c r="H40" s="464">
        <f t="shared" si="45"/>
        <v>0</v>
      </c>
      <c r="I40" s="464">
        <f t="shared" si="45"/>
        <v>0</v>
      </c>
      <c r="J40" s="464">
        <f t="shared" si="45"/>
        <v>0</v>
      </c>
      <c r="K40" s="464">
        <f t="shared" si="45"/>
        <v>0</v>
      </c>
      <c r="L40" s="464">
        <f t="shared" si="45"/>
        <v>0</v>
      </c>
      <c r="M40" s="464">
        <f t="shared" si="45"/>
        <v>0</v>
      </c>
      <c r="N40" s="464">
        <f t="shared" si="45"/>
        <v>0</v>
      </c>
      <c r="O40" s="464">
        <f t="shared" si="45"/>
        <v>0</v>
      </c>
      <c r="P40" s="464">
        <f t="shared" si="45"/>
        <v>0</v>
      </c>
      <c r="Q40" s="464">
        <f t="shared" si="45"/>
        <v>133538</v>
      </c>
      <c r="R40" s="464">
        <f t="shared" si="45"/>
        <v>296984</v>
      </c>
      <c r="S40" s="464">
        <f t="shared" si="45"/>
        <v>248412</v>
      </c>
      <c r="T40" s="464">
        <f t="shared" si="45"/>
        <v>35307</v>
      </c>
      <c r="U40" s="464">
        <f t="shared" ref="P40:U41" si="46">+U41</f>
        <v>48811</v>
      </c>
      <c r="V40" s="443"/>
      <c r="W40" s="443"/>
      <c r="X40" s="3416" t="s">
        <v>77</v>
      </c>
      <c r="Y40" s="3469"/>
    </row>
    <row r="41" spans="1:29" ht="12" customHeight="1">
      <c r="A41" s="3465"/>
      <c r="B41" s="540" t="s">
        <v>30</v>
      </c>
      <c r="C41" s="3039" t="s">
        <v>282</v>
      </c>
      <c r="D41" s="897">
        <f>+D42</f>
        <v>763052</v>
      </c>
      <c r="E41" s="896">
        <f t="shared" si="45"/>
        <v>0</v>
      </c>
      <c r="F41" s="896">
        <f t="shared" si="45"/>
        <v>0</v>
      </c>
      <c r="G41" s="896">
        <f t="shared" si="45"/>
        <v>0</v>
      </c>
      <c r="H41" s="896">
        <f t="shared" si="45"/>
        <v>0</v>
      </c>
      <c r="I41" s="896">
        <f t="shared" si="45"/>
        <v>0</v>
      </c>
      <c r="J41" s="896">
        <f t="shared" si="45"/>
        <v>0</v>
      </c>
      <c r="K41" s="896">
        <f t="shared" si="45"/>
        <v>0</v>
      </c>
      <c r="L41" s="896">
        <f t="shared" si="45"/>
        <v>0</v>
      </c>
      <c r="M41" s="896">
        <f t="shared" si="45"/>
        <v>0</v>
      </c>
      <c r="N41" s="896">
        <f t="shared" si="45"/>
        <v>0</v>
      </c>
      <c r="O41" s="896">
        <f t="shared" si="45"/>
        <v>0</v>
      </c>
      <c r="P41" s="896">
        <f t="shared" si="46"/>
        <v>0</v>
      </c>
      <c r="Q41" s="896">
        <f t="shared" si="46"/>
        <v>133538</v>
      </c>
      <c r="R41" s="896">
        <f t="shared" si="46"/>
        <v>296984</v>
      </c>
      <c r="S41" s="896">
        <f t="shared" si="46"/>
        <v>248412</v>
      </c>
      <c r="T41" s="896">
        <f t="shared" si="46"/>
        <v>35307</v>
      </c>
      <c r="U41" s="896">
        <f t="shared" si="46"/>
        <v>48811</v>
      </c>
      <c r="V41" s="896"/>
      <c r="W41" s="896"/>
      <c r="X41" s="2953"/>
      <c r="Y41" s="3469"/>
    </row>
    <row r="42" spans="1:29" ht="13.5" thickBot="1">
      <c r="A42" s="3466"/>
      <c r="B42" s="1952" t="s">
        <v>32</v>
      </c>
      <c r="C42" s="3472"/>
      <c r="D42" s="456">
        <f>M42+O42+P42+Q42+R42+S42+T42+U42+V42+W42</f>
        <v>763052</v>
      </c>
      <c r="E42" s="491"/>
      <c r="F42" s="492"/>
      <c r="G42" s="491"/>
      <c r="H42" s="491"/>
      <c r="I42" s="491"/>
      <c r="J42" s="491"/>
      <c r="K42" s="491"/>
      <c r="L42" s="900"/>
      <c r="M42" s="456">
        <v>0</v>
      </c>
      <c r="N42" s="900"/>
      <c r="O42" s="900">
        <v>0</v>
      </c>
      <c r="P42" s="492">
        <v>0</v>
      </c>
      <c r="Q42" s="491">
        <v>133538</v>
      </c>
      <c r="R42" s="943">
        <v>296984</v>
      </c>
      <c r="S42" s="943">
        <v>248412</v>
      </c>
      <c r="T42" s="943">
        <v>35307</v>
      </c>
      <c r="U42" s="943">
        <v>48811</v>
      </c>
      <c r="V42" s="943"/>
      <c r="W42" s="943"/>
      <c r="X42" s="2954"/>
      <c r="Y42" s="3470"/>
    </row>
    <row r="43" spans="1:29" ht="36.75" hidden="1" customHeight="1">
      <c r="A43" s="3464" t="s">
        <v>80</v>
      </c>
      <c r="B43" s="889"/>
      <c r="C43" s="890" t="s">
        <v>98</v>
      </c>
      <c r="D43" s="891"/>
      <c r="E43" s="892"/>
      <c r="F43" s="892"/>
      <c r="G43" s="892"/>
      <c r="H43" s="892"/>
      <c r="I43" s="892"/>
      <c r="J43" s="892"/>
      <c r="K43" s="892"/>
      <c r="L43" s="893"/>
      <c r="M43" s="893"/>
      <c r="N43" s="893"/>
      <c r="O43" s="893"/>
      <c r="P43" s="894"/>
      <c r="Q43" s="894"/>
      <c r="R43" s="894"/>
      <c r="S43" s="894"/>
      <c r="T43" s="894"/>
      <c r="U43" s="894"/>
      <c r="V43" s="894"/>
      <c r="W43" s="894"/>
      <c r="X43" s="895"/>
      <c r="Y43" s="3467"/>
    </row>
    <row r="44" spans="1:29" ht="15.75" hidden="1" customHeight="1">
      <c r="A44" s="3481"/>
      <c r="B44" s="499" t="s">
        <v>22</v>
      </c>
      <c r="C44" s="375"/>
      <c r="D44" s="464">
        <f t="shared" ref="D44:N44" si="47">+D45+D47</f>
        <v>0</v>
      </c>
      <c r="E44" s="443">
        <f t="shared" si="47"/>
        <v>0</v>
      </c>
      <c r="F44" s="443">
        <f t="shared" si="47"/>
        <v>0</v>
      </c>
      <c r="G44" s="443">
        <f t="shared" si="47"/>
        <v>0</v>
      </c>
      <c r="H44" s="443">
        <f t="shared" si="47"/>
        <v>0</v>
      </c>
      <c r="I44" s="443">
        <f t="shared" si="47"/>
        <v>0</v>
      </c>
      <c r="J44" s="443">
        <f t="shared" si="47"/>
        <v>0</v>
      </c>
      <c r="K44" s="443">
        <f t="shared" si="47"/>
        <v>0</v>
      </c>
      <c r="L44" s="443">
        <f t="shared" si="47"/>
        <v>0</v>
      </c>
      <c r="M44" s="443">
        <f t="shared" ref="M44" si="48">+M45+M47</f>
        <v>0</v>
      </c>
      <c r="N44" s="443">
        <f t="shared" si="47"/>
        <v>0</v>
      </c>
      <c r="O44" s="443">
        <f>+O45+O47</f>
        <v>0</v>
      </c>
      <c r="P44" s="443"/>
      <c r="Q44" s="443"/>
      <c r="R44" s="443"/>
      <c r="S44" s="443"/>
      <c r="T44" s="443"/>
      <c r="U44" s="443"/>
      <c r="V44" s="443"/>
      <c r="W44" s="443"/>
      <c r="X44" s="1272">
        <f>+X45+X47</f>
        <v>0</v>
      </c>
      <c r="Y44" s="3468"/>
      <c r="AA44" s="1008"/>
    </row>
    <row r="45" spans="1:29" ht="12.75" hidden="1" customHeight="1">
      <c r="A45" s="3481"/>
      <c r="B45" s="500" t="s">
        <v>36</v>
      </c>
      <c r="C45" s="2978" t="s">
        <v>281</v>
      </c>
      <c r="D45" s="511">
        <f>+D46</f>
        <v>0</v>
      </c>
      <c r="E45" s="511">
        <f t="shared" ref="E45:J45" si="49">+E46</f>
        <v>0</v>
      </c>
      <c r="F45" s="511">
        <f t="shared" si="49"/>
        <v>0</v>
      </c>
      <c r="G45" s="511">
        <f t="shared" si="49"/>
        <v>0</v>
      </c>
      <c r="H45" s="511">
        <f t="shared" si="49"/>
        <v>0</v>
      </c>
      <c r="I45" s="511">
        <f t="shared" si="49"/>
        <v>0</v>
      </c>
      <c r="J45" s="511">
        <f t="shared" si="49"/>
        <v>0</v>
      </c>
      <c r="K45" s="760">
        <f>+K46</f>
        <v>0</v>
      </c>
      <c r="L45" s="759">
        <f>+L46</f>
        <v>0</v>
      </c>
      <c r="M45" s="759">
        <f>+M46</f>
        <v>0</v>
      </c>
      <c r="N45" s="759">
        <f>+N46</f>
        <v>0</v>
      </c>
      <c r="O45" s="760">
        <f>+O46</f>
        <v>0</v>
      </c>
      <c r="P45" s="898"/>
      <c r="Q45" s="898"/>
      <c r="R45" s="898"/>
      <c r="S45" s="898"/>
      <c r="T45" s="898"/>
      <c r="U45" s="898"/>
      <c r="V45" s="898"/>
      <c r="W45" s="898"/>
      <c r="X45" s="1256">
        <f>+X46</f>
        <v>0</v>
      </c>
      <c r="Y45" s="3469"/>
    </row>
    <row r="46" spans="1:29" ht="12.75" hidden="1" customHeight="1">
      <c r="A46" s="3481"/>
      <c r="B46" s="484" t="s">
        <v>24</v>
      </c>
      <c r="C46" s="3471"/>
      <c r="D46" s="901">
        <f>L46+N46+O46+P46+Q46</f>
        <v>0</v>
      </c>
      <c r="E46" s="456">
        <v>0</v>
      </c>
      <c r="F46" s="457"/>
      <c r="G46" s="457"/>
      <c r="H46" s="456"/>
      <c r="I46" s="456">
        <v>0</v>
      </c>
      <c r="J46" s="456"/>
      <c r="K46" s="456"/>
      <c r="L46" s="456">
        <v>0</v>
      </c>
      <c r="M46" s="456">
        <v>0</v>
      </c>
      <c r="N46" s="457">
        <v>0</v>
      </c>
      <c r="O46" s="457">
        <v>0</v>
      </c>
      <c r="P46" s="457"/>
      <c r="Q46" s="457"/>
      <c r="R46" s="457"/>
      <c r="S46" s="457"/>
      <c r="T46" s="457"/>
      <c r="U46" s="776"/>
      <c r="V46" s="776"/>
      <c r="W46" s="776"/>
      <c r="X46" s="1291">
        <f>+O46+P46+Q46+R46</f>
        <v>0</v>
      </c>
      <c r="Y46" s="3469"/>
    </row>
    <row r="47" spans="1:29" ht="12" hidden="1" customHeight="1">
      <c r="A47" s="3481"/>
      <c r="B47" s="540" t="s">
        <v>30</v>
      </c>
      <c r="C47" s="3471"/>
      <c r="D47" s="902">
        <f t="shared" ref="D47:X47" si="50">+D48</f>
        <v>0</v>
      </c>
      <c r="E47" s="896">
        <f t="shared" si="50"/>
        <v>0</v>
      </c>
      <c r="F47" s="896">
        <f t="shared" si="50"/>
        <v>0</v>
      </c>
      <c r="G47" s="896">
        <f t="shared" si="50"/>
        <v>0</v>
      </c>
      <c r="H47" s="896">
        <f t="shared" si="50"/>
        <v>0</v>
      </c>
      <c r="I47" s="564">
        <f t="shared" si="50"/>
        <v>0</v>
      </c>
      <c r="J47" s="564">
        <f t="shared" si="50"/>
        <v>0</v>
      </c>
      <c r="K47" s="761">
        <f t="shared" si="50"/>
        <v>0</v>
      </c>
      <c r="L47" s="564">
        <f t="shared" si="50"/>
        <v>0</v>
      </c>
      <c r="M47" s="564">
        <f t="shared" si="50"/>
        <v>0</v>
      </c>
      <c r="N47" s="564">
        <f t="shared" si="50"/>
        <v>0</v>
      </c>
      <c r="O47" s="761">
        <f t="shared" si="50"/>
        <v>0</v>
      </c>
      <c r="P47" s="570"/>
      <c r="Q47" s="570"/>
      <c r="R47" s="570"/>
      <c r="S47" s="570"/>
      <c r="T47" s="570"/>
      <c r="U47" s="570"/>
      <c r="V47" s="570"/>
      <c r="W47" s="570"/>
      <c r="X47" s="1256">
        <f t="shared" si="50"/>
        <v>0</v>
      </c>
      <c r="Y47" s="3469"/>
    </row>
    <row r="48" spans="1:29" ht="13.5" hidden="1" thickBot="1">
      <c r="A48" s="3481"/>
      <c r="B48" s="899" t="s">
        <v>33</v>
      </c>
      <c r="C48" s="3471"/>
      <c r="D48" s="456"/>
      <c r="E48" s="454"/>
      <c r="F48" s="462"/>
      <c r="G48" s="462"/>
      <c r="H48" s="454"/>
      <c r="I48" s="454"/>
      <c r="J48" s="454"/>
      <c r="K48" s="454"/>
      <c r="L48" s="454"/>
      <c r="M48" s="456"/>
      <c r="N48" s="462"/>
      <c r="O48" s="462"/>
      <c r="P48" s="462"/>
      <c r="Q48" s="462"/>
      <c r="R48" s="462"/>
      <c r="S48" s="462"/>
      <c r="T48" s="462"/>
      <c r="U48" s="462"/>
      <c r="V48" s="462"/>
      <c r="W48" s="462"/>
      <c r="X48" s="1262">
        <f>SUM(P48:T48)</f>
        <v>0</v>
      </c>
      <c r="Y48" s="3469"/>
    </row>
    <row r="49" spans="1:26" ht="15.75" hidden="1" customHeight="1">
      <c r="A49" s="3481"/>
      <c r="B49" s="505" t="s">
        <v>34</v>
      </c>
      <c r="C49" s="375"/>
      <c r="D49" s="539">
        <f t="shared" ref="D49:M49" si="51">+D52</f>
        <v>0</v>
      </c>
      <c r="E49" s="464">
        <f t="shared" si="51"/>
        <v>0</v>
      </c>
      <c r="F49" s="464">
        <f t="shared" si="51"/>
        <v>0</v>
      </c>
      <c r="G49" s="464">
        <f t="shared" si="51"/>
        <v>0</v>
      </c>
      <c r="H49" s="464">
        <f t="shared" si="51"/>
        <v>0</v>
      </c>
      <c r="I49" s="464">
        <f t="shared" si="51"/>
        <v>0</v>
      </c>
      <c r="J49" s="464">
        <f t="shared" si="51"/>
        <v>0</v>
      </c>
      <c r="K49" s="464">
        <f t="shared" si="51"/>
        <v>0</v>
      </c>
      <c r="L49" s="464">
        <f t="shared" si="51"/>
        <v>0</v>
      </c>
      <c r="M49" s="464">
        <f t="shared" si="51"/>
        <v>0</v>
      </c>
      <c r="N49" s="464"/>
      <c r="O49" s="464"/>
      <c r="P49" s="464"/>
      <c r="Q49" s="464"/>
      <c r="R49" s="443"/>
      <c r="S49" s="443"/>
      <c r="T49" s="443"/>
      <c r="U49" s="443"/>
      <c r="V49" s="443"/>
      <c r="W49" s="443"/>
      <c r="X49" s="3416" t="s">
        <v>77</v>
      </c>
      <c r="Y49" s="3469"/>
    </row>
    <row r="50" spans="1:26" ht="15.75" hidden="1" customHeight="1">
      <c r="A50" s="3481"/>
      <c r="B50" s="2248"/>
      <c r="C50" s="2249"/>
      <c r="D50" s="2077"/>
      <c r="E50" s="2064"/>
      <c r="F50" s="2064"/>
      <c r="G50" s="2064"/>
      <c r="H50" s="2064"/>
      <c r="I50" s="2064"/>
      <c r="J50" s="2064"/>
      <c r="K50" s="2064"/>
      <c r="L50" s="2064"/>
      <c r="M50" s="2064"/>
      <c r="N50" s="2064"/>
      <c r="O50" s="2064"/>
      <c r="P50" s="2064"/>
      <c r="Q50" s="2064"/>
      <c r="R50" s="2250"/>
      <c r="S50" s="2250"/>
      <c r="T50" s="2250"/>
      <c r="U50" s="2250"/>
      <c r="V50" s="2250"/>
      <c r="W50" s="2250"/>
      <c r="X50" s="2953"/>
      <c r="Y50" s="3469"/>
    </row>
    <row r="51" spans="1:26" ht="15.75" hidden="1" customHeight="1">
      <c r="A51" s="3481"/>
      <c r="B51" s="2248"/>
      <c r="C51" s="2249"/>
      <c r="D51" s="2077"/>
      <c r="E51" s="2064"/>
      <c r="F51" s="2064"/>
      <c r="G51" s="2064"/>
      <c r="H51" s="2064"/>
      <c r="I51" s="2064"/>
      <c r="J51" s="2064"/>
      <c r="K51" s="2064"/>
      <c r="L51" s="2064"/>
      <c r="M51" s="2064"/>
      <c r="N51" s="2064"/>
      <c r="O51" s="2064"/>
      <c r="P51" s="2064"/>
      <c r="Q51" s="2064"/>
      <c r="R51" s="2250"/>
      <c r="S51" s="2250"/>
      <c r="T51" s="2250"/>
      <c r="U51" s="2250"/>
      <c r="V51" s="2250"/>
      <c r="W51" s="2250"/>
      <c r="X51" s="2953"/>
      <c r="Y51" s="3469"/>
    </row>
    <row r="52" spans="1:26" ht="12" hidden="1" customHeight="1">
      <c r="A52" s="3481"/>
      <c r="B52" s="540" t="s">
        <v>30</v>
      </c>
      <c r="C52" s="3039" t="s">
        <v>282</v>
      </c>
      <c r="D52" s="897">
        <f>+D53</f>
        <v>0</v>
      </c>
      <c r="E52" s="896">
        <f t="shared" ref="E52:M52" si="52">+E53</f>
        <v>0</v>
      </c>
      <c r="F52" s="896">
        <f t="shared" si="52"/>
        <v>0</v>
      </c>
      <c r="G52" s="896">
        <f t="shared" si="52"/>
        <v>0</v>
      </c>
      <c r="H52" s="896">
        <f t="shared" si="52"/>
        <v>0</v>
      </c>
      <c r="I52" s="896">
        <f t="shared" si="52"/>
        <v>0</v>
      </c>
      <c r="J52" s="896">
        <f t="shared" si="52"/>
        <v>0</v>
      </c>
      <c r="K52" s="896">
        <f t="shared" si="52"/>
        <v>0</v>
      </c>
      <c r="L52" s="896">
        <f t="shared" si="52"/>
        <v>0</v>
      </c>
      <c r="M52" s="896">
        <f t="shared" si="52"/>
        <v>0</v>
      </c>
      <c r="N52" s="896"/>
      <c r="O52" s="896"/>
      <c r="P52" s="896"/>
      <c r="Q52" s="896"/>
      <c r="R52" s="896"/>
      <c r="S52" s="896"/>
      <c r="T52" s="896"/>
      <c r="U52" s="896"/>
      <c r="V52" s="896"/>
      <c r="W52" s="896"/>
      <c r="X52" s="2953"/>
      <c r="Y52" s="3469"/>
    </row>
    <row r="53" spans="1:26" ht="13.5" hidden="1" thickBot="1">
      <c r="A53" s="3482"/>
      <c r="B53" s="899" t="s">
        <v>33</v>
      </c>
      <c r="C53" s="3472"/>
      <c r="D53" s="491"/>
      <c r="E53" s="491"/>
      <c r="F53" s="492"/>
      <c r="G53" s="491"/>
      <c r="H53" s="491"/>
      <c r="I53" s="491"/>
      <c r="J53" s="491"/>
      <c r="K53" s="491"/>
      <c r="L53" s="900"/>
      <c r="M53" s="491"/>
      <c r="N53" s="900"/>
      <c r="O53" s="900"/>
      <c r="P53" s="900"/>
      <c r="Q53" s="900"/>
      <c r="R53" s="900"/>
      <c r="S53" s="900"/>
      <c r="T53" s="900"/>
      <c r="U53" s="900"/>
      <c r="V53" s="900"/>
      <c r="W53" s="900"/>
      <c r="X53" s="2954"/>
      <c r="Y53" s="3470"/>
    </row>
    <row r="54" spans="1:26" s="2569" customFormat="1" ht="15.75" customHeight="1">
      <c r="A54" s="3478" t="s">
        <v>81</v>
      </c>
      <c r="B54" s="493" t="s">
        <v>469</v>
      </c>
      <c r="C54" s="473" t="s">
        <v>130</v>
      </c>
      <c r="D54" s="435"/>
      <c r="E54" s="436"/>
      <c r="F54" s="437"/>
      <c r="G54" s="436"/>
      <c r="H54" s="436"/>
      <c r="I54" s="436"/>
      <c r="J54" s="436"/>
      <c r="K54" s="436"/>
      <c r="L54" s="436"/>
      <c r="M54" s="438"/>
      <c r="N54" s="438"/>
      <c r="O54" s="438"/>
      <c r="P54" s="438"/>
      <c r="Q54" s="438"/>
      <c r="R54" s="438"/>
      <c r="S54" s="438"/>
      <c r="T54" s="438"/>
      <c r="U54" s="438"/>
      <c r="V54" s="438"/>
      <c r="W54" s="438"/>
      <c r="X54" s="439"/>
      <c r="Y54" s="2990" t="s">
        <v>526</v>
      </c>
    </row>
    <row r="55" spans="1:26" s="2569" customFormat="1" ht="12.75">
      <c r="A55" s="3479"/>
      <c r="B55" s="1949" t="s">
        <v>36</v>
      </c>
      <c r="C55" s="2381"/>
      <c r="D55" s="2570">
        <f>+D56+D59</f>
        <v>398692</v>
      </c>
      <c r="E55" s="2571"/>
      <c r="F55" s="2571"/>
      <c r="G55" s="2571"/>
      <c r="H55" s="2571"/>
      <c r="I55" s="2571"/>
      <c r="J55" s="2571"/>
      <c r="K55" s="2571"/>
      <c r="L55" s="2571"/>
      <c r="M55" s="2571"/>
      <c r="N55" s="2571"/>
      <c r="O55" s="2572">
        <f>+O56+O59</f>
        <v>49386</v>
      </c>
      <c r="P55" s="2572">
        <f t="shared" ref="P55:T55" si="53">+P56+P59</f>
        <v>71394</v>
      </c>
      <c r="Q55" s="2572">
        <f t="shared" si="53"/>
        <v>69478</v>
      </c>
      <c r="R55" s="2572">
        <f t="shared" si="53"/>
        <v>69478</v>
      </c>
      <c r="S55" s="2572">
        <f t="shared" si="53"/>
        <v>69478</v>
      </c>
      <c r="T55" s="2572">
        <f t="shared" si="53"/>
        <v>69478</v>
      </c>
      <c r="U55" s="2572"/>
      <c r="V55" s="2572"/>
      <c r="W55" s="2572"/>
      <c r="X55" s="2573">
        <f>+X56+X59</f>
        <v>349306</v>
      </c>
      <c r="Y55" s="2991"/>
      <c r="Z55" s="2574"/>
    </row>
    <row r="56" spans="1:26" s="2569" customFormat="1" ht="13.5" customHeight="1">
      <c r="A56" s="3479"/>
      <c r="B56" s="1941" t="s">
        <v>24</v>
      </c>
      <c r="C56" s="3024" t="s">
        <v>468</v>
      </c>
      <c r="D56" s="1948">
        <f>+D57+D58</f>
        <v>100499</v>
      </c>
      <c r="E56" s="1948"/>
      <c r="F56" s="1948"/>
      <c r="G56" s="1948"/>
      <c r="H56" s="1948"/>
      <c r="I56" s="1948"/>
      <c r="J56" s="1948"/>
      <c r="K56" s="1948"/>
      <c r="L56" s="1948"/>
      <c r="M56" s="1948"/>
      <c r="N56" s="1948"/>
      <c r="O56" s="2575">
        <f>+O57+O58</f>
        <v>12423</v>
      </c>
      <c r="P56" s="1948">
        <f>+P57+P58</f>
        <v>17998</v>
      </c>
      <c r="Q56" s="1948">
        <f t="shared" ref="Q56:T56" si="54">+Q57+Q58</f>
        <v>17519</v>
      </c>
      <c r="R56" s="1948">
        <f t="shared" si="54"/>
        <v>17519</v>
      </c>
      <c r="S56" s="1948">
        <f t="shared" si="54"/>
        <v>17520</v>
      </c>
      <c r="T56" s="1948">
        <f t="shared" si="54"/>
        <v>17520</v>
      </c>
      <c r="U56" s="1948"/>
      <c r="V56" s="1948"/>
      <c r="W56" s="1948"/>
      <c r="X56" s="2576">
        <f>+X57+X58</f>
        <v>88076</v>
      </c>
      <c r="Y56" s="2991"/>
    </row>
    <row r="57" spans="1:26" s="2569" customFormat="1" ht="12.75">
      <c r="A57" s="3479"/>
      <c r="B57" s="816" t="s">
        <v>25</v>
      </c>
      <c r="C57" s="2980"/>
      <c r="D57" s="1930">
        <f>+M57+O57+P57+Q57+R57+S57+T57+U57+V57+W57</f>
        <v>99397</v>
      </c>
      <c r="E57" s="1930"/>
      <c r="F57" s="1930"/>
      <c r="G57" s="1930"/>
      <c r="H57" s="1930"/>
      <c r="I57" s="1930"/>
      <c r="J57" s="1930"/>
      <c r="K57" s="1930"/>
      <c r="L57" s="1932"/>
      <c r="M57" s="1932"/>
      <c r="N57" s="1932"/>
      <c r="O57" s="2577">
        <v>12321</v>
      </c>
      <c r="P57" s="1932">
        <v>17798</v>
      </c>
      <c r="Q57" s="1932">
        <v>17319</v>
      </c>
      <c r="R57" s="1932">
        <v>17319</v>
      </c>
      <c r="S57" s="1932">
        <v>17320</v>
      </c>
      <c r="T57" s="1932">
        <v>17320</v>
      </c>
      <c r="U57" s="1932"/>
      <c r="V57" s="1932"/>
      <c r="W57" s="1932"/>
      <c r="X57" s="1934">
        <f>+W57+V57+U57+T57+S57+R57+Q57+P57</f>
        <v>87076</v>
      </c>
      <c r="Y57" s="2991"/>
      <c r="Z57" s="2574"/>
    </row>
    <row r="58" spans="1:26" s="2569" customFormat="1" ht="13.5" customHeight="1">
      <c r="A58" s="3479"/>
      <c r="B58" s="2059" t="s">
        <v>24</v>
      </c>
      <c r="C58" s="2980"/>
      <c r="D58" s="1930">
        <f>+M58+O58+P58+Q58+R58+S58+T58+U58+V58+W58</f>
        <v>1102</v>
      </c>
      <c r="E58" s="1937"/>
      <c r="F58" s="2578"/>
      <c r="G58" s="1937"/>
      <c r="H58" s="1937"/>
      <c r="I58" s="1937"/>
      <c r="J58" s="1937"/>
      <c r="K58" s="1937"/>
      <c r="L58" s="1548"/>
      <c r="M58" s="1932"/>
      <c r="N58" s="1548"/>
      <c r="O58" s="1548">
        <v>102</v>
      </c>
      <c r="P58" s="1548">
        <v>200</v>
      </c>
      <c r="Q58" s="1931">
        <v>200</v>
      </c>
      <c r="R58" s="1931">
        <v>200</v>
      </c>
      <c r="S58" s="1931">
        <v>200</v>
      </c>
      <c r="T58" s="1931">
        <v>200</v>
      </c>
      <c r="U58" s="1931"/>
      <c r="V58" s="1931"/>
      <c r="W58" s="1931"/>
      <c r="X58" s="1934">
        <f>+W58+V58+U58+T58+S58+R58+Q58+P58</f>
        <v>1000</v>
      </c>
      <c r="Y58" s="2991"/>
    </row>
    <row r="59" spans="1:26" s="2569" customFormat="1" ht="13.5" customHeight="1">
      <c r="A59" s="3479"/>
      <c r="B59" s="2579" t="s">
        <v>30</v>
      </c>
      <c r="C59" s="2980"/>
      <c r="D59" s="1935">
        <f>+D60</f>
        <v>298193</v>
      </c>
      <c r="E59" s="1545"/>
      <c r="F59" s="1545"/>
      <c r="G59" s="1545"/>
      <c r="H59" s="1545"/>
      <c r="I59" s="1545"/>
      <c r="J59" s="1545"/>
      <c r="K59" s="1545"/>
      <c r="L59" s="1545"/>
      <c r="M59" s="1545"/>
      <c r="N59" s="1545"/>
      <c r="O59" s="1545">
        <f>+O60</f>
        <v>36963</v>
      </c>
      <c r="P59" s="1545">
        <f t="shared" ref="P59:T59" si="55">+P60</f>
        <v>53396</v>
      </c>
      <c r="Q59" s="1545">
        <f t="shared" si="55"/>
        <v>51959</v>
      </c>
      <c r="R59" s="1545">
        <f t="shared" si="55"/>
        <v>51959</v>
      </c>
      <c r="S59" s="1545">
        <f t="shared" si="55"/>
        <v>51958</v>
      </c>
      <c r="T59" s="1545">
        <f t="shared" si="55"/>
        <v>51958</v>
      </c>
      <c r="U59" s="1545"/>
      <c r="V59" s="1545"/>
      <c r="W59" s="1545"/>
      <c r="X59" s="2580">
        <f>+X60</f>
        <v>261230</v>
      </c>
      <c r="Y59" s="2991"/>
    </row>
    <row r="60" spans="1:26" s="2569" customFormat="1" ht="13.5" customHeight="1">
      <c r="A60" s="3479"/>
      <c r="B60" s="1952" t="s">
        <v>32</v>
      </c>
      <c r="C60" s="2981"/>
      <c r="D60" s="2581">
        <f>+M60+O60+P60+Q60+R60+S60+T60+U60+V60+W60</f>
        <v>298193</v>
      </c>
      <c r="E60" s="1937"/>
      <c r="F60" s="2578"/>
      <c r="G60" s="1937"/>
      <c r="H60" s="1937"/>
      <c r="I60" s="1937"/>
      <c r="J60" s="1937"/>
      <c r="K60" s="1937"/>
      <c r="L60" s="1937"/>
      <c r="M60" s="1937"/>
      <c r="N60" s="1937"/>
      <c r="O60" s="1937">
        <v>36963</v>
      </c>
      <c r="P60" s="1937">
        <v>53396</v>
      </c>
      <c r="Q60" s="1938">
        <v>51959</v>
      </c>
      <c r="R60" s="1938">
        <v>51959</v>
      </c>
      <c r="S60" s="1938">
        <v>51958</v>
      </c>
      <c r="T60" s="1938">
        <v>51958</v>
      </c>
      <c r="U60" s="1938"/>
      <c r="V60" s="1938"/>
      <c r="W60" s="1938"/>
      <c r="X60" s="1934">
        <f>+W60+V60+U60+T60+S60+R60+Q60+P60</f>
        <v>261230</v>
      </c>
      <c r="Y60" s="2991"/>
      <c r="Z60" s="2574"/>
    </row>
    <row r="61" spans="1:26" s="2569" customFormat="1" ht="12.75">
      <c r="A61" s="3479"/>
      <c r="B61" s="505" t="s">
        <v>34</v>
      </c>
      <c r="C61" s="2381"/>
      <c r="D61" s="1940">
        <f>+D62+D64</f>
        <v>397590</v>
      </c>
      <c r="E61" s="1940"/>
      <c r="F61" s="1940"/>
      <c r="G61" s="1940"/>
      <c r="H61" s="1940"/>
      <c r="I61" s="1940"/>
      <c r="J61" s="1940"/>
      <c r="K61" s="1940"/>
      <c r="L61" s="1940"/>
      <c r="M61" s="1940"/>
      <c r="N61" s="1940"/>
      <c r="O61" s="1940">
        <f>+O62+O64</f>
        <v>0</v>
      </c>
      <c r="P61" s="1940">
        <f>+P62+P64</f>
        <v>0</v>
      </c>
      <c r="Q61" s="1940">
        <f t="shared" ref="Q61:U61" si="56">+Q62+Q64</f>
        <v>120478</v>
      </c>
      <c r="R61" s="1940">
        <f t="shared" si="56"/>
        <v>69278</v>
      </c>
      <c r="S61" s="1940">
        <f t="shared" si="56"/>
        <v>69278</v>
      </c>
      <c r="T61" s="1940">
        <f t="shared" si="56"/>
        <v>69278</v>
      </c>
      <c r="U61" s="1940">
        <f t="shared" si="56"/>
        <v>69278</v>
      </c>
      <c r="V61" s="2572"/>
      <c r="W61" s="2572"/>
      <c r="X61" s="3483" t="s">
        <v>77</v>
      </c>
      <c r="Y61" s="2991"/>
    </row>
    <row r="62" spans="1:26" s="2569" customFormat="1" ht="13.5" customHeight="1">
      <c r="A62" s="3479"/>
      <c r="B62" s="504" t="s">
        <v>36</v>
      </c>
      <c r="C62" s="3088" t="s">
        <v>468</v>
      </c>
      <c r="D62" s="2582">
        <f>+D63</f>
        <v>99397</v>
      </c>
      <c r="E62" s="2583"/>
      <c r="F62" s="2583"/>
      <c r="G62" s="2583"/>
      <c r="H62" s="2583"/>
      <c r="I62" s="2583"/>
      <c r="J62" s="2583"/>
      <c r="K62" s="2583"/>
      <c r="L62" s="2583"/>
      <c r="M62" s="2583"/>
      <c r="N62" s="2583"/>
      <c r="O62" s="2583">
        <f>+O63</f>
        <v>0</v>
      </c>
      <c r="P62" s="2583">
        <f>+P63</f>
        <v>0</v>
      </c>
      <c r="Q62" s="2583">
        <f t="shared" ref="Q62:U62" si="57">+Q63</f>
        <v>30119</v>
      </c>
      <c r="R62" s="2583">
        <f t="shared" si="57"/>
        <v>17319</v>
      </c>
      <c r="S62" s="2583">
        <f t="shared" si="57"/>
        <v>17319</v>
      </c>
      <c r="T62" s="2583">
        <f t="shared" si="57"/>
        <v>17320</v>
      </c>
      <c r="U62" s="2583">
        <f t="shared" si="57"/>
        <v>17320</v>
      </c>
      <c r="V62" s="2583"/>
      <c r="W62" s="2583"/>
      <c r="X62" s="2953"/>
      <c r="Y62" s="2991"/>
    </row>
    <row r="63" spans="1:26" s="2569" customFormat="1" ht="12.75">
      <c r="A63" s="3479"/>
      <c r="B63" s="816" t="s">
        <v>25</v>
      </c>
      <c r="C63" s="3040"/>
      <c r="D63" s="1548">
        <f>+M63+O63+P63+Q63+R63+S63+T63+U63+V63+W63</f>
        <v>99397</v>
      </c>
      <c r="E63" s="1548"/>
      <c r="F63" s="1931"/>
      <c r="G63" s="1548"/>
      <c r="H63" s="1548"/>
      <c r="I63" s="1548"/>
      <c r="J63" s="1548"/>
      <c r="K63" s="1548"/>
      <c r="L63" s="2584"/>
      <c r="M63" s="1548"/>
      <c r="N63" s="2584"/>
      <c r="O63" s="2584"/>
      <c r="P63" s="1931">
        <v>0</v>
      </c>
      <c r="Q63" s="1932">
        <v>30119</v>
      </c>
      <c r="R63" s="1932">
        <v>17319</v>
      </c>
      <c r="S63" s="1932">
        <v>17319</v>
      </c>
      <c r="T63" s="1932">
        <v>17320</v>
      </c>
      <c r="U63" s="1932">
        <v>17320</v>
      </c>
      <c r="V63" s="2585"/>
      <c r="W63" s="2585"/>
      <c r="X63" s="2953"/>
      <c r="Y63" s="2991"/>
    </row>
    <row r="64" spans="1:26" s="2569" customFormat="1" ht="12.75">
      <c r="A64" s="3479"/>
      <c r="B64" s="2586" t="s">
        <v>30</v>
      </c>
      <c r="C64" s="3040"/>
      <c r="D64" s="2587">
        <f>+D65</f>
        <v>298193</v>
      </c>
      <c r="E64" s="2587"/>
      <c r="F64" s="2587"/>
      <c r="G64" s="2587"/>
      <c r="H64" s="2587"/>
      <c r="I64" s="2587"/>
      <c r="J64" s="2587"/>
      <c r="K64" s="2587"/>
      <c r="L64" s="2587"/>
      <c r="M64" s="2587"/>
      <c r="N64" s="2587"/>
      <c r="O64" s="2587"/>
      <c r="P64" s="2587">
        <v>0</v>
      </c>
      <c r="Q64" s="2587">
        <f t="shared" ref="Q64:U64" si="58">+Q65</f>
        <v>90359</v>
      </c>
      <c r="R64" s="2587">
        <f t="shared" si="58"/>
        <v>51959</v>
      </c>
      <c r="S64" s="2587">
        <f t="shared" si="58"/>
        <v>51959</v>
      </c>
      <c r="T64" s="2587">
        <f t="shared" si="58"/>
        <v>51958</v>
      </c>
      <c r="U64" s="2587">
        <f t="shared" si="58"/>
        <v>51958</v>
      </c>
      <c r="V64" s="2588"/>
      <c r="W64" s="2588"/>
      <c r="X64" s="2953"/>
      <c r="Y64" s="2991"/>
    </row>
    <row r="65" spans="1:25" s="2569" customFormat="1" ht="13.5" thickBot="1">
      <c r="A65" s="3480"/>
      <c r="B65" s="573" t="s">
        <v>32</v>
      </c>
      <c r="C65" s="3484"/>
      <c r="D65" s="491">
        <f>+M65+O65+P65+Q65+R65+S65+T65+U65+V65+W65</f>
        <v>298193</v>
      </c>
      <c r="E65" s="491"/>
      <c r="F65" s="492"/>
      <c r="G65" s="491"/>
      <c r="H65" s="491"/>
      <c r="I65" s="491"/>
      <c r="J65" s="491"/>
      <c r="K65" s="491"/>
      <c r="L65" s="900"/>
      <c r="M65" s="491"/>
      <c r="N65" s="900"/>
      <c r="O65" s="900"/>
      <c r="P65" s="492">
        <v>0</v>
      </c>
      <c r="Q65" s="491">
        <v>90359</v>
      </c>
      <c r="R65" s="491">
        <v>51959</v>
      </c>
      <c r="S65" s="491">
        <v>51959</v>
      </c>
      <c r="T65" s="491">
        <v>51958</v>
      </c>
      <c r="U65" s="491">
        <v>51958</v>
      </c>
      <c r="V65" s="943"/>
      <c r="W65" s="943"/>
      <c r="X65" s="2954"/>
      <c r="Y65" s="3025"/>
    </row>
    <row r="66" spans="1:25" ht="28.5" customHeight="1" thickBot="1">
      <c r="A66" s="734" t="s">
        <v>411</v>
      </c>
      <c r="B66" s="735"/>
      <c r="C66" s="735"/>
      <c r="D66" s="735"/>
      <c r="E66" s="736"/>
      <c r="F66" s="2220"/>
      <c r="G66" s="2220"/>
      <c r="H66" s="2220"/>
      <c r="I66" s="2221"/>
      <c r="J66" s="2221"/>
      <c r="K66" s="2221"/>
      <c r="L66" s="2221"/>
      <c r="M66" s="735"/>
      <c r="N66" s="735"/>
      <c r="O66" s="735"/>
      <c r="P66" s="735"/>
      <c r="Q66" s="735"/>
      <c r="R66" s="735"/>
      <c r="S66" s="735"/>
      <c r="T66" s="735"/>
      <c r="U66" s="735"/>
      <c r="V66" s="735"/>
      <c r="W66" s="735"/>
      <c r="X66" s="737"/>
      <c r="Y66" s="738"/>
    </row>
    <row r="67" spans="1:25" ht="13.5" customHeight="1">
      <c r="A67" s="732"/>
      <c r="B67" s="801" t="s">
        <v>92</v>
      </c>
      <c r="C67" s="802"/>
      <c r="D67" s="803">
        <f>+D68+D69</f>
        <v>107083</v>
      </c>
      <c r="E67" s="803" t="e">
        <f t="shared" ref="E67:Q67" si="59">+E68+E69</f>
        <v>#REF!</v>
      </c>
      <c r="F67" s="1438" t="e">
        <f t="shared" si="59"/>
        <v>#REF!</v>
      </c>
      <c r="G67" s="1438" t="e">
        <f t="shared" si="59"/>
        <v>#REF!</v>
      </c>
      <c r="H67" s="1438" t="e">
        <f t="shared" si="59"/>
        <v>#REF!</v>
      </c>
      <c r="I67" s="1439" t="e">
        <f t="shared" si="59"/>
        <v>#REF!</v>
      </c>
      <c r="J67" s="1439" t="e">
        <f t="shared" si="59"/>
        <v>#REF!</v>
      </c>
      <c r="K67" s="1439" t="e">
        <f t="shared" si="59"/>
        <v>#REF!</v>
      </c>
      <c r="L67" s="1439" t="e">
        <f t="shared" si="59"/>
        <v>#REF!</v>
      </c>
      <c r="M67" s="803">
        <f t="shared" si="59"/>
        <v>0</v>
      </c>
      <c r="N67" s="803" t="e">
        <f t="shared" si="59"/>
        <v>#REF!</v>
      </c>
      <c r="O67" s="803">
        <f t="shared" si="59"/>
        <v>0</v>
      </c>
      <c r="P67" s="803">
        <f t="shared" si="59"/>
        <v>27805</v>
      </c>
      <c r="Q67" s="803">
        <f t="shared" si="59"/>
        <v>26855</v>
      </c>
      <c r="R67" s="803">
        <f>+R68+R69</f>
        <v>26856</v>
      </c>
      <c r="S67" s="803">
        <f>+S68+S69</f>
        <v>25567</v>
      </c>
      <c r="T67" s="803">
        <f t="shared" ref="T67:W67" si="60">+T68+T69</f>
        <v>0</v>
      </c>
      <c r="U67" s="803">
        <f t="shared" si="60"/>
        <v>0</v>
      </c>
      <c r="V67" s="803">
        <f t="shared" si="60"/>
        <v>0</v>
      </c>
      <c r="W67" s="803">
        <f t="shared" si="60"/>
        <v>0</v>
      </c>
      <c r="X67" s="676">
        <f>+X68+X69</f>
        <v>107083</v>
      </c>
      <c r="Y67" s="3265" t="s">
        <v>77</v>
      </c>
    </row>
    <row r="68" spans="1:25" ht="16.5" customHeight="1" thickBot="1">
      <c r="A68" s="732"/>
      <c r="B68" s="792" t="s">
        <v>93</v>
      </c>
      <c r="C68" s="793"/>
      <c r="D68" s="794">
        <f>+D78</f>
        <v>107083</v>
      </c>
      <c r="E68" s="794" t="e">
        <f>+#REF!+E85</f>
        <v>#REF!</v>
      </c>
      <c r="F68" s="1440" t="e">
        <f>+#REF!+F85</f>
        <v>#REF!</v>
      </c>
      <c r="G68" s="1440" t="e">
        <f>+#REF!+G85</f>
        <v>#REF!</v>
      </c>
      <c r="H68" s="1440" t="e">
        <f>+#REF!+H85</f>
        <v>#REF!</v>
      </c>
      <c r="I68" s="1441" t="e">
        <f>+#REF!+I85</f>
        <v>#REF!</v>
      </c>
      <c r="J68" s="1441" t="e">
        <f>+#REF!+J85</f>
        <v>#REF!</v>
      </c>
      <c r="K68" s="1441" t="e">
        <f>+#REF!+K85</f>
        <v>#REF!</v>
      </c>
      <c r="L68" s="1441" t="e">
        <f>+#REF!+L85</f>
        <v>#REF!</v>
      </c>
      <c r="M68" s="794">
        <f>+M78</f>
        <v>0</v>
      </c>
      <c r="N68" s="794" t="e">
        <f>+#REF!+N85</f>
        <v>#REF!</v>
      </c>
      <c r="O68" s="794">
        <f t="shared" ref="O68:W68" si="61">+O78</f>
        <v>0</v>
      </c>
      <c r="P68" s="794">
        <f t="shared" si="61"/>
        <v>27805</v>
      </c>
      <c r="Q68" s="794">
        <f t="shared" si="61"/>
        <v>26855</v>
      </c>
      <c r="R68" s="794">
        <f t="shared" si="61"/>
        <v>26856</v>
      </c>
      <c r="S68" s="794">
        <f t="shared" si="61"/>
        <v>25567</v>
      </c>
      <c r="T68" s="794">
        <f t="shared" si="61"/>
        <v>0</v>
      </c>
      <c r="U68" s="794">
        <f t="shared" si="61"/>
        <v>0</v>
      </c>
      <c r="V68" s="794">
        <f t="shared" si="61"/>
        <v>0</v>
      </c>
      <c r="W68" s="794">
        <f t="shared" si="61"/>
        <v>0</v>
      </c>
      <c r="X68" s="2222">
        <f>SUM(P68:T68)</f>
        <v>107083</v>
      </c>
      <c r="Y68" s="3266"/>
    </row>
    <row r="69" spans="1:25" ht="12.75" hidden="1" thickBot="1">
      <c r="A69" s="732"/>
      <c r="B69" s="804" t="s">
        <v>21</v>
      </c>
      <c r="C69" s="793"/>
      <c r="D69" s="794"/>
      <c r="E69" s="794">
        <f>+E78</f>
        <v>0</v>
      </c>
      <c r="F69" s="1440">
        <f>F78</f>
        <v>0</v>
      </c>
      <c r="G69" s="1440">
        <f>G78</f>
        <v>0</v>
      </c>
      <c r="H69" s="1440">
        <f>H78</f>
        <v>0</v>
      </c>
      <c r="I69" s="1441">
        <f>+I78</f>
        <v>0</v>
      </c>
      <c r="J69" s="1441">
        <f>+J78</f>
        <v>0</v>
      </c>
      <c r="K69" s="1441">
        <f t="shared" ref="K69:N69" si="62">+K78</f>
        <v>0</v>
      </c>
      <c r="L69" s="1441">
        <f t="shared" si="62"/>
        <v>0</v>
      </c>
      <c r="M69" s="794"/>
      <c r="N69" s="794">
        <f t="shared" si="62"/>
        <v>0</v>
      </c>
      <c r="O69" s="794"/>
      <c r="P69" s="794"/>
      <c r="Q69" s="794"/>
      <c r="R69" s="1442"/>
      <c r="S69" s="1442"/>
      <c r="T69" s="1442"/>
      <c r="U69" s="1442"/>
      <c r="V69" s="1442"/>
      <c r="W69" s="1442"/>
      <c r="X69" s="678">
        <f>SUM(P69:T69)</f>
        <v>0</v>
      </c>
      <c r="Y69" s="3266"/>
    </row>
    <row r="70" spans="1:25" ht="15.75" customHeight="1">
      <c r="A70" s="1443"/>
      <c r="B70" s="712" t="s">
        <v>22</v>
      </c>
      <c r="C70" s="713"/>
      <c r="D70" s="682">
        <f>+D71</f>
        <v>107083</v>
      </c>
      <c r="E70" s="682">
        <f t="shared" ref="E70:W71" si="63">+E71</f>
        <v>0</v>
      </c>
      <c r="F70" s="1323">
        <f t="shared" si="63"/>
        <v>0</v>
      </c>
      <c r="G70" s="1323">
        <f t="shared" si="63"/>
        <v>0</v>
      </c>
      <c r="H70" s="1323">
        <f t="shared" si="63"/>
        <v>0</v>
      </c>
      <c r="I70" s="1324">
        <f t="shared" si="63"/>
        <v>0</v>
      </c>
      <c r="J70" s="1324">
        <f t="shared" si="63"/>
        <v>0</v>
      </c>
      <c r="K70" s="1324">
        <f t="shared" si="63"/>
        <v>0</v>
      </c>
      <c r="L70" s="1324">
        <f t="shared" si="63"/>
        <v>0</v>
      </c>
      <c r="M70" s="682">
        <f t="shared" si="63"/>
        <v>0</v>
      </c>
      <c r="N70" s="682">
        <f t="shared" si="63"/>
        <v>0</v>
      </c>
      <c r="O70" s="682">
        <f t="shared" si="63"/>
        <v>0</v>
      </c>
      <c r="P70" s="682">
        <f t="shared" si="63"/>
        <v>27805</v>
      </c>
      <c r="Q70" s="682">
        <f t="shared" si="63"/>
        <v>26855</v>
      </c>
      <c r="R70" s="682">
        <f t="shared" si="63"/>
        <v>26856</v>
      </c>
      <c r="S70" s="682">
        <f t="shared" si="63"/>
        <v>25567</v>
      </c>
      <c r="T70" s="682">
        <f t="shared" si="63"/>
        <v>0</v>
      </c>
      <c r="U70" s="682">
        <f t="shared" si="63"/>
        <v>0</v>
      </c>
      <c r="V70" s="682">
        <f t="shared" si="63"/>
        <v>0</v>
      </c>
      <c r="W70" s="682">
        <f t="shared" si="63"/>
        <v>0</v>
      </c>
      <c r="X70" s="1444">
        <f>+X71</f>
        <v>107083</v>
      </c>
      <c r="Y70" s="3266"/>
    </row>
    <row r="71" spans="1:25" ht="15" customHeight="1">
      <c r="A71" s="740"/>
      <c r="B71" s="683" t="s">
        <v>23</v>
      </c>
      <c r="C71" s="3421" t="s">
        <v>77</v>
      </c>
      <c r="D71" s="741">
        <f>+D72+D73</f>
        <v>107083</v>
      </c>
      <c r="E71" s="741">
        <f t="shared" si="63"/>
        <v>0</v>
      </c>
      <c r="F71" s="2223">
        <f t="shared" si="63"/>
        <v>0</v>
      </c>
      <c r="G71" s="2223">
        <f t="shared" si="63"/>
        <v>0</v>
      </c>
      <c r="H71" s="2223">
        <f t="shared" si="63"/>
        <v>0</v>
      </c>
      <c r="I71" s="2224">
        <f t="shared" si="63"/>
        <v>0</v>
      </c>
      <c r="J71" s="2224">
        <f t="shared" si="63"/>
        <v>0</v>
      </c>
      <c r="K71" s="2224">
        <f t="shared" si="63"/>
        <v>0</v>
      </c>
      <c r="L71" s="2224">
        <f t="shared" si="63"/>
        <v>0</v>
      </c>
      <c r="M71" s="741">
        <f t="shared" si="63"/>
        <v>0</v>
      </c>
      <c r="N71" s="741">
        <f>+N72+N73</f>
        <v>0</v>
      </c>
      <c r="O71" s="741">
        <f>+O72+O73</f>
        <v>0</v>
      </c>
      <c r="P71" s="741">
        <f t="shared" si="63"/>
        <v>27805</v>
      </c>
      <c r="Q71" s="741">
        <f t="shared" si="63"/>
        <v>26855</v>
      </c>
      <c r="R71" s="741">
        <f t="shared" si="63"/>
        <v>26856</v>
      </c>
      <c r="S71" s="741">
        <f t="shared" si="63"/>
        <v>25567</v>
      </c>
      <c r="T71" s="741">
        <f t="shared" si="63"/>
        <v>0</v>
      </c>
      <c r="U71" s="741">
        <f t="shared" si="63"/>
        <v>0</v>
      </c>
      <c r="V71" s="741">
        <f t="shared" si="63"/>
        <v>0</v>
      </c>
      <c r="W71" s="741">
        <f t="shared" si="63"/>
        <v>0</v>
      </c>
      <c r="X71" s="2225">
        <f>+X72+X73</f>
        <v>107083</v>
      </c>
      <c r="Y71" s="3266"/>
    </row>
    <row r="72" spans="1:25" ht="15" customHeight="1" thickBot="1">
      <c r="A72" s="685"/>
      <c r="B72" s="686" t="s">
        <v>24</v>
      </c>
      <c r="C72" s="3269"/>
      <c r="D72" s="742">
        <f>+D80+D83+D87</f>
        <v>107083</v>
      </c>
      <c r="E72" s="742">
        <f t="shared" ref="E72:L72" si="64">+E80+E83</f>
        <v>0</v>
      </c>
      <c r="F72" s="2226">
        <f t="shared" si="64"/>
        <v>0</v>
      </c>
      <c r="G72" s="2226">
        <f t="shared" si="64"/>
        <v>0</v>
      </c>
      <c r="H72" s="2226">
        <f t="shared" si="64"/>
        <v>0</v>
      </c>
      <c r="I72" s="2227">
        <f t="shared" si="64"/>
        <v>0</v>
      </c>
      <c r="J72" s="2227">
        <f t="shared" si="64"/>
        <v>0</v>
      </c>
      <c r="K72" s="2227">
        <f t="shared" si="64"/>
        <v>0</v>
      </c>
      <c r="L72" s="2227">
        <f t="shared" si="64"/>
        <v>0</v>
      </c>
      <c r="M72" s="742">
        <f>+M80+M83+M87</f>
        <v>0</v>
      </c>
      <c r="N72" s="742">
        <f>+N80+N83+N87</f>
        <v>0</v>
      </c>
      <c r="O72" s="742">
        <f>+O80+O83+O87</f>
        <v>0</v>
      </c>
      <c r="P72" s="742">
        <f>+P80+P83+P87</f>
        <v>27805</v>
      </c>
      <c r="Q72" s="742">
        <f t="shared" ref="Q72:W72" si="65">+Q80+Q83</f>
        <v>26855</v>
      </c>
      <c r="R72" s="742">
        <f t="shared" si="65"/>
        <v>26856</v>
      </c>
      <c r="S72" s="742">
        <f t="shared" si="65"/>
        <v>25567</v>
      </c>
      <c r="T72" s="742">
        <f t="shared" si="65"/>
        <v>0</v>
      </c>
      <c r="U72" s="742">
        <f t="shared" si="65"/>
        <v>0</v>
      </c>
      <c r="V72" s="742">
        <f t="shared" si="65"/>
        <v>0</v>
      </c>
      <c r="W72" s="742">
        <f t="shared" si="65"/>
        <v>0</v>
      </c>
      <c r="X72" s="743">
        <f>SUM(P72:W72)</f>
        <v>107083</v>
      </c>
      <c r="Y72" s="3266"/>
    </row>
    <row r="73" spans="1:25" ht="12.75" hidden="1" thickBot="1">
      <c r="A73" s="685"/>
      <c r="B73" s="686" t="s">
        <v>26</v>
      </c>
      <c r="C73" s="3477"/>
      <c r="D73" s="742">
        <f>+D88</f>
        <v>0</v>
      </c>
      <c r="E73" s="742">
        <f>+E88</f>
        <v>0</v>
      </c>
      <c r="F73" s="2226">
        <f t="shared" ref="F73:T73" si="66">+F88</f>
        <v>0</v>
      </c>
      <c r="G73" s="2226">
        <f t="shared" si="66"/>
        <v>0</v>
      </c>
      <c r="H73" s="2226">
        <f t="shared" si="66"/>
        <v>0</v>
      </c>
      <c r="I73" s="2227">
        <f t="shared" si="66"/>
        <v>0</v>
      </c>
      <c r="J73" s="2227">
        <f t="shared" si="66"/>
        <v>0</v>
      </c>
      <c r="K73" s="2227">
        <f t="shared" si="66"/>
        <v>0</v>
      </c>
      <c r="L73" s="2227">
        <f t="shared" si="66"/>
        <v>0</v>
      </c>
      <c r="M73" s="742">
        <f t="shared" si="66"/>
        <v>0</v>
      </c>
      <c r="N73" s="742">
        <f t="shared" si="66"/>
        <v>0</v>
      </c>
      <c r="O73" s="742">
        <f t="shared" si="66"/>
        <v>0</v>
      </c>
      <c r="P73" s="742">
        <f t="shared" si="66"/>
        <v>0</v>
      </c>
      <c r="Q73" s="742">
        <f t="shared" si="66"/>
        <v>0</v>
      </c>
      <c r="R73" s="742">
        <f t="shared" si="66"/>
        <v>0</v>
      </c>
      <c r="S73" s="742">
        <f t="shared" si="66"/>
        <v>0</v>
      </c>
      <c r="T73" s="742">
        <f t="shared" si="66"/>
        <v>0</v>
      </c>
      <c r="U73" s="742"/>
      <c r="V73" s="742"/>
      <c r="W73" s="742"/>
      <c r="X73" s="743">
        <f>SUM(P73:W73)</f>
        <v>0</v>
      </c>
      <c r="Y73" s="3266"/>
    </row>
    <row r="74" spans="1:25" ht="12" hidden="1" customHeight="1">
      <c r="A74" s="679"/>
      <c r="B74" s="517" t="s">
        <v>34</v>
      </c>
      <c r="C74" s="538"/>
      <c r="D74" s="739">
        <f>+D75</f>
        <v>0</v>
      </c>
      <c r="E74" s="739">
        <f t="shared" ref="E74:M75" si="67">+E75</f>
        <v>0</v>
      </c>
      <c r="F74" s="1457">
        <f t="shared" si="67"/>
        <v>0</v>
      </c>
      <c r="G74" s="1457">
        <f t="shared" si="67"/>
        <v>0</v>
      </c>
      <c r="H74" s="1457">
        <f t="shared" si="67"/>
        <v>0</v>
      </c>
      <c r="I74" s="1458">
        <f t="shared" si="67"/>
        <v>0</v>
      </c>
      <c r="J74" s="1458">
        <f t="shared" si="67"/>
        <v>0</v>
      </c>
      <c r="K74" s="1458">
        <f t="shared" si="67"/>
        <v>0</v>
      </c>
      <c r="L74" s="1458">
        <f t="shared" si="67"/>
        <v>0</v>
      </c>
      <c r="M74" s="739">
        <f t="shared" si="67"/>
        <v>0</v>
      </c>
      <c r="N74" s="739">
        <f>+N75</f>
        <v>0</v>
      </c>
      <c r="O74" s="739">
        <f>+O75</f>
        <v>0</v>
      </c>
      <c r="P74" s="739">
        <f t="shared" ref="P74:T75" si="68">+P75</f>
        <v>0</v>
      </c>
      <c r="Q74" s="739">
        <f t="shared" si="68"/>
        <v>0</v>
      </c>
      <c r="R74" s="739">
        <f t="shared" si="68"/>
        <v>0</v>
      </c>
      <c r="S74" s="739">
        <f t="shared" si="68"/>
        <v>0</v>
      </c>
      <c r="T74" s="739">
        <f t="shared" si="68"/>
        <v>0</v>
      </c>
      <c r="U74" s="739"/>
      <c r="V74" s="739"/>
      <c r="W74" s="739"/>
      <c r="X74" s="3213" t="s">
        <v>77</v>
      </c>
      <c r="Y74" s="3266"/>
    </row>
    <row r="75" spans="1:25" ht="12" hidden="1" customHeight="1">
      <c r="A75" s="679"/>
      <c r="B75" s="683" t="s">
        <v>23</v>
      </c>
      <c r="C75" s="3421" t="s">
        <v>77</v>
      </c>
      <c r="D75" s="741">
        <f>+D76</f>
        <v>0</v>
      </c>
      <c r="E75" s="741">
        <f t="shared" si="67"/>
        <v>0</v>
      </c>
      <c r="F75" s="2223">
        <f t="shared" si="67"/>
        <v>0</v>
      </c>
      <c r="G75" s="2223">
        <f t="shared" si="67"/>
        <v>0</v>
      </c>
      <c r="H75" s="2223">
        <f t="shared" si="67"/>
        <v>0</v>
      </c>
      <c r="I75" s="2224">
        <f t="shared" si="67"/>
        <v>0</v>
      </c>
      <c r="J75" s="2224">
        <f t="shared" si="67"/>
        <v>0</v>
      </c>
      <c r="K75" s="2224">
        <f>+K76</f>
        <v>0</v>
      </c>
      <c r="L75" s="2224">
        <f t="shared" si="67"/>
        <v>0</v>
      </c>
      <c r="M75" s="741">
        <f t="shared" si="67"/>
        <v>0</v>
      </c>
      <c r="N75" s="741">
        <f>+N76</f>
        <v>0</v>
      </c>
      <c r="O75" s="741">
        <f t="shared" ref="O75" si="69">+O76</f>
        <v>0</v>
      </c>
      <c r="P75" s="741">
        <f t="shared" si="68"/>
        <v>0</v>
      </c>
      <c r="Q75" s="741">
        <f t="shared" si="68"/>
        <v>0</v>
      </c>
      <c r="R75" s="741">
        <f t="shared" si="68"/>
        <v>0</v>
      </c>
      <c r="S75" s="741">
        <f t="shared" si="68"/>
        <v>0</v>
      </c>
      <c r="T75" s="741">
        <f t="shared" si="68"/>
        <v>0</v>
      </c>
      <c r="U75" s="741"/>
      <c r="V75" s="741"/>
      <c r="W75" s="741"/>
      <c r="X75" s="3214"/>
      <c r="Y75" s="3266"/>
    </row>
    <row r="76" spans="1:25" ht="12.75" hidden="1" customHeight="1" thickBot="1">
      <c r="A76" s="685"/>
      <c r="B76" s="686" t="s">
        <v>26</v>
      </c>
      <c r="C76" s="3269"/>
      <c r="D76" s="742">
        <f>+D91</f>
        <v>0</v>
      </c>
      <c r="E76" s="742">
        <f>+E91</f>
        <v>0</v>
      </c>
      <c r="F76" s="2226">
        <f t="shared" ref="F76:T76" si="70">+F91</f>
        <v>0</v>
      </c>
      <c r="G76" s="2226">
        <f t="shared" si="70"/>
        <v>0</v>
      </c>
      <c r="H76" s="2226">
        <f t="shared" si="70"/>
        <v>0</v>
      </c>
      <c r="I76" s="2227">
        <f t="shared" si="70"/>
        <v>0</v>
      </c>
      <c r="J76" s="2227">
        <f t="shared" si="70"/>
        <v>0</v>
      </c>
      <c r="K76" s="2227">
        <f t="shared" si="70"/>
        <v>0</v>
      </c>
      <c r="L76" s="2227">
        <f t="shared" si="70"/>
        <v>0</v>
      </c>
      <c r="M76" s="742">
        <f t="shared" si="70"/>
        <v>0</v>
      </c>
      <c r="N76" s="742">
        <f t="shared" si="70"/>
        <v>0</v>
      </c>
      <c r="O76" s="742">
        <f t="shared" si="70"/>
        <v>0</v>
      </c>
      <c r="P76" s="742">
        <f>+P91</f>
        <v>0</v>
      </c>
      <c r="Q76" s="742">
        <f t="shared" si="70"/>
        <v>0</v>
      </c>
      <c r="R76" s="742">
        <f t="shared" si="70"/>
        <v>0</v>
      </c>
      <c r="S76" s="742">
        <f t="shared" si="70"/>
        <v>0</v>
      </c>
      <c r="T76" s="742">
        <f t="shared" si="70"/>
        <v>0</v>
      </c>
      <c r="U76" s="1459"/>
      <c r="V76" s="1459"/>
      <c r="W76" s="1459"/>
      <c r="X76" s="3215"/>
      <c r="Y76" s="3267"/>
    </row>
    <row r="77" spans="1:25" ht="18" customHeight="1">
      <c r="A77" s="3207" t="s">
        <v>79</v>
      </c>
      <c r="B77" s="1460" t="s">
        <v>446</v>
      </c>
      <c r="C77" s="890" t="s">
        <v>130</v>
      </c>
      <c r="D77" s="2228"/>
      <c r="E77" s="1870"/>
      <c r="F77" s="2229"/>
      <c r="G77" s="2229"/>
      <c r="H77" s="2229"/>
      <c r="I77" s="2230"/>
      <c r="J77" s="2230"/>
      <c r="K77" s="2230"/>
      <c r="L77" s="2230"/>
      <c r="M77" s="2231"/>
      <c r="N77" s="2231"/>
      <c r="O77" s="2231"/>
      <c r="P77" s="2231"/>
      <c r="Q77" s="2231"/>
      <c r="R77" s="2231"/>
      <c r="S77" s="2231"/>
      <c r="T77" s="2231"/>
      <c r="U77" s="2231"/>
      <c r="V77" s="2231"/>
      <c r="W77" s="2231"/>
      <c r="X77" s="1385"/>
      <c r="Y77" s="3473" t="s">
        <v>595</v>
      </c>
    </row>
    <row r="78" spans="1:25" ht="17.25" customHeight="1">
      <c r="A78" s="3208"/>
      <c r="B78" s="517" t="s">
        <v>22</v>
      </c>
      <c r="C78" s="707"/>
      <c r="D78" s="2232">
        <f>+D79</f>
        <v>107083</v>
      </c>
      <c r="E78" s="2232">
        <f t="shared" ref="E78:X79" si="71">+E79</f>
        <v>0</v>
      </c>
      <c r="F78" s="2233">
        <f t="shared" si="71"/>
        <v>0</v>
      </c>
      <c r="G78" s="2233">
        <f t="shared" si="71"/>
        <v>0</v>
      </c>
      <c r="H78" s="2233">
        <f t="shared" si="71"/>
        <v>0</v>
      </c>
      <c r="I78" s="2234">
        <f t="shared" si="71"/>
        <v>0</v>
      </c>
      <c r="J78" s="2234">
        <f t="shared" si="71"/>
        <v>0</v>
      </c>
      <c r="K78" s="2234">
        <f t="shared" si="71"/>
        <v>0</v>
      </c>
      <c r="L78" s="2234">
        <f t="shared" si="71"/>
        <v>0</v>
      </c>
      <c r="M78" s="2232">
        <f t="shared" si="71"/>
        <v>0</v>
      </c>
      <c r="N78" s="2232">
        <f t="shared" si="71"/>
        <v>0</v>
      </c>
      <c r="O78" s="2232">
        <f t="shared" si="71"/>
        <v>0</v>
      </c>
      <c r="P78" s="2232">
        <f t="shared" si="71"/>
        <v>27805</v>
      </c>
      <c r="Q78" s="2232">
        <f t="shared" si="71"/>
        <v>26855</v>
      </c>
      <c r="R78" s="2232">
        <f t="shared" si="71"/>
        <v>26856</v>
      </c>
      <c r="S78" s="2232">
        <f t="shared" si="71"/>
        <v>25567</v>
      </c>
      <c r="T78" s="2235">
        <v>0</v>
      </c>
      <c r="U78" s="2235">
        <v>0</v>
      </c>
      <c r="V78" s="2235">
        <v>0</v>
      </c>
      <c r="W78" s="2235">
        <v>0</v>
      </c>
      <c r="X78" s="2236">
        <f t="shared" si="71"/>
        <v>107083</v>
      </c>
      <c r="Y78" s="3474"/>
    </row>
    <row r="79" spans="1:25" ht="15.75" customHeight="1">
      <c r="A79" s="3208"/>
      <c r="B79" s="698" t="s">
        <v>36</v>
      </c>
      <c r="C79" s="3476" t="s">
        <v>412</v>
      </c>
      <c r="D79" s="2237">
        <f>+D80</f>
        <v>107083</v>
      </c>
      <c r="E79" s="2237">
        <f t="shared" si="71"/>
        <v>0</v>
      </c>
      <c r="F79" s="2238">
        <f t="shared" si="71"/>
        <v>0</v>
      </c>
      <c r="G79" s="2238">
        <f t="shared" si="71"/>
        <v>0</v>
      </c>
      <c r="H79" s="2238">
        <f t="shared" si="71"/>
        <v>0</v>
      </c>
      <c r="I79" s="2239">
        <f t="shared" si="71"/>
        <v>0</v>
      </c>
      <c r="J79" s="2239">
        <f t="shared" si="71"/>
        <v>0</v>
      </c>
      <c r="K79" s="2239">
        <f t="shared" si="71"/>
        <v>0</v>
      </c>
      <c r="L79" s="2239">
        <f t="shared" si="71"/>
        <v>0</v>
      </c>
      <c r="M79" s="2237">
        <f t="shared" si="71"/>
        <v>0</v>
      </c>
      <c r="N79" s="2237">
        <f t="shared" si="71"/>
        <v>0</v>
      </c>
      <c r="O79" s="2237">
        <f t="shared" si="71"/>
        <v>0</v>
      </c>
      <c r="P79" s="2237">
        <f t="shared" si="71"/>
        <v>27805</v>
      </c>
      <c r="Q79" s="2237">
        <f t="shared" si="71"/>
        <v>26855</v>
      </c>
      <c r="R79" s="2237">
        <f t="shared" si="71"/>
        <v>26856</v>
      </c>
      <c r="S79" s="2237">
        <f t="shared" si="71"/>
        <v>25567</v>
      </c>
      <c r="T79" s="2240">
        <v>0</v>
      </c>
      <c r="U79" s="2240">
        <v>0</v>
      </c>
      <c r="V79" s="2240">
        <v>0</v>
      </c>
      <c r="W79" s="2240">
        <v>0</v>
      </c>
      <c r="X79" s="2241">
        <f t="shared" si="71"/>
        <v>107083</v>
      </c>
      <c r="Y79" s="3474"/>
    </row>
    <row r="80" spans="1:25" ht="15" customHeight="1" thickBot="1">
      <c r="A80" s="3245"/>
      <c r="B80" s="2242" t="s">
        <v>24</v>
      </c>
      <c r="C80" s="3190"/>
      <c r="D80" s="1286">
        <f>M80+O80+P80+Q80+R80+S80+T80+U80+V80+W80</f>
        <v>107083</v>
      </c>
      <c r="E80" s="1869">
        <v>0</v>
      </c>
      <c r="F80" s="2243">
        <v>0</v>
      </c>
      <c r="G80" s="2243">
        <v>0</v>
      </c>
      <c r="H80" s="2243">
        <v>0</v>
      </c>
      <c r="I80" s="2244">
        <v>0</v>
      </c>
      <c r="J80" s="2244">
        <v>0</v>
      </c>
      <c r="K80" s="2244">
        <v>0</v>
      </c>
      <c r="L80" s="2244">
        <v>0</v>
      </c>
      <c r="M80" s="1286">
        <f>+E80+I80+J80+K80+L80+N80</f>
        <v>0</v>
      </c>
      <c r="N80" s="1869">
        <v>0</v>
      </c>
      <c r="O80" s="1869">
        <f>2500+17649-20149</f>
        <v>0</v>
      </c>
      <c r="P80" s="1869">
        <v>27805</v>
      </c>
      <c r="Q80" s="1869">
        <v>26855</v>
      </c>
      <c r="R80" s="1869">
        <v>26856</v>
      </c>
      <c r="S80" s="1869">
        <v>25567</v>
      </c>
      <c r="T80" s="2245">
        <v>0</v>
      </c>
      <c r="U80" s="2245">
        <v>0</v>
      </c>
      <c r="V80" s="2245">
        <v>0</v>
      </c>
      <c r="W80" s="2245">
        <v>0</v>
      </c>
      <c r="X80" s="1468">
        <f>SUM(P80:T80)</f>
        <v>107083</v>
      </c>
      <c r="Y80" s="3475"/>
    </row>
    <row r="81" spans="5:25">
      <c r="E81" s="903"/>
      <c r="F81" s="903"/>
      <c r="G81" s="903"/>
      <c r="H81" s="903"/>
      <c r="I81" s="903"/>
      <c r="J81" s="903"/>
      <c r="K81" s="903"/>
      <c r="L81" s="903"/>
      <c r="M81" s="903"/>
      <c r="N81" s="903"/>
      <c r="O81" s="903"/>
      <c r="P81" s="903"/>
      <c r="Y81" s="904"/>
    </row>
    <row r="82" spans="5:25">
      <c r="E82" s="903"/>
      <c r="F82" s="903"/>
      <c r="G82" s="903"/>
      <c r="H82" s="903"/>
      <c r="I82" s="903"/>
      <c r="J82" s="903"/>
      <c r="K82" s="903"/>
      <c r="L82" s="903"/>
      <c r="M82" s="903"/>
      <c r="N82" s="903"/>
      <c r="O82" s="903"/>
      <c r="P82" s="903"/>
      <c r="Y82" s="904"/>
    </row>
    <row r="83" spans="5:25">
      <c r="E83" s="903"/>
      <c r="F83" s="903"/>
      <c r="G83" s="903"/>
      <c r="H83" s="903"/>
      <c r="I83" s="903"/>
      <c r="J83" s="903"/>
      <c r="K83" s="903"/>
      <c r="L83" s="903"/>
      <c r="M83" s="903"/>
      <c r="N83" s="903"/>
      <c r="O83" s="903"/>
      <c r="P83" s="903"/>
      <c r="Y83" s="904"/>
    </row>
    <row r="84" spans="5:25">
      <c r="E84" s="903"/>
      <c r="F84" s="903"/>
      <c r="G84" s="903"/>
      <c r="H84" s="903"/>
      <c r="I84" s="903"/>
      <c r="J84" s="903"/>
      <c r="K84" s="903"/>
      <c r="L84" s="903"/>
      <c r="M84" s="903"/>
      <c r="N84" s="903"/>
      <c r="O84" s="903"/>
      <c r="P84" s="903"/>
      <c r="Y84" s="904"/>
    </row>
    <row r="85" spans="5:25">
      <c r="E85" s="903"/>
      <c r="F85" s="903"/>
      <c r="G85" s="903"/>
      <c r="H85" s="903"/>
      <c r="I85" s="903"/>
      <c r="J85" s="903"/>
      <c r="K85" s="903"/>
      <c r="L85" s="903"/>
      <c r="M85" s="903"/>
      <c r="N85" s="903"/>
      <c r="O85" s="903"/>
      <c r="P85" s="903"/>
      <c r="Y85" s="904"/>
    </row>
    <row r="86" spans="5:25">
      <c r="E86" s="903"/>
      <c r="F86" s="903"/>
      <c r="G86" s="903"/>
      <c r="H86" s="903"/>
      <c r="I86" s="903"/>
      <c r="J86" s="903"/>
      <c r="K86" s="903"/>
      <c r="L86" s="903"/>
      <c r="M86" s="903"/>
      <c r="N86" s="903"/>
      <c r="O86" s="903"/>
      <c r="P86" s="903"/>
      <c r="Y86" s="904"/>
    </row>
    <row r="87" spans="5:25">
      <c r="E87" s="903"/>
      <c r="F87" s="903"/>
      <c r="G87" s="903"/>
      <c r="H87" s="903"/>
      <c r="I87" s="903"/>
      <c r="J87" s="903"/>
      <c r="K87" s="903"/>
      <c r="L87" s="903"/>
      <c r="M87" s="903"/>
      <c r="N87" s="903"/>
      <c r="O87" s="903"/>
      <c r="P87" s="903"/>
      <c r="Y87" s="904"/>
    </row>
    <row r="88" spans="5:25">
      <c r="E88" s="903"/>
      <c r="F88" s="903"/>
      <c r="G88" s="903"/>
      <c r="H88" s="903"/>
      <c r="I88" s="903"/>
      <c r="J88" s="903"/>
      <c r="K88" s="903"/>
      <c r="L88" s="903"/>
      <c r="M88" s="903"/>
      <c r="N88" s="903"/>
      <c r="O88" s="903"/>
      <c r="P88" s="903"/>
      <c r="Y88" s="904"/>
    </row>
    <row r="89" spans="5:25">
      <c r="E89" s="903"/>
      <c r="F89" s="903"/>
      <c r="G89" s="903"/>
      <c r="H89" s="903"/>
      <c r="I89" s="903"/>
      <c r="J89" s="903"/>
      <c r="K89" s="903"/>
      <c r="L89" s="903"/>
      <c r="M89" s="903"/>
      <c r="N89" s="903"/>
      <c r="O89" s="903"/>
      <c r="P89" s="903"/>
      <c r="Y89" s="904"/>
    </row>
    <row r="90" spans="5:25">
      <c r="E90" s="903"/>
      <c r="F90" s="903"/>
      <c r="G90" s="903"/>
      <c r="H90" s="903"/>
      <c r="I90" s="903"/>
      <c r="J90" s="903"/>
      <c r="K90" s="903"/>
      <c r="L90" s="903"/>
      <c r="M90" s="903"/>
      <c r="N90" s="903"/>
      <c r="O90" s="903"/>
      <c r="P90" s="903"/>
      <c r="Y90" s="904"/>
    </row>
    <row r="91" spans="5:25">
      <c r="E91" s="903"/>
      <c r="F91" s="903"/>
      <c r="G91" s="903"/>
      <c r="H91" s="903"/>
      <c r="I91" s="903"/>
      <c r="J91" s="903"/>
      <c r="K91" s="903"/>
      <c r="L91" s="903"/>
      <c r="M91" s="903"/>
      <c r="N91" s="903"/>
      <c r="O91" s="903"/>
      <c r="P91" s="903"/>
      <c r="Y91" s="904"/>
    </row>
    <row r="92" spans="5:25">
      <c r="E92" s="903"/>
      <c r="F92" s="903"/>
      <c r="G92" s="903"/>
      <c r="H92" s="903"/>
      <c r="I92" s="903"/>
      <c r="J92" s="903"/>
      <c r="K92" s="903"/>
      <c r="L92" s="903"/>
      <c r="M92" s="903"/>
      <c r="N92" s="903"/>
      <c r="O92" s="903"/>
      <c r="P92" s="903"/>
      <c r="Y92" s="904"/>
    </row>
    <row r="93" spans="5:25">
      <c r="E93" s="903"/>
      <c r="F93" s="903"/>
      <c r="G93" s="903"/>
      <c r="H93" s="903"/>
      <c r="I93" s="903"/>
      <c r="J93" s="903"/>
      <c r="K93" s="903"/>
      <c r="L93" s="903"/>
      <c r="M93" s="903"/>
      <c r="N93" s="903"/>
      <c r="O93" s="903"/>
      <c r="P93" s="903"/>
      <c r="Y93" s="904"/>
    </row>
    <row r="94" spans="5:25">
      <c r="E94" s="903"/>
      <c r="F94" s="903"/>
      <c r="G94" s="903"/>
      <c r="H94" s="903"/>
      <c r="I94" s="903"/>
      <c r="J94" s="903"/>
      <c r="K94" s="903"/>
      <c r="L94" s="903"/>
      <c r="M94" s="903"/>
      <c r="N94" s="903"/>
      <c r="O94" s="903"/>
      <c r="P94" s="903"/>
      <c r="Y94" s="904"/>
    </row>
    <row r="95" spans="5:25">
      <c r="E95" s="903"/>
      <c r="F95" s="903"/>
      <c r="G95" s="903"/>
      <c r="H95" s="903"/>
      <c r="I95" s="903"/>
      <c r="J95" s="903"/>
      <c r="K95" s="903"/>
      <c r="L95" s="903"/>
      <c r="M95" s="903"/>
      <c r="N95" s="903"/>
      <c r="O95" s="903"/>
      <c r="P95" s="903"/>
      <c r="Y95" s="904"/>
    </row>
    <row r="96" spans="5:25">
      <c r="E96" s="903"/>
      <c r="F96" s="903"/>
      <c r="G96" s="903"/>
      <c r="H96" s="903"/>
      <c r="I96" s="903"/>
      <c r="J96" s="903"/>
      <c r="K96" s="903"/>
      <c r="L96" s="903"/>
      <c r="M96" s="903"/>
      <c r="N96" s="903"/>
      <c r="O96" s="903"/>
      <c r="P96" s="903"/>
      <c r="Y96" s="904"/>
    </row>
    <row r="97" spans="5:25">
      <c r="E97" s="903"/>
      <c r="F97" s="903"/>
      <c r="G97" s="903"/>
      <c r="H97" s="903"/>
      <c r="I97" s="903"/>
      <c r="J97" s="903"/>
      <c r="K97" s="903"/>
      <c r="L97" s="903"/>
      <c r="M97" s="903"/>
      <c r="N97" s="903"/>
      <c r="O97" s="903"/>
      <c r="P97" s="903"/>
      <c r="Y97" s="904"/>
    </row>
    <row r="98" spans="5:25">
      <c r="E98" s="903"/>
      <c r="F98" s="903"/>
      <c r="G98" s="903"/>
      <c r="H98" s="903"/>
      <c r="I98" s="903"/>
      <c r="J98" s="903"/>
      <c r="K98" s="903"/>
      <c r="L98" s="903"/>
      <c r="M98" s="903"/>
      <c r="N98" s="903"/>
      <c r="O98" s="903"/>
      <c r="P98" s="903"/>
      <c r="Y98" s="904"/>
    </row>
    <row r="99" spans="5:25">
      <c r="E99" s="903"/>
      <c r="F99" s="903"/>
      <c r="G99" s="903"/>
      <c r="H99" s="903"/>
      <c r="I99" s="903"/>
      <c r="J99" s="903"/>
      <c r="K99" s="903"/>
      <c r="L99" s="903"/>
      <c r="M99" s="903"/>
      <c r="N99" s="903"/>
      <c r="O99" s="903"/>
      <c r="P99" s="903"/>
      <c r="Y99" s="904"/>
    </row>
    <row r="100" spans="5:25">
      <c r="E100" s="903"/>
      <c r="F100" s="903"/>
      <c r="G100" s="903"/>
      <c r="H100" s="903"/>
      <c r="I100" s="903"/>
      <c r="J100" s="903"/>
      <c r="K100" s="903"/>
      <c r="L100" s="903"/>
      <c r="M100" s="903"/>
      <c r="N100" s="903"/>
      <c r="O100" s="903"/>
      <c r="P100" s="903"/>
      <c r="Y100" s="904"/>
    </row>
    <row r="101" spans="5:25">
      <c r="E101" s="903"/>
      <c r="F101" s="903"/>
      <c r="G101" s="903"/>
      <c r="H101" s="903"/>
      <c r="I101" s="903"/>
      <c r="J101" s="903"/>
      <c r="K101" s="903"/>
      <c r="L101" s="903"/>
      <c r="M101" s="903"/>
      <c r="N101" s="903"/>
      <c r="O101" s="903"/>
      <c r="P101" s="903"/>
      <c r="Y101" s="904"/>
    </row>
    <row r="102" spans="5:25">
      <c r="E102" s="903"/>
      <c r="F102" s="903"/>
      <c r="G102" s="903"/>
      <c r="H102" s="903"/>
      <c r="I102" s="903"/>
      <c r="J102" s="903"/>
      <c r="K102" s="903"/>
      <c r="L102" s="903"/>
      <c r="M102" s="903"/>
      <c r="N102" s="903"/>
      <c r="O102" s="903"/>
      <c r="P102" s="903"/>
      <c r="Y102" s="904"/>
    </row>
    <row r="103" spans="5:25">
      <c r="E103" s="903"/>
      <c r="F103" s="903"/>
      <c r="G103" s="903"/>
      <c r="H103" s="903"/>
      <c r="I103" s="903"/>
      <c r="J103" s="903"/>
      <c r="K103" s="903"/>
      <c r="L103" s="903"/>
      <c r="M103" s="903"/>
      <c r="N103" s="903"/>
      <c r="O103" s="903"/>
      <c r="P103" s="903"/>
      <c r="Y103" s="904"/>
    </row>
    <row r="104" spans="5:25">
      <c r="E104" s="903"/>
      <c r="F104" s="903"/>
      <c r="G104" s="903"/>
      <c r="H104" s="903"/>
      <c r="I104" s="903"/>
      <c r="J104" s="903"/>
      <c r="K104" s="903"/>
      <c r="L104" s="903"/>
      <c r="M104" s="903"/>
      <c r="N104" s="903"/>
      <c r="O104" s="903"/>
      <c r="P104" s="903"/>
      <c r="Y104" s="904"/>
    </row>
    <row r="105" spans="5:25">
      <c r="E105" s="903"/>
      <c r="F105" s="903"/>
      <c r="G105" s="903"/>
      <c r="H105" s="903"/>
      <c r="I105" s="903"/>
      <c r="J105" s="903"/>
      <c r="K105" s="903"/>
      <c r="L105" s="903"/>
      <c r="M105" s="903"/>
      <c r="N105" s="903"/>
      <c r="O105" s="903"/>
      <c r="P105" s="903"/>
      <c r="Y105" s="904"/>
    </row>
    <row r="106" spans="5:25">
      <c r="E106" s="903"/>
      <c r="F106" s="903"/>
      <c r="G106" s="903"/>
      <c r="H106" s="903"/>
      <c r="I106" s="903"/>
      <c r="J106" s="903"/>
      <c r="K106" s="903"/>
      <c r="L106" s="903"/>
      <c r="M106" s="903"/>
      <c r="N106" s="903"/>
      <c r="O106" s="903"/>
      <c r="P106" s="903"/>
      <c r="Y106" s="904"/>
    </row>
    <row r="107" spans="5:25">
      <c r="E107" s="903"/>
      <c r="F107" s="903"/>
      <c r="G107" s="903"/>
      <c r="H107" s="903">
        <f>H113+H117</f>
        <v>0</v>
      </c>
      <c r="I107" s="903"/>
      <c r="J107" s="903"/>
      <c r="K107" s="903"/>
      <c r="L107" s="903"/>
      <c r="M107" s="903"/>
      <c r="N107" s="903"/>
      <c r="O107" s="903"/>
      <c r="P107" s="903"/>
      <c r="Y107" s="904"/>
    </row>
    <row r="108" spans="5:25">
      <c r="E108" s="903"/>
      <c r="F108" s="903"/>
      <c r="G108" s="903"/>
      <c r="H108" s="903"/>
      <c r="I108" s="903"/>
      <c r="J108" s="903"/>
      <c r="K108" s="903"/>
      <c r="L108" s="903"/>
      <c r="M108" s="903"/>
      <c r="N108" s="903"/>
      <c r="O108" s="903"/>
      <c r="P108" s="903"/>
      <c r="Y108" s="904"/>
    </row>
    <row r="109" spans="5:25">
      <c r="E109" s="903"/>
      <c r="F109" s="903"/>
      <c r="G109" s="903"/>
      <c r="H109" s="903"/>
      <c r="I109" s="903"/>
      <c r="J109" s="903"/>
      <c r="K109" s="903"/>
      <c r="L109" s="903"/>
      <c r="M109" s="903"/>
      <c r="N109" s="903"/>
      <c r="O109" s="903"/>
      <c r="P109" s="903"/>
      <c r="Y109" s="904"/>
    </row>
    <row r="110" spans="5:25">
      <c r="E110" s="903"/>
      <c r="F110" s="903"/>
      <c r="G110" s="903"/>
      <c r="H110" s="903"/>
      <c r="I110" s="903"/>
      <c r="J110" s="903"/>
      <c r="K110" s="903"/>
      <c r="L110" s="903"/>
      <c r="M110" s="903"/>
      <c r="N110" s="903"/>
      <c r="O110" s="903"/>
      <c r="P110" s="903"/>
      <c r="Y110" s="904"/>
    </row>
    <row r="111" spans="5:25">
      <c r="E111" s="903"/>
      <c r="F111" s="903"/>
      <c r="G111" s="903"/>
      <c r="H111" s="903"/>
      <c r="I111" s="903"/>
      <c r="J111" s="903"/>
      <c r="K111" s="903"/>
      <c r="L111" s="903"/>
      <c r="M111" s="903"/>
      <c r="N111" s="903"/>
      <c r="O111" s="903"/>
      <c r="P111" s="903"/>
      <c r="Y111" s="904"/>
    </row>
    <row r="112" spans="5:25">
      <c r="E112" s="903"/>
      <c r="F112" s="903"/>
      <c r="G112" s="903"/>
      <c r="H112" s="903"/>
      <c r="I112" s="903"/>
      <c r="J112" s="903"/>
      <c r="K112" s="903"/>
      <c r="L112" s="903"/>
      <c r="M112" s="903"/>
      <c r="N112" s="903"/>
      <c r="O112" s="903"/>
      <c r="P112" s="903"/>
      <c r="Y112" s="904"/>
    </row>
    <row r="113" spans="5:25">
      <c r="E113" s="903"/>
      <c r="F113" s="903"/>
      <c r="G113" s="903"/>
      <c r="H113" s="903"/>
      <c r="I113" s="903"/>
      <c r="J113" s="903"/>
      <c r="K113" s="903"/>
      <c r="L113" s="903"/>
      <c r="M113" s="903"/>
      <c r="N113" s="903"/>
      <c r="O113" s="903"/>
      <c r="P113" s="903"/>
      <c r="Y113" s="904"/>
    </row>
    <row r="114" spans="5:25">
      <c r="E114" s="903"/>
      <c r="F114" s="903"/>
      <c r="G114" s="903"/>
      <c r="H114" s="903"/>
      <c r="I114" s="903"/>
      <c r="J114" s="903"/>
      <c r="K114" s="903"/>
      <c r="L114" s="903"/>
      <c r="M114" s="903"/>
      <c r="N114" s="903"/>
      <c r="O114" s="903"/>
      <c r="P114" s="903"/>
      <c r="Y114" s="904"/>
    </row>
    <row r="115" spans="5:25">
      <c r="E115" s="903"/>
      <c r="F115" s="903"/>
      <c r="G115" s="903"/>
      <c r="H115" s="903"/>
      <c r="I115" s="903"/>
      <c r="J115" s="903"/>
      <c r="K115" s="903"/>
      <c r="L115" s="903"/>
      <c r="M115" s="903"/>
      <c r="N115" s="903"/>
      <c r="O115" s="903"/>
      <c r="P115" s="903"/>
      <c r="Y115" s="904"/>
    </row>
    <row r="116" spans="5:25">
      <c r="E116" s="903"/>
      <c r="F116" s="903"/>
      <c r="G116" s="903"/>
      <c r="H116" s="903"/>
      <c r="I116" s="903"/>
      <c r="J116" s="903"/>
      <c r="K116" s="903"/>
      <c r="L116" s="903"/>
      <c r="M116" s="903"/>
      <c r="N116" s="903"/>
      <c r="O116" s="903"/>
      <c r="P116" s="903"/>
      <c r="Y116" s="904"/>
    </row>
    <row r="117" spans="5:25">
      <c r="E117" s="903"/>
      <c r="F117" s="903"/>
      <c r="G117" s="903"/>
      <c r="H117" s="903"/>
      <c r="I117" s="903"/>
      <c r="J117" s="903"/>
      <c r="K117" s="903"/>
      <c r="L117" s="903"/>
      <c r="M117" s="903"/>
      <c r="N117" s="903"/>
      <c r="O117" s="903"/>
      <c r="P117" s="903"/>
      <c r="Y117" s="904"/>
    </row>
    <row r="118" spans="5:25">
      <c r="E118" s="903"/>
      <c r="F118" s="903"/>
      <c r="G118" s="903"/>
      <c r="H118" s="903"/>
      <c r="I118" s="903"/>
      <c r="J118" s="903"/>
      <c r="K118" s="903"/>
      <c r="L118" s="903"/>
      <c r="M118" s="903"/>
      <c r="N118" s="903"/>
      <c r="O118" s="903"/>
      <c r="P118" s="903"/>
      <c r="Y118" s="904"/>
    </row>
    <row r="119" spans="5:25">
      <c r="E119" s="903"/>
      <c r="F119" s="903"/>
      <c r="G119" s="903"/>
      <c r="H119" s="903"/>
      <c r="I119" s="903"/>
      <c r="J119" s="903"/>
      <c r="K119" s="903"/>
      <c r="L119" s="903"/>
      <c r="M119" s="903"/>
      <c r="N119" s="903"/>
      <c r="O119" s="903"/>
      <c r="P119" s="903"/>
      <c r="Y119" s="904"/>
    </row>
    <row r="120" spans="5:25">
      <c r="E120" s="903"/>
      <c r="F120" s="903"/>
      <c r="G120" s="903"/>
      <c r="H120" s="903"/>
      <c r="I120" s="903"/>
      <c r="J120" s="903"/>
      <c r="K120" s="903"/>
      <c r="L120" s="903"/>
      <c r="M120" s="903"/>
      <c r="N120" s="903"/>
      <c r="O120" s="903"/>
      <c r="P120" s="903"/>
      <c r="Y120" s="904"/>
    </row>
    <row r="121" spans="5:25">
      <c r="E121" s="903"/>
      <c r="F121" s="903"/>
      <c r="G121" s="903"/>
      <c r="H121" s="903"/>
      <c r="I121" s="903"/>
      <c r="J121" s="903"/>
      <c r="K121" s="903"/>
      <c r="L121" s="903"/>
      <c r="M121" s="903"/>
      <c r="N121" s="903"/>
      <c r="O121" s="903"/>
      <c r="P121" s="903"/>
      <c r="Y121" s="904"/>
    </row>
    <row r="122" spans="5:25">
      <c r="E122" s="903"/>
      <c r="F122" s="903"/>
      <c r="G122" s="903"/>
      <c r="H122" s="903"/>
      <c r="I122" s="903"/>
      <c r="J122" s="903"/>
      <c r="K122" s="903"/>
      <c r="L122" s="903"/>
      <c r="M122" s="903"/>
      <c r="N122" s="903"/>
      <c r="O122" s="903"/>
      <c r="P122" s="903"/>
      <c r="Y122" s="904"/>
    </row>
    <row r="123" spans="5:25">
      <c r="E123" s="903"/>
      <c r="F123" s="903"/>
      <c r="G123" s="903"/>
      <c r="H123" s="903"/>
      <c r="I123" s="903"/>
      <c r="J123" s="903"/>
      <c r="K123" s="903"/>
      <c r="L123" s="903"/>
      <c r="M123" s="903"/>
      <c r="N123" s="903"/>
      <c r="O123" s="903"/>
      <c r="P123" s="903"/>
      <c r="Y123" s="904"/>
    </row>
    <row r="124" spans="5:25">
      <c r="E124" s="903"/>
      <c r="F124" s="903"/>
      <c r="G124" s="903"/>
      <c r="H124" s="903"/>
      <c r="I124" s="903"/>
      <c r="J124" s="903"/>
      <c r="K124" s="903"/>
      <c r="L124" s="903"/>
      <c r="M124" s="903"/>
      <c r="N124" s="903"/>
      <c r="O124" s="903"/>
      <c r="P124" s="903"/>
      <c r="Y124" s="904"/>
    </row>
    <row r="125" spans="5:25">
      <c r="E125" s="903"/>
      <c r="F125" s="903"/>
      <c r="G125" s="903"/>
      <c r="H125" s="903"/>
      <c r="I125" s="903"/>
      <c r="J125" s="903"/>
      <c r="K125" s="903"/>
      <c r="L125" s="903"/>
      <c r="M125" s="903"/>
      <c r="N125" s="903"/>
      <c r="O125" s="903"/>
      <c r="P125" s="903"/>
      <c r="Y125" s="904"/>
    </row>
    <row r="126" spans="5:25">
      <c r="E126" s="903"/>
      <c r="F126" s="903"/>
      <c r="G126" s="903"/>
      <c r="H126" s="903"/>
      <c r="I126" s="903"/>
      <c r="J126" s="903"/>
      <c r="K126" s="903"/>
      <c r="L126" s="903"/>
      <c r="M126" s="903"/>
      <c r="N126" s="903"/>
      <c r="O126" s="903"/>
      <c r="P126" s="903"/>
      <c r="Y126" s="904"/>
    </row>
    <row r="127" spans="5:25">
      <c r="E127" s="903"/>
      <c r="F127" s="903"/>
      <c r="G127" s="903"/>
      <c r="H127" s="903"/>
      <c r="I127" s="903"/>
      <c r="J127" s="903"/>
      <c r="K127" s="903"/>
      <c r="L127" s="903"/>
      <c r="M127" s="903"/>
      <c r="N127" s="903"/>
      <c r="O127" s="903"/>
      <c r="P127" s="903"/>
      <c r="Y127" s="904"/>
    </row>
    <row r="128" spans="5:25">
      <c r="E128" s="903"/>
      <c r="F128" s="903"/>
      <c r="G128" s="903"/>
      <c r="H128" s="903"/>
      <c r="I128" s="903"/>
      <c r="J128" s="903"/>
      <c r="K128" s="903"/>
      <c r="L128" s="903"/>
      <c r="M128" s="903"/>
      <c r="N128" s="903"/>
      <c r="O128" s="903"/>
      <c r="P128" s="903"/>
      <c r="Y128" s="904"/>
    </row>
    <row r="129" spans="5:25">
      <c r="E129" s="903"/>
      <c r="F129" s="903"/>
      <c r="G129" s="903"/>
      <c r="H129" s="903"/>
      <c r="I129" s="903"/>
      <c r="J129" s="903"/>
      <c r="K129" s="903"/>
      <c r="L129" s="903"/>
      <c r="M129" s="903"/>
      <c r="N129" s="903"/>
      <c r="O129" s="903"/>
      <c r="P129" s="903"/>
      <c r="Y129" s="904"/>
    </row>
    <row r="130" spans="5:25">
      <c r="E130" s="903"/>
      <c r="F130" s="903"/>
      <c r="G130" s="903"/>
      <c r="H130" s="903"/>
      <c r="I130" s="903"/>
      <c r="J130" s="903"/>
      <c r="K130" s="903"/>
      <c r="L130" s="903"/>
      <c r="M130" s="903"/>
      <c r="N130" s="903"/>
      <c r="O130" s="903"/>
      <c r="P130" s="903"/>
      <c r="Y130" s="904"/>
    </row>
    <row r="131" spans="5:25">
      <c r="E131" s="903"/>
      <c r="F131" s="903"/>
      <c r="G131" s="903"/>
      <c r="H131" s="903"/>
      <c r="I131" s="903"/>
      <c r="J131" s="903"/>
      <c r="K131" s="903"/>
      <c r="L131" s="903"/>
      <c r="M131" s="903"/>
      <c r="N131" s="903"/>
      <c r="O131" s="903"/>
      <c r="P131" s="903"/>
      <c r="Y131" s="904"/>
    </row>
    <row r="132" spans="5:25">
      <c r="E132" s="903"/>
      <c r="F132" s="903"/>
      <c r="G132" s="903"/>
      <c r="H132" s="903"/>
      <c r="I132" s="903"/>
      <c r="J132" s="903"/>
      <c r="K132" s="903"/>
      <c r="L132" s="903"/>
      <c r="M132" s="903"/>
      <c r="N132" s="903"/>
      <c r="O132" s="903"/>
      <c r="P132" s="903"/>
      <c r="Y132" s="904"/>
    </row>
    <row r="133" spans="5:25">
      <c r="E133" s="903"/>
      <c r="F133" s="903"/>
      <c r="G133" s="903"/>
      <c r="H133" s="903"/>
      <c r="I133" s="903"/>
      <c r="J133" s="903"/>
      <c r="K133" s="903"/>
      <c r="L133" s="903"/>
      <c r="M133" s="903"/>
      <c r="N133" s="903"/>
      <c r="O133" s="903"/>
      <c r="P133" s="903"/>
      <c r="Y133" s="904"/>
    </row>
    <row r="134" spans="5:25">
      <c r="E134" s="903"/>
      <c r="F134" s="903"/>
      <c r="G134" s="903"/>
      <c r="H134" s="903"/>
      <c r="I134" s="903"/>
      <c r="J134" s="903"/>
      <c r="K134" s="903"/>
      <c r="L134" s="903"/>
      <c r="M134" s="903"/>
      <c r="N134" s="903"/>
      <c r="O134" s="903"/>
      <c r="P134" s="903"/>
      <c r="Y134" s="904"/>
    </row>
    <row r="135" spans="5:25">
      <c r="E135" s="903"/>
      <c r="F135" s="903"/>
      <c r="G135" s="903"/>
      <c r="H135" s="903"/>
      <c r="I135" s="903"/>
      <c r="J135" s="903"/>
      <c r="K135" s="903"/>
      <c r="L135" s="903"/>
      <c r="M135" s="903"/>
      <c r="N135" s="903"/>
      <c r="O135" s="903"/>
      <c r="P135" s="903"/>
      <c r="Y135" s="904"/>
    </row>
    <row r="136" spans="5:25">
      <c r="E136" s="903"/>
      <c r="F136" s="903"/>
      <c r="G136" s="903"/>
      <c r="H136" s="903"/>
      <c r="I136" s="903"/>
      <c r="J136" s="903"/>
      <c r="K136" s="903"/>
      <c r="L136" s="903"/>
      <c r="M136" s="903"/>
      <c r="N136" s="903"/>
      <c r="O136" s="903"/>
      <c r="P136" s="903"/>
      <c r="Y136" s="904"/>
    </row>
    <row r="137" spans="5:25">
      <c r="E137" s="903"/>
      <c r="F137" s="903"/>
      <c r="G137" s="903"/>
      <c r="H137" s="903"/>
      <c r="I137" s="903"/>
      <c r="J137" s="903"/>
      <c r="K137" s="903"/>
      <c r="L137" s="903"/>
      <c r="M137" s="903"/>
      <c r="N137" s="903"/>
      <c r="O137" s="903"/>
      <c r="P137" s="903"/>
      <c r="Y137" s="904"/>
    </row>
    <row r="138" spans="5:25">
      <c r="E138" s="903"/>
      <c r="F138" s="903"/>
      <c r="G138" s="903"/>
      <c r="H138" s="903"/>
      <c r="I138" s="903"/>
      <c r="J138" s="903"/>
      <c r="K138" s="903"/>
      <c r="L138" s="903"/>
      <c r="M138" s="903"/>
      <c r="N138" s="903"/>
      <c r="O138" s="903"/>
      <c r="P138" s="903"/>
      <c r="Y138" s="904"/>
    </row>
    <row r="139" spans="5:25">
      <c r="E139" s="903"/>
      <c r="F139" s="903"/>
      <c r="G139" s="903"/>
      <c r="H139" s="903"/>
      <c r="I139" s="903"/>
      <c r="J139" s="903"/>
      <c r="K139" s="903"/>
      <c r="L139" s="903"/>
      <c r="M139" s="903"/>
      <c r="N139" s="903"/>
      <c r="O139" s="903"/>
      <c r="P139" s="903"/>
      <c r="Y139" s="904"/>
    </row>
    <row r="140" spans="5:25">
      <c r="E140" s="903"/>
      <c r="F140" s="903"/>
      <c r="G140" s="903"/>
      <c r="H140" s="903"/>
      <c r="I140" s="903"/>
      <c r="J140" s="903"/>
      <c r="K140" s="903"/>
      <c r="L140" s="903"/>
      <c r="M140" s="903"/>
      <c r="N140" s="903"/>
      <c r="O140" s="903"/>
      <c r="P140" s="903"/>
      <c r="Y140" s="904"/>
    </row>
    <row r="141" spans="5:25">
      <c r="E141" s="903"/>
      <c r="F141" s="903"/>
      <c r="G141" s="903"/>
      <c r="H141" s="903"/>
      <c r="I141" s="903"/>
      <c r="J141" s="903"/>
      <c r="K141" s="903"/>
      <c r="L141" s="903"/>
      <c r="M141" s="903"/>
      <c r="N141" s="903"/>
      <c r="O141" s="903"/>
      <c r="P141" s="903"/>
      <c r="Y141" s="904"/>
    </row>
    <row r="142" spans="5:25">
      <c r="E142" s="903"/>
      <c r="F142" s="903"/>
      <c r="G142" s="903"/>
      <c r="H142" s="903"/>
      <c r="I142" s="903"/>
      <c r="J142" s="903"/>
      <c r="K142" s="903"/>
      <c r="L142" s="903"/>
      <c r="M142" s="903"/>
      <c r="N142" s="903"/>
      <c r="O142" s="903"/>
      <c r="P142" s="903"/>
      <c r="Y142" s="904"/>
    </row>
    <row r="143" spans="5:25">
      <c r="E143" s="903"/>
      <c r="F143" s="903"/>
      <c r="G143" s="903"/>
      <c r="H143" s="903"/>
      <c r="I143" s="903"/>
      <c r="J143" s="903"/>
      <c r="K143" s="903"/>
      <c r="L143" s="903"/>
      <c r="M143" s="903"/>
      <c r="N143" s="903"/>
      <c r="O143" s="903"/>
      <c r="P143" s="903"/>
      <c r="Y143" s="904"/>
    </row>
    <row r="144" spans="5:25">
      <c r="E144" s="903"/>
      <c r="F144" s="903"/>
      <c r="G144" s="903"/>
      <c r="H144" s="903"/>
      <c r="I144" s="903"/>
      <c r="J144" s="903"/>
      <c r="K144" s="903"/>
      <c r="L144" s="903"/>
      <c r="M144" s="903"/>
      <c r="N144" s="903"/>
      <c r="O144" s="903"/>
      <c r="P144" s="903"/>
      <c r="Y144" s="904"/>
    </row>
    <row r="145" spans="5:25">
      <c r="E145" s="903"/>
      <c r="F145" s="903"/>
      <c r="G145" s="903"/>
      <c r="H145" s="903"/>
      <c r="I145" s="903"/>
      <c r="J145" s="903"/>
      <c r="K145" s="903"/>
      <c r="L145" s="903"/>
      <c r="M145" s="903"/>
      <c r="N145" s="903"/>
      <c r="O145" s="903"/>
      <c r="P145" s="903"/>
      <c r="Y145" s="904"/>
    </row>
    <row r="146" spans="5:25">
      <c r="E146" s="903"/>
      <c r="F146" s="903"/>
      <c r="G146" s="903"/>
      <c r="H146" s="903"/>
      <c r="I146" s="903"/>
      <c r="J146" s="903"/>
      <c r="K146" s="903"/>
      <c r="L146" s="903"/>
      <c r="M146" s="903"/>
      <c r="N146" s="903"/>
      <c r="O146" s="903"/>
      <c r="P146" s="903"/>
      <c r="Y146" s="904"/>
    </row>
    <row r="147" spans="5:25">
      <c r="E147" s="903"/>
      <c r="F147" s="903"/>
      <c r="G147" s="903"/>
      <c r="H147" s="903"/>
      <c r="I147" s="903"/>
      <c r="J147" s="903"/>
      <c r="K147" s="903"/>
      <c r="L147" s="903"/>
      <c r="M147" s="903"/>
      <c r="N147" s="903"/>
      <c r="O147" s="903"/>
      <c r="P147" s="903"/>
      <c r="Y147" s="904"/>
    </row>
    <row r="148" spans="5:25">
      <c r="E148" s="903"/>
      <c r="F148" s="903"/>
      <c r="G148" s="903"/>
      <c r="H148" s="903"/>
      <c r="I148" s="903"/>
      <c r="J148" s="903"/>
      <c r="K148" s="903"/>
      <c r="L148" s="903"/>
      <c r="M148" s="903"/>
      <c r="N148" s="903"/>
      <c r="O148" s="903"/>
      <c r="P148" s="903"/>
      <c r="Y148" s="904"/>
    </row>
    <row r="149" spans="5:25">
      <c r="E149" s="903"/>
      <c r="F149" s="903"/>
      <c r="G149" s="903"/>
      <c r="H149" s="903"/>
      <c r="I149" s="903"/>
      <c r="J149" s="903"/>
      <c r="K149" s="903"/>
      <c r="L149" s="903"/>
      <c r="M149" s="903"/>
      <c r="N149" s="903"/>
      <c r="O149" s="903"/>
      <c r="P149" s="903"/>
      <c r="Y149" s="904"/>
    </row>
    <row r="150" spans="5:25">
      <c r="E150" s="903"/>
      <c r="F150" s="903"/>
      <c r="G150" s="903"/>
      <c r="H150" s="903"/>
      <c r="I150" s="903"/>
      <c r="J150" s="903"/>
      <c r="K150" s="903"/>
      <c r="L150" s="903"/>
      <c r="M150" s="903"/>
      <c r="N150" s="903"/>
      <c r="O150" s="903"/>
      <c r="P150" s="903"/>
      <c r="Y150" s="904"/>
    </row>
    <row r="151" spans="5:25">
      <c r="E151" s="903"/>
      <c r="F151" s="903"/>
      <c r="G151" s="903"/>
      <c r="H151" s="903"/>
      <c r="I151" s="903"/>
      <c r="J151" s="903"/>
      <c r="K151" s="903"/>
      <c r="L151" s="903"/>
      <c r="M151" s="903"/>
      <c r="N151" s="903"/>
      <c r="O151" s="903"/>
      <c r="P151" s="903"/>
      <c r="Y151" s="904"/>
    </row>
    <row r="152" spans="5:25">
      <c r="E152" s="903"/>
      <c r="F152" s="903"/>
      <c r="G152" s="903"/>
      <c r="H152" s="903"/>
      <c r="I152" s="903"/>
      <c r="J152" s="903"/>
      <c r="K152" s="903"/>
      <c r="L152" s="903"/>
      <c r="M152" s="903"/>
      <c r="N152" s="903"/>
      <c r="O152" s="903"/>
      <c r="P152" s="903"/>
      <c r="Y152" s="904"/>
    </row>
    <row r="153" spans="5:25">
      <c r="E153" s="903"/>
      <c r="F153" s="903"/>
      <c r="G153" s="903"/>
      <c r="H153" s="903"/>
      <c r="I153" s="903"/>
      <c r="J153" s="903"/>
      <c r="K153" s="903"/>
      <c r="L153" s="903"/>
      <c r="M153" s="903"/>
      <c r="N153" s="903"/>
      <c r="O153" s="903"/>
      <c r="P153" s="903"/>
      <c r="Y153" s="904"/>
    </row>
    <row r="154" spans="5:25">
      <c r="E154" s="903"/>
      <c r="F154" s="903"/>
      <c r="G154" s="903"/>
      <c r="H154" s="903"/>
      <c r="I154" s="903"/>
      <c r="J154" s="903"/>
      <c r="K154" s="903"/>
      <c r="L154" s="903"/>
      <c r="M154" s="903"/>
      <c r="N154" s="903"/>
      <c r="O154" s="903"/>
      <c r="P154" s="903"/>
      <c r="Y154" s="904"/>
    </row>
    <row r="155" spans="5:25">
      <c r="E155" s="903"/>
      <c r="F155" s="903"/>
      <c r="G155" s="903"/>
      <c r="H155" s="903"/>
      <c r="I155" s="903"/>
      <c r="J155" s="903"/>
      <c r="K155" s="903"/>
      <c r="L155" s="903"/>
      <c r="M155" s="903"/>
      <c r="N155" s="903"/>
      <c r="O155" s="903"/>
      <c r="P155" s="903"/>
      <c r="Y155" s="904"/>
    </row>
    <row r="156" spans="5:25">
      <c r="E156" s="903"/>
      <c r="F156" s="903"/>
      <c r="G156" s="903"/>
      <c r="H156" s="903"/>
      <c r="I156" s="903"/>
      <c r="J156" s="903"/>
      <c r="K156" s="903"/>
      <c r="L156" s="903"/>
      <c r="M156" s="903"/>
      <c r="N156" s="903"/>
      <c r="O156" s="903"/>
      <c r="P156" s="903"/>
      <c r="Y156" s="904"/>
    </row>
    <row r="157" spans="5:25">
      <c r="E157" s="903"/>
      <c r="F157" s="903"/>
      <c r="G157" s="903"/>
      <c r="H157" s="903"/>
      <c r="I157" s="903"/>
      <c r="J157" s="903"/>
      <c r="K157" s="903"/>
      <c r="L157" s="903"/>
      <c r="M157" s="903"/>
      <c r="N157" s="903"/>
      <c r="O157" s="903"/>
      <c r="P157" s="903"/>
      <c r="Y157" s="904"/>
    </row>
    <row r="158" spans="5:25">
      <c r="E158" s="903"/>
      <c r="F158" s="903"/>
      <c r="G158" s="903"/>
      <c r="H158" s="903"/>
      <c r="I158" s="903"/>
      <c r="J158" s="903"/>
      <c r="K158" s="903"/>
      <c r="L158" s="903"/>
      <c r="M158" s="903"/>
      <c r="N158" s="903"/>
      <c r="O158" s="903"/>
      <c r="P158" s="903"/>
      <c r="Y158" s="904"/>
    </row>
    <row r="159" spans="5:25">
      <c r="E159" s="903"/>
      <c r="F159" s="903"/>
      <c r="G159" s="903"/>
      <c r="H159" s="903"/>
      <c r="I159" s="903"/>
      <c r="J159" s="903"/>
      <c r="K159" s="903"/>
      <c r="L159" s="903"/>
      <c r="M159" s="903"/>
      <c r="N159" s="903"/>
      <c r="O159" s="903"/>
      <c r="P159" s="903"/>
      <c r="Y159" s="904"/>
    </row>
    <row r="160" spans="5:25">
      <c r="E160" s="903"/>
      <c r="F160" s="903"/>
      <c r="G160" s="903"/>
      <c r="H160" s="903"/>
      <c r="I160" s="903"/>
      <c r="J160" s="903"/>
      <c r="K160" s="903"/>
      <c r="L160" s="903"/>
      <c r="M160" s="903"/>
      <c r="N160" s="903"/>
      <c r="O160" s="903"/>
      <c r="P160" s="903"/>
      <c r="Y160" s="904"/>
    </row>
    <row r="161" spans="5:25">
      <c r="E161" s="903"/>
      <c r="F161" s="903"/>
      <c r="G161" s="903"/>
      <c r="H161" s="903"/>
      <c r="I161" s="903"/>
      <c r="J161" s="903"/>
      <c r="K161" s="903"/>
      <c r="L161" s="903"/>
      <c r="M161" s="903"/>
      <c r="N161" s="903"/>
      <c r="O161" s="903"/>
      <c r="P161" s="903"/>
      <c r="Y161" s="904"/>
    </row>
    <row r="162" spans="5:25">
      <c r="E162" s="903"/>
      <c r="F162" s="903"/>
      <c r="G162" s="903"/>
      <c r="H162" s="903"/>
      <c r="I162" s="903"/>
      <c r="J162" s="903"/>
      <c r="K162" s="903"/>
      <c r="L162" s="903"/>
      <c r="M162" s="903"/>
      <c r="N162" s="903"/>
      <c r="O162" s="903"/>
      <c r="P162" s="903"/>
      <c r="Y162" s="904"/>
    </row>
    <row r="163" spans="5:25">
      <c r="E163" s="903"/>
      <c r="F163" s="903"/>
      <c r="G163" s="903"/>
      <c r="H163" s="903"/>
      <c r="I163" s="903"/>
      <c r="J163" s="903"/>
      <c r="K163" s="903"/>
      <c r="L163" s="903"/>
      <c r="M163" s="903"/>
      <c r="N163" s="903"/>
      <c r="O163" s="903"/>
      <c r="P163" s="903"/>
      <c r="Y163" s="904"/>
    </row>
    <row r="164" spans="5:25">
      <c r="E164" s="903"/>
      <c r="F164" s="903"/>
      <c r="G164" s="903"/>
      <c r="H164" s="903"/>
      <c r="I164" s="903"/>
      <c r="J164" s="903"/>
      <c r="K164" s="903"/>
      <c r="L164" s="903"/>
      <c r="M164" s="903"/>
      <c r="N164" s="903"/>
      <c r="O164" s="903"/>
      <c r="P164" s="903"/>
      <c r="Y164" s="904"/>
    </row>
    <row r="165" spans="5:25">
      <c r="E165" s="903"/>
      <c r="F165" s="903"/>
      <c r="G165" s="903"/>
      <c r="H165" s="903"/>
      <c r="I165" s="903"/>
      <c r="J165" s="903"/>
      <c r="K165" s="903"/>
      <c r="L165" s="903"/>
      <c r="M165" s="903"/>
      <c r="N165" s="903"/>
      <c r="O165" s="903"/>
      <c r="P165" s="903"/>
      <c r="Y165" s="904"/>
    </row>
    <row r="166" spans="5:25">
      <c r="E166" s="903"/>
      <c r="F166" s="903"/>
      <c r="G166" s="903"/>
      <c r="H166" s="903"/>
      <c r="I166" s="903"/>
      <c r="J166" s="903"/>
      <c r="K166" s="903"/>
      <c r="L166" s="903"/>
      <c r="M166" s="903"/>
      <c r="N166" s="903"/>
      <c r="O166" s="903"/>
      <c r="P166" s="903"/>
      <c r="Y166" s="904"/>
    </row>
    <row r="167" spans="5:25">
      <c r="E167" s="903"/>
      <c r="F167" s="903"/>
      <c r="G167" s="903"/>
      <c r="H167" s="903"/>
      <c r="I167" s="903"/>
      <c r="J167" s="903"/>
      <c r="K167" s="903"/>
      <c r="L167" s="903"/>
      <c r="M167" s="903"/>
      <c r="N167" s="903"/>
      <c r="O167" s="903"/>
      <c r="P167" s="903"/>
      <c r="Y167" s="904"/>
    </row>
    <row r="168" spans="5:25">
      <c r="E168" s="903"/>
      <c r="F168" s="903"/>
      <c r="G168" s="903"/>
      <c r="H168" s="903"/>
      <c r="I168" s="903"/>
      <c r="J168" s="903"/>
      <c r="K168" s="903"/>
      <c r="L168" s="903"/>
      <c r="M168" s="903"/>
      <c r="N168" s="903"/>
      <c r="O168" s="903"/>
      <c r="P168" s="903"/>
      <c r="Y168" s="904"/>
    </row>
    <row r="169" spans="5:25">
      <c r="E169" s="903"/>
      <c r="F169" s="903"/>
      <c r="G169" s="903"/>
      <c r="H169" s="903"/>
      <c r="I169" s="903"/>
      <c r="J169" s="903"/>
      <c r="K169" s="903"/>
      <c r="L169" s="903"/>
      <c r="M169" s="903"/>
      <c r="N169" s="903"/>
      <c r="O169" s="903"/>
      <c r="P169" s="903"/>
      <c r="Y169" s="904"/>
    </row>
    <row r="170" spans="5:25">
      <c r="E170" s="903"/>
      <c r="F170" s="903"/>
      <c r="G170" s="903"/>
      <c r="H170" s="903"/>
      <c r="I170" s="903"/>
      <c r="J170" s="903"/>
      <c r="K170" s="903"/>
      <c r="L170" s="903"/>
      <c r="M170" s="903"/>
      <c r="N170" s="903"/>
      <c r="O170" s="903"/>
      <c r="P170" s="903"/>
      <c r="Y170" s="904"/>
    </row>
    <row r="171" spans="5:25">
      <c r="E171" s="903"/>
      <c r="F171" s="903"/>
      <c r="G171" s="903"/>
      <c r="H171" s="903"/>
      <c r="I171" s="903"/>
      <c r="J171" s="903"/>
      <c r="K171" s="903"/>
      <c r="L171" s="903"/>
      <c r="M171" s="903"/>
      <c r="N171" s="903"/>
      <c r="O171" s="903"/>
      <c r="P171" s="903"/>
      <c r="Y171" s="904"/>
    </row>
    <row r="172" spans="5:25">
      <c r="E172" s="903"/>
      <c r="F172" s="903"/>
      <c r="G172" s="903"/>
      <c r="H172" s="903"/>
      <c r="I172" s="903"/>
      <c r="J172" s="903"/>
      <c r="K172" s="903"/>
      <c r="L172" s="903"/>
      <c r="M172" s="903"/>
      <c r="N172" s="903"/>
      <c r="O172" s="903"/>
      <c r="P172" s="903"/>
      <c r="Y172" s="904"/>
    </row>
    <row r="173" spans="5:25">
      <c r="E173" s="903"/>
      <c r="F173" s="903"/>
      <c r="G173" s="903"/>
      <c r="H173" s="903"/>
      <c r="I173" s="903"/>
      <c r="J173" s="903"/>
      <c r="K173" s="903"/>
      <c r="L173" s="903"/>
      <c r="M173" s="903"/>
      <c r="N173" s="903"/>
      <c r="O173" s="903"/>
      <c r="P173" s="903"/>
      <c r="Y173" s="904"/>
    </row>
    <row r="174" spans="5:25">
      <c r="E174" s="903"/>
      <c r="F174" s="903"/>
      <c r="G174" s="903"/>
      <c r="H174" s="903"/>
      <c r="I174" s="903"/>
      <c r="J174" s="903"/>
      <c r="K174" s="903"/>
      <c r="L174" s="903"/>
      <c r="M174" s="903"/>
      <c r="N174" s="903"/>
      <c r="O174" s="903"/>
      <c r="P174" s="903"/>
      <c r="Y174" s="904"/>
    </row>
    <row r="175" spans="5:25">
      <c r="E175" s="903"/>
      <c r="F175" s="903"/>
      <c r="G175" s="903"/>
      <c r="H175" s="903"/>
      <c r="I175" s="903"/>
      <c r="J175" s="903"/>
      <c r="K175" s="903"/>
      <c r="L175" s="903"/>
      <c r="M175" s="903"/>
      <c r="N175" s="903"/>
      <c r="O175" s="903"/>
      <c r="P175" s="903"/>
      <c r="Y175" s="904"/>
    </row>
    <row r="176" spans="5:25">
      <c r="E176" s="903"/>
      <c r="F176" s="903"/>
      <c r="G176" s="903"/>
      <c r="H176" s="903"/>
      <c r="I176" s="903"/>
      <c r="J176" s="903"/>
      <c r="K176" s="903"/>
      <c r="L176" s="903"/>
      <c r="M176" s="903"/>
      <c r="N176" s="903"/>
      <c r="O176" s="903"/>
      <c r="P176" s="903"/>
      <c r="Y176" s="904"/>
    </row>
    <row r="177" spans="5:25">
      <c r="E177" s="903"/>
      <c r="F177" s="903"/>
      <c r="G177" s="903"/>
      <c r="H177" s="903"/>
      <c r="I177" s="903"/>
      <c r="J177" s="903"/>
      <c r="K177" s="903"/>
      <c r="L177" s="903"/>
      <c r="M177" s="903"/>
      <c r="N177" s="903"/>
      <c r="O177" s="903"/>
      <c r="P177" s="903"/>
      <c r="Y177" s="904"/>
    </row>
    <row r="178" spans="5:25">
      <c r="E178" s="903"/>
      <c r="F178" s="903"/>
      <c r="G178" s="903"/>
      <c r="H178" s="903"/>
      <c r="I178" s="903"/>
      <c r="J178" s="903"/>
      <c r="K178" s="903"/>
      <c r="L178" s="903"/>
      <c r="M178" s="903"/>
      <c r="N178" s="903"/>
      <c r="O178" s="903"/>
      <c r="P178" s="903"/>
      <c r="Y178" s="904"/>
    </row>
    <row r="179" spans="5:25">
      <c r="E179" s="903"/>
      <c r="F179" s="903"/>
      <c r="G179" s="903"/>
      <c r="H179" s="903"/>
      <c r="I179" s="903"/>
      <c r="J179" s="903"/>
      <c r="K179" s="903"/>
      <c r="L179" s="903"/>
      <c r="M179" s="903"/>
      <c r="N179" s="903"/>
      <c r="O179" s="903"/>
      <c r="P179" s="903"/>
      <c r="Y179" s="904"/>
    </row>
    <row r="180" spans="5:25">
      <c r="E180" s="903"/>
      <c r="F180" s="903"/>
      <c r="G180" s="903"/>
      <c r="H180" s="903"/>
      <c r="I180" s="903"/>
      <c r="J180" s="903"/>
      <c r="K180" s="903"/>
      <c r="L180" s="903"/>
      <c r="M180" s="903"/>
      <c r="N180" s="903"/>
      <c r="O180" s="903"/>
      <c r="P180" s="903"/>
      <c r="Y180" s="904"/>
    </row>
    <row r="181" spans="5:25">
      <c r="E181" s="903"/>
      <c r="F181" s="903"/>
      <c r="G181" s="903"/>
      <c r="H181" s="903"/>
      <c r="I181" s="903"/>
      <c r="J181" s="903"/>
      <c r="K181" s="903"/>
      <c r="L181" s="903"/>
      <c r="M181" s="903"/>
      <c r="N181" s="903"/>
      <c r="O181" s="903"/>
      <c r="P181" s="903"/>
      <c r="Y181" s="904"/>
    </row>
    <row r="182" spans="5:25">
      <c r="E182" s="903"/>
      <c r="F182" s="903"/>
      <c r="G182" s="903"/>
      <c r="H182" s="903"/>
      <c r="I182" s="903"/>
      <c r="J182" s="903"/>
      <c r="K182" s="903"/>
      <c r="L182" s="903"/>
      <c r="M182" s="903"/>
      <c r="N182" s="903"/>
      <c r="O182" s="903"/>
      <c r="P182" s="903"/>
      <c r="Y182" s="904"/>
    </row>
    <row r="183" spans="5:25">
      <c r="E183" s="903"/>
      <c r="F183" s="903"/>
      <c r="G183" s="903"/>
      <c r="H183" s="903"/>
      <c r="I183" s="903"/>
      <c r="J183" s="903"/>
      <c r="K183" s="903"/>
      <c r="L183" s="903"/>
      <c r="M183" s="903"/>
      <c r="N183" s="903"/>
      <c r="O183" s="903"/>
      <c r="P183" s="903"/>
      <c r="Y183" s="904"/>
    </row>
    <row r="184" spans="5:25">
      <c r="E184" s="903"/>
      <c r="F184" s="903"/>
      <c r="G184" s="903"/>
      <c r="H184" s="903"/>
      <c r="I184" s="903"/>
      <c r="J184" s="903"/>
      <c r="K184" s="903"/>
      <c r="L184" s="903"/>
      <c r="M184" s="903"/>
      <c r="N184" s="903"/>
      <c r="O184" s="903"/>
      <c r="P184" s="903"/>
      <c r="Y184" s="904"/>
    </row>
    <row r="185" spans="5:25">
      <c r="E185" s="903"/>
      <c r="F185" s="903"/>
      <c r="G185" s="903"/>
      <c r="H185" s="903"/>
      <c r="I185" s="903"/>
      <c r="J185" s="903"/>
      <c r="K185" s="903"/>
      <c r="L185" s="903"/>
      <c r="M185" s="903"/>
      <c r="N185" s="903"/>
      <c r="O185" s="903"/>
      <c r="P185" s="903"/>
      <c r="Y185" s="904"/>
    </row>
    <row r="186" spans="5:25">
      <c r="E186" s="903"/>
      <c r="F186" s="903"/>
      <c r="G186" s="903"/>
      <c r="H186" s="903"/>
      <c r="I186" s="903"/>
      <c r="J186" s="903"/>
      <c r="K186" s="903"/>
      <c r="L186" s="903"/>
      <c r="M186" s="903"/>
      <c r="N186" s="903"/>
      <c r="O186" s="903"/>
      <c r="P186" s="903"/>
      <c r="Y186" s="904"/>
    </row>
    <row r="187" spans="5:25">
      <c r="E187" s="903"/>
      <c r="F187" s="903"/>
      <c r="G187" s="903"/>
      <c r="H187" s="903"/>
      <c r="I187" s="903"/>
      <c r="J187" s="903"/>
      <c r="K187" s="903"/>
      <c r="L187" s="903"/>
      <c r="M187" s="903"/>
      <c r="N187" s="903"/>
      <c r="O187" s="903"/>
      <c r="P187" s="903"/>
      <c r="Y187" s="904"/>
    </row>
    <row r="188" spans="5:25">
      <c r="E188" s="903"/>
      <c r="F188" s="903"/>
      <c r="G188" s="903"/>
      <c r="H188" s="903"/>
      <c r="I188" s="903"/>
      <c r="J188" s="903"/>
      <c r="K188" s="903"/>
      <c r="L188" s="903"/>
      <c r="M188" s="903"/>
      <c r="N188" s="903"/>
      <c r="O188" s="903"/>
      <c r="P188" s="903"/>
      <c r="Y188" s="904"/>
    </row>
    <row r="189" spans="5:25">
      <c r="E189" s="903"/>
      <c r="F189" s="903"/>
      <c r="G189" s="903"/>
      <c r="H189" s="903"/>
      <c r="I189" s="903"/>
      <c r="J189" s="903"/>
      <c r="K189" s="903"/>
      <c r="L189" s="903"/>
      <c r="M189" s="903"/>
      <c r="N189" s="903"/>
      <c r="O189" s="903"/>
      <c r="P189" s="903"/>
      <c r="Y189" s="904"/>
    </row>
    <row r="190" spans="5:25">
      <c r="E190" s="903"/>
      <c r="F190" s="903"/>
      <c r="G190" s="903"/>
      <c r="H190" s="903"/>
      <c r="I190" s="903"/>
      <c r="J190" s="903"/>
      <c r="K190" s="903"/>
      <c r="L190" s="903"/>
      <c r="M190" s="903"/>
      <c r="N190" s="903"/>
      <c r="O190" s="903"/>
      <c r="P190" s="903"/>
      <c r="Y190" s="904"/>
    </row>
    <row r="191" spans="5:25">
      <c r="E191" s="903"/>
      <c r="F191" s="903"/>
      <c r="G191" s="903"/>
      <c r="H191" s="903"/>
      <c r="I191" s="903"/>
      <c r="J191" s="903"/>
      <c r="K191" s="903"/>
      <c r="L191" s="903"/>
      <c r="M191" s="903"/>
      <c r="N191" s="903"/>
      <c r="O191" s="903"/>
      <c r="P191" s="903"/>
      <c r="Y191" s="904"/>
    </row>
    <row r="192" spans="5:25">
      <c r="E192" s="903"/>
      <c r="F192" s="903"/>
      <c r="G192" s="903"/>
      <c r="H192" s="903"/>
      <c r="I192" s="903"/>
      <c r="J192" s="903"/>
      <c r="K192" s="903"/>
      <c r="L192" s="903"/>
      <c r="M192" s="903"/>
      <c r="N192" s="903"/>
      <c r="O192" s="903"/>
      <c r="P192" s="903"/>
      <c r="Y192" s="904"/>
    </row>
    <row r="193" spans="5:25">
      <c r="E193" s="903"/>
      <c r="F193" s="903"/>
      <c r="G193" s="903"/>
      <c r="H193" s="903"/>
      <c r="I193" s="903"/>
      <c r="J193" s="903"/>
      <c r="K193" s="903"/>
      <c r="L193" s="903"/>
      <c r="M193" s="903"/>
      <c r="N193" s="903"/>
      <c r="O193" s="903"/>
      <c r="P193" s="903"/>
      <c r="Y193" s="904"/>
    </row>
    <row r="194" spans="5:25">
      <c r="E194" s="903"/>
      <c r="F194" s="903"/>
      <c r="G194" s="903"/>
      <c r="H194" s="903"/>
      <c r="I194" s="903"/>
      <c r="J194" s="903"/>
      <c r="K194" s="903"/>
      <c r="L194" s="903"/>
      <c r="M194" s="903"/>
      <c r="N194" s="903"/>
      <c r="O194" s="903"/>
      <c r="P194" s="903"/>
      <c r="Y194" s="904"/>
    </row>
    <row r="195" spans="5:25">
      <c r="E195" s="903"/>
      <c r="F195" s="903"/>
      <c r="G195" s="903"/>
      <c r="H195" s="903"/>
      <c r="I195" s="903"/>
      <c r="J195" s="903"/>
      <c r="K195" s="903"/>
      <c r="L195" s="903"/>
      <c r="M195" s="903"/>
      <c r="N195" s="903"/>
      <c r="O195" s="903"/>
      <c r="P195" s="903"/>
      <c r="Y195" s="904"/>
    </row>
    <row r="196" spans="5:25">
      <c r="E196" s="903"/>
      <c r="F196" s="903"/>
      <c r="G196" s="903"/>
      <c r="H196" s="903"/>
      <c r="I196" s="903"/>
      <c r="J196" s="903"/>
      <c r="K196" s="903"/>
      <c r="L196" s="903"/>
      <c r="M196" s="903"/>
      <c r="N196" s="903"/>
      <c r="O196" s="903"/>
      <c r="P196" s="903"/>
      <c r="Y196" s="904"/>
    </row>
    <row r="197" spans="5:25">
      <c r="E197" s="903"/>
      <c r="F197" s="903"/>
      <c r="G197" s="903"/>
      <c r="H197" s="903"/>
      <c r="I197" s="903"/>
      <c r="J197" s="903"/>
      <c r="K197" s="903"/>
      <c r="L197" s="903"/>
      <c r="M197" s="903"/>
      <c r="N197" s="903"/>
      <c r="O197" s="903"/>
      <c r="P197" s="903"/>
      <c r="Y197" s="904"/>
    </row>
    <row r="198" spans="5:25">
      <c r="E198" s="903"/>
      <c r="F198" s="903"/>
      <c r="G198" s="903"/>
      <c r="H198" s="903"/>
      <c r="I198" s="903"/>
      <c r="J198" s="903"/>
      <c r="K198" s="903"/>
      <c r="L198" s="903"/>
      <c r="M198" s="903"/>
      <c r="N198" s="903"/>
      <c r="O198" s="903"/>
      <c r="P198" s="903"/>
      <c r="Y198" s="904"/>
    </row>
    <row r="199" spans="5:25">
      <c r="E199" s="903"/>
      <c r="F199" s="903"/>
      <c r="G199" s="903"/>
      <c r="H199" s="903"/>
      <c r="I199" s="903"/>
      <c r="J199" s="903"/>
      <c r="K199" s="903"/>
      <c r="L199" s="903"/>
      <c r="M199" s="903"/>
      <c r="N199" s="903"/>
      <c r="O199" s="903"/>
      <c r="P199" s="903"/>
      <c r="Y199" s="904"/>
    </row>
    <row r="200" spans="5:25">
      <c r="E200" s="903"/>
      <c r="F200" s="903"/>
      <c r="G200" s="903"/>
      <c r="H200" s="903"/>
      <c r="I200" s="903"/>
      <c r="J200" s="903"/>
      <c r="K200" s="903"/>
      <c r="L200" s="903"/>
      <c r="M200" s="903"/>
      <c r="N200" s="903"/>
      <c r="O200" s="903"/>
      <c r="P200" s="903"/>
      <c r="Y200" s="904"/>
    </row>
    <row r="201" spans="5:25">
      <c r="E201" s="903"/>
      <c r="F201" s="903"/>
      <c r="G201" s="903"/>
      <c r="H201" s="903"/>
      <c r="I201" s="903"/>
      <c r="J201" s="903"/>
      <c r="K201" s="903"/>
      <c r="L201" s="903"/>
      <c r="M201" s="903"/>
      <c r="N201" s="903"/>
      <c r="O201" s="903"/>
      <c r="P201" s="903"/>
      <c r="Y201" s="904"/>
    </row>
    <row r="202" spans="5:25">
      <c r="E202" s="903"/>
      <c r="F202" s="903"/>
      <c r="G202" s="903"/>
      <c r="H202" s="903"/>
      <c r="I202" s="903"/>
      <c r="J202" s="903"/>
      <c r="K202" s="903"/>
      <c r="L202" s="903"/>
      <c r="M202" s="903"/>
      <c r="N202" s="903"/>
      <c r="O202" s="903"/>
      <c r="P202" s="903"/>
      <c r="Y202" s="904"/>
    </row>
    <row r="203" spans="5:25">
      <c r="E203" s="903"/>
      <c r="F203" s="903"/>
      <c r="G203" s="903"/>
      <c r="H203" s="903"/>
      <c r="I203" s="903"/>
      <c r="J203" s="903"/>
      <c r="K203" s="903"/>
      <c r="L203" s="903"/>
      <c r="M203" s="903"/>
      <c r="N203" s="903"/>
      <c r="O203" s="903"/>
      <c r="P203" s="903"/>
      <c r="Y203" s="904"/>
    </row>
    <row r="204" spans="5:25">
      <c r="E204" s="903"/>
      <c r="F204" s="903"/>
      <c r="G204" s="903"/>
      <c r="H204" s="903"/>
      <c r="I204" s="903"/>
      <c r="J204" s="903"/>
      <c r="K204" s="903"/>
      <c r="L204" s="903"/>
      <c r="M204" s="903"/>
      <c r="N204" s="903"/>
      <c r="O204" s="903"/>
      <c r="P204" s="903"/>
      <c r="Y204" s="904"/>
    </row>
    <row r="205" spans="5:25">
      <c r="E205" s="903"/>
      <c r="F205" s="903"/>
      <c r="G205" s="903"/>
      <c r="H205" s="903"/>
      <c r="I205" s="903"/>
      <c r="J205" s="903"/>
      <c r="K205" s="903"/>
      <c r="L205" s="903"/>
      <c r="M205" s="903"/>
      <c r="N205" s="903"/>
      <c r="O205" s="903"/>
      <c r="P205" s="903"/>
      <c r="Y205" s="904"/>
    </row>
    <row r="206" spans="5:25">
      <c r="E206" s="903"/>
      <c r="F206" s="903"/>
      <c r="G206" s="903"/>
      <c r="H206" s="903"/>
      <c r="I206" s="903"/>
      <c r="J206" s="903"/>
      <c r="K206" s="903"/>
      <c r="L206" s="903"/>
      <c r="M206" s="903"/>
      <c r="N206" s="903"/>
      <c r="O206" s="903"/>
      <c r="P206" s="903"/>
      <c r="Y206" s="904"/>
    </row>
    <row r="207" spans="5:25">
      <c r="E207" s="903"/>
      <c r="F207" s="903"/>
      <c r="G207" s="903"/>
      <c r="H207" s="903"/>
      <c r="I207" s="903"/>
      <c r="J207" s="903"/>
      <c r="K207" s="903"/>
      <c r="L207" s="903"/>
      <c r="M207" s="903"/>
      <c r="N207" s="903"/>
      <c r="O207" s="903"/>
      <c r="P207" s="903"/>
      <c r="Y207" s="904"/>
    </row>
    <row r="208" spans="5:25">
      <c r="E208" s="903"/>
      <c r="F208" s="903"/>
      <c r="G208" s="903"/>
      <c r="H208" s="903"/>
      <c r="I208" s="903"/>
      <c r="J208" s="903"/>
      <c r="K208" s="903"/>
      <c r="L208" s="903"/>
      <c r="M208" s="903"/>
      <c r="N208" s="903"/>
      <c r="O208" s="903"/>
      <c r="P208" s="903"/>
      <c r="Y208" s="904"/>
    </row>
    <row r="209" spans="5:25">
      <c r="E209" s="903"/>
      <c r="F209" s="903"/>
      <c r="G209" s="903"/>
      <c r="H209" s="903"/>
      <c r="I209" s="903"/>
      <c r="J209" s="903"/>
      <c r="K209" s="903"/>
      <c r="L209" s="903"/>
      <c r="M209" s="903"/>
      <c r="N209" s="903"/>
      <c r="O209" s="903"/>
      <c r="P209" s="903"/>
      <c r="Y209" s="904"/>
    </row>
    <row r="210" spans="5:25">
      <c r="E210" s="903"/>
      <c r="F210" s="903"/>
      <c r="G210" s="903"/>
      <c r="H210" s="903"/>
      <c r="I210" s="903"/>
      <c r="J210" s="903"/>
      <c r="K210" s="903"/>
      <c r="L210" s="903"/>
      <c r="M210" s="903"/>
      <c r="N210" s="903"/>
      <c r="O210" s="903"/>
      <c r="P210" s="903"/>
      <c r="Y210" s="904"/>
    </row>
    <row r="211" spans="5:25">
      <c r="E211" s="903"/>
      <c r="F211" s="903"/>
      <c r="G211" s="903"/>
      <c r="H211" s="903"/>
      <c r="I211" s="903"/>
      <c r="J211" s="903"/>
      <c r="K211" s="903"/>
      <c r="L211" s="903"/>
      <c r="M211" s="903"/>
      <c r="N211" s="903"/>
      <c r="O211" s="903"/>
      <c r="P211" s="903"/>
      <c r="Y211" s="904"/>
    </row>
    <row r="212" spans="5:25">
      <c r="E212" s="903"/>
      <c r="F212" s="903"/>
      <c r="G212" s="903"/>
      <c r="H212" s="903"/>
      <c r="I212" s="903"/>
      <c r="J212" s="903"/>
      <c r="K212" s="903"/>
      <c r="L212" s="903"/>
      <c r="M212" s="903"/>
      <c r="N212" s="903"/>
      <c r="O212" s="903"/>
      <c r="P212" s="903"/>
      <c r="Y212" s="904"/>
    </row>
    <row r="213" spans="5:25">
      <c r="E213" s="903"/>
      <c r="F213" s="903"/>
      <c r="G213" s="903"/>
      <c r="H213" s="903"/>
      <c r="I213" s="903"/>
      <c r="J213" s="903"/>
      <c r="K213" s="903"/>
      <c r="L213" s="903"/>
      <c r="M213" s="903"/>
      <c r="N213" s="903"/>
      <c r="O213" s="903"/>
      <c r="P213" s="903"/>
      <c r="Y213" s="904"/>
    </row>
    <row r="214" spans="5:25">
      <c r="E214" s="903"/>
      <c r="F214" s="903"/>
      <c r="G214" s="903"/>
      <c r="H214" s="903"/>
      <c r="I214" s="903"/>
      <c r="J214" s="903"/>
      <c r="K214" s="903"/>
      <c r="L214" s="903"/>
      <c r="M214" s="903"/>
      <c r="N214" s="903"/>
      <c r="O214" s="903"/>
      <c r="P214" s="903"/>
      <c r="Y214" s="904"/>
    </row>
    <row r="215" spans="5:25">
      <c r="E215" s="903"/>
      <c r="F215" s="903"/>
      <c r="G215" s="903"/>
      <c r="H215" s="903"/>
      <c r="I215" s="903"/>
      <c r="J215" s="903"/>
      <c r="K215" s="903"/>
      <c r="L215" s="903"/>
      <c r="M215" s="903"/>
      <c r="N215" s="903"/>
      <c r="O215" s="903"/>
      <c r="P215" s="903"/>
      <c r="Y215" s="904"/>
    </row>
    <row r="216" spans="5:25">
      <c r="E216" s="903"/>
      <c r="F216" s="903"/>
      <c r="G216" s="903"/>
      <c r="H216" s="903"/>
      <c r="I216" s="903"/>
      <c r="J216" s="903"/>
      <c r="K216" s="903"/>
      <c r="L216" s="903"/>
      <c r="M216" s="903"/>
      <c r="N216" s="903"/>
      <c r="O216" s="903"/>
      <c r="P216" s="903"/>
      <c r="Y216" s="904"/>
    </row>
    <row r="217" spans="5:25">
      <c r="E217" s="903"/>
      <c r="F217" s="903"/>
      <c r="G217" s="903"/>
      <c r="H217" s="903"/>
      <c r="I217" s="903"/>
      <c r="J217" s="903"/>
      <c r="K217" s="903"/>
      <c r="L217" s="903"/>
      <c r="M217" s="903"/>
      <c r="N217" s="903"/>
      <c r="O217" s="903"/>
      <c r="P217" s="903"/>
      <c r="Y217" s="904"/>
    </row>
    <row r="218" spans="5:25">
      <c r="E218" s="903"/>
      <c r="F218" s="903"/>
      <c r="G218" s="903"/>
      <c r="H218" s="903"/>
      <c r="I218" s="903"/>
      <c r="J218" s="903"/>
      <c r="K218" s="903"/>
      <c r="L218" s="903"/>
      <c r="M218" s="903"/>
      <c r="N218" s="903"/>
      <c r="O218" s="903"/>
      <c r="P218" s="903"/>
      <c r="Y218" s="904"/>
    </row>
    <row r="219" spans="5:25">
      <c r="E219" s="903"/>
      <c r="F219" s="903"/>
      <c r="G219" s="903"/>
      <c r="H219" s="903"/>
      <c r="I219" s="903"/>
      <c r="J219" s="903"/>
      <c r="K219" s="903"/>
      <c r="L219" s="903"/>
      <c r="M219" s="903"/>
      <c r="N219" s="903"/>
      <c r="O219" s="903"/>
      <c r="P219" s="903"/>
      <c r="Y219" s="904"/>
    </row>
    <row r="220" spans="5:25">
      <c r="E220" s="903"/>
      <c r="F220" s="903"/>
      <c r="G220" s="903"/>
      <c r="H220" s="903"/>
      <c r="I220" s="903"/>
      <c r="J220" s="903"/>
      <c r="K220" s="903"/>
      <c r="L220" s="903"/>
      <c r="M220" s="903"/>
      <c r="N220" s="903"/>
      <c r="O220" s="903"/>
      <c r="P220" s="903"/>
      <c r="Y220" s="904"/>
    </row>
    <row r="221" spans="5:25">
      <c r="E221" s="903"/>
      <c r="F221" s="903"/>
      <c r="G221" s="903"/>
      <c r="H221" s="903"/>
      <c r="I221" s="903"/>
      <c r="J221" s="903"/>
      <c r="K221" s="903"/>
      <c r="L221" s="903"/>
      <c r="M221" s="903"/>
      <c r="N221" s="903"/>
      <c r="O221" s="903"/>
      <c r="P221" s="903"/>
      <c r="Y221" s="904"/>
    </row>
    <row r="222" spans="5:25">
      <c r="E222" s="903"/>
      <c r="F222" s="903"/>
      <c r="G222" s="903"/>
      <c r="H222" s="903"/>
      <c r="I222" s="903"/>
      <c r="J222" s="903"/>
      <c r="K222" s="903"/>
      <c r="L222" s="903"/>
      <c r="M222" s="903"/>
      <c r="N222" s="903"/>
      <c r="O222" s="903"/>
      <c r="P222" s="903"/>
      <c r="Y222" s="904"/>
    </row>
    <row r="223" spans="5:25">
      <c r="E223" s="903"/>
      <c r="F223" s="903"/>
      <c r="G223" s="903"/>
      <c r="H223" s="903"/>
      <c r="I223" s="903"/>
      <c r="J223" s="903"/>
      <c r="K223" s="903"/>
      <c r="L223" s="903"/>
      <c r="M223" s="903"/>
      <c r="N223" s="903"/>
      <c r="O223" s="903"/>
      <c r="P223" s="903"/>
      <c r="Y223" s="904"/>
    </row>
    <row r="224" spans="5:25">
      <c r="E224" s="903"/>
      <c r="F224" s="903"/>
      <c r="G224" s="903"/>
      <c r="H224" s="903"/>
      <c r="I224" s="903"/>
      <c r="J224" s="903"/>
      <c r="K224" s="903"/>
      <c r="L224" s="903"/>
      <c r="M224" s="903"/>
      <c r="N224" s="903"/>
      <c r="O224" s="903"/>
      <c r="P224" s="903"/>
      <c r="Y224" s="904"/>
    </row>
    <row r="225" spans="5:25">
      <c r="E225" s="903"/>
      <c r="F225" s="903"/>
      <c r="G225" s="903"/>
      <c r="H225" s="903"/>
      <c r="I225" s="903"/>
      <c r="J225" s="903"/>
      <c r="K225" s="903"/>
      <c r="L225" s="903"/>
      <c r="M225" s="903"/>
      <c r="N225" s="903"/>
      <c r="O225" s="903"/>
      <c r="P225" s="903"/>
      <c r="Y225" s="904"/>
    </row>
    <row r="226" spans="5:25">
      <c r="E226" s="903"/>
      <c r="F226" s="903"/>
      <c r="G226" s="903"/>
      <c r="H226" s="903"/>
      <c r="I226" s="903"/>
      <c r="J226" s="903"/>
      <c r="K226" s="903"/>
      <c r="L226" s="903"/>
      <c r="M226" s="903"/>
      <c r="N226" s="903"/>
      <c r="O226" s="903"/>
      <c r="P226" s="903"/>
      <c r="Y226" s="904"/>
    </row>
    <row r="227" spans="5:25">
      <c r="E227" s="903"/>
      <c r="F227" s="903"/>
      <c r="G227" s="903"/>
      <c r="H227" s="903"/>
      <c r="I227" s="903"/>
      <c r="J227" s="903"/>
      <c r="K227" s="903"/>
      <c r="L227" s="903"/>
      <c r="M227" s="903"/>
      <c r="N227" s="903"/>
      <c r="O227" s="903"/>
      <c r="P227" s="903"/>
      <c r="Y227" s="904"/>
    </row>
    <row r="228" spans="5:25">
      <c r="E228" s="903"/>
      <c r="F228" s="903"/>
      <c r="G228" s="903"/>
      <c r="H228" s="903"/>
      <c r="I228" s="903"/>
      <c r="J228" s="903"/>
      <c r="K228" s="903"/>
      <c r="L228" s="903"/>
      <c r="M228" s="903"/>
      <c r="N228" s="903"/>
      <c r="O228" s="903"/>
      <c r="P228" s="903"/>
      <c r="Y228" s="904"/>
    </row>
    <row r="229" spans="5:25">
      <c r="E229" s="903"/>
      <c r="F229" s="903"/>
      <c r="G229" s="903"/>
      <c r="H229" s="903"/>
      <c r="I229" s="903"/>
      <c r="J229" s="903"/>
      <c r="K229" s="903"/>
      <c r="L229" s="903"/>
      <c r="M229" s="903"/>
      <c r="N229" s="903"/>
      <c r="O229" s="903"/>
      <c r="P229" s="903"/>
      <c r="Y229" s="904"/>
    </row>
    <row r="230" spans="5:25">
      <c r="E230" s="903"/>
      <c r="F230" s="903"/>
      <c r="G230" s="903"/>
      <c r="H230" s="903"/>
      <c r="I230" s="903"/>
      <c r="J230" s="903"/>
      <c r="K230" s="903"/>
      <c r="L230" s="903"/>
      <c r="M230" s="903"/>
      <c r="N230" s="903"/>
      <c r="O230" s="903"/>
      <c r="P230" s="903"/>
      <c r="Y230" s="904"/>
    </row>
    <row r="231" spans="5:25">
      <c r="E231" s="903"/>
      <c r="F231" s="903"/>
      <c r="G231" s="903"/>
      <c r="H231" s="903"/>
      <c r="I231" s="903"/>
      <c r="J231" s="903"/>
      <c r="K231" s="903"/>
      <c r="L231" s="903"/>
      <c r="M231" s="903"/>
      <c r="N231" s="903"/>
      <c r="O231" s="903"/>
      <c r="P231" s="903"/>
      <c r="Y231" s="904"/>
    </row>
    <row r="232" spans="5:25">
      <c r="E232" s="903"/>
      <c r="F232" s="903"/>
      <c r="G232" s="903"/>
      <c r="H232" s="903"/>
      <c r="I232" s="903"/>
      <c r="J232" s="903"/>
      <c r="K232" s="903"/>
      <c r="L232" s="903"/>
      <c r="M232" s="903"/>
      <c r="N232" s="903"/>
      <c r="O232" s="903"/>
      <c r="P232" s="903"/>
      <c r="Y232" s="904"/>
    </row>
    <row r="233" spans="5:25">
      <c r="E233" s="903"/>
      <c r="F233" s="903"/>
      <c r="G233" s="903"/>
      <c r="H233" s="903"/>
      <c r="I233" s="903"/>
      <c r="J233" s="903"/>
      <c r="K233" s="903"/>
      <c r="L233" s="903"/>
      <c r="M233" s="903"/>
      <c r="N233" s="903"/>
      <c r="O233" s="903"/>
      <c r="P233" s="903"/>
      <c r="Y233" s="904"/>
    </row>
    <row r="234" spans="5:25">
      <c r="E234" s="903"/>
      <c r="F234" s="903"/>
      <c r="G234" s="903"/>
      <c r="H234" s="903"/>
      <c r="I234" s="903"/>
      <c r="J234" s="903"/>
      <c r="K234" s="903"/>
      <c r="L234" s="903"/>
      <c r="M234" s="903"/>
      <c r="N234" s="903"/>
      <c r="O234" s="903"/>
      <c r="P234" s="903"/>
      <c r="Y234" s="904"/>
    </row>
    <row r="235" spans="5:25">
      <c r="E235" s="903"/>
      <c r="F235" s="903"/>
      <c r="G235" s="903"/>
      <c r="H235" s="903"/>
      <c r="I235" s="903"/>
      <c r="J235" s="903"/>
      <c r="K235" s="903"/>
      <c r="L235" s="903"/>
      <c r="M235" s="903"/>
      <c r="N235" s="903"/>
      <c r="O235" s="903"/>
      <c r="P235" s="903"/>
      <c r="Y235" s="904"/>
    </row>
    <row r="236" spans="5:25">
      <c r="E236" s="903"/>
      <c r="F236" s="903"/>
      <c r="G236" s="903"/>
      <c r="H236" s="903"/>
      <c r="I236" s="903"/>
      <c r="J236" s="903"/>
      <c r="K236" s="903"/>
      <c r="L236" s="903"/>
      <c r="M236" s="903"/>
      <c r="N236" s="903"/>
      <c r="O236" s="903"/>
      <c r="P236" s="903"/>
      <c r="Y236" s="904"/>
    </row>
    <row r="237" spans="5:25">
      <c r="E237" s="903"/>
      <c r="F237" s="903"/>
      <c r="G237" s="903"/>
      <c r="H237" s="903"/>
      <c r="I237" s="903"/>
      <c r="J237" s="903"/>
      <c r="K237" s="903"/>
      <c r="L237" s="903"/>
      <c r="M237" s="903"/>
      <c r="N237" s="903"/>
      <c r="O237" s="903"/>
      <c r="P237" s="903"/>
      <c r="Y237" s="904"/>
    </row>
    <row r="238" spans="5:25">
      <c r="E238" s="903"/>
      <c r="F238" s="903"/>
      <c r="G238" s="903"/>
      <c r="H238" s="903"/>
      <c r="I238" s="903"/>
      <c r="J238" s="903"/>
      <c r="K238" s="903"/>
      <c r="L238" s="903"/>
      <c r="M238" s="903"/>
      <c r="N238" s="903"/>
      <c r="O238" s="903"/>
      <c r="P238" s="903"/>
      <c r="Y238" s="904"/>
    </row>
    <row r="239" spans="5:25">
      <c r="E239" s="903"/>
      <c r="F239" s="903"/>
      <c r="G239" s="903"/>
      <c r="H239" s="903"/>
      <c r="I239" s="903"/>
      <c r="J239" s="903"/>
      <c r="K239" s="903"/>
      <c r="L239" s="903"/>
      <c r="M239" s="903"/>
      <c r="N239" s="903"/>
      <c r="O239" s="903"/>
      <c r="P239" s="903"/>
      <c r="Y239" s="904"/>
    </row>
    <row r="240" spans="5:25">
      <c r="E240" s="903"/>
      <c r="F240" s="903"/>
      <c r="G240" s="903"/>
      <c r="H240" s="903"/>
      <c r="I240" s="903"/>
      <c r="J240" s="903"/>
      <c r="K240" s="903"/>
      <c r="L240" s="903"/>
      <c r="M240" s="903"/>
      <c r="N240" s="903"/>
      <c r="O240" s="903"/>
      <c r="P240" s="903"/>
      <c r="Y240" s="904"/>
    </row>
    <row r="241" spans="5:25">
      <c r="E241" s="903"/>
      <c r="F241" s="903"/>
      <c r="G241" s="903"/>
      <c r="H241" s="903"/>
      <c r="I241" s="903"/>
      <c r="J241" s="903"/>
      <c r="K241" s="903"/>
      <c r="L241" s="903"/>
      <c r="M241" s="903"/>
      <c r="N241" s="903"/>
      <c r="O241" s="903"/>
      <c r="P241" s="903"/>
      <c r="Y241" s="904"/>
    </row>
    <row r="242" spans="5:25">
      <c r="E242" s="903"/>
      <c r="F242" s="903"/>
      <c r="G242" s="903"/>
      <c r="H242" s="903"/>
      <c r="I242" s="903"/>
      <c r="J242" s="903"/>
      <c r="K242" s="903"/>
      <c r="L242" s="903"/>
      <c r="M242" s="903"/>
      <c r="N242" s="903"/>
      <c r="O242" s="903"/>
      <c r="P242" s="903"/>
      <c r="Y242" s="904"/>
    </row>
    <row r="243" spans="5:25">
      <c r="E243" s="903"/>
      <c r="F243" s="903"/>
      <c r="G243" s="903"/>
      <c r="H243" s="903"/>
      <c r="I243" s="903"/>
      <c r="J243" s="903"/>
      <c r="K243" s="903"/>
      <c r="L243" s="903"/>
      <c r="M243" s="903"/>
      <c r="N243" s="903"/>
      <c r="O243" s="903"/>
      <c r="P243" s="903"/>
      <c r="Y243" s="904"/>
    </row>
    <row r="244" spans="5:25">
      <c r="E244" s="903"/>
      <c r="F244" s="903"/>
      <c r="G244" s="903"/>
      <c r="H244" s="903"/>
      <c r="I244" s="903"/>
      <c r="J244" s="903"/>
      <c r="K244" s="903"/>
      <c r="L244" s="903"/>
      <c r="M244" s="903"/>
      <c r="N244" s="903"/>
      <c r="O244" s="903"/>
      <c r="P244" s="903"/>
      <c r="Y244" s="904"/>
    </row>
    <row r="245" spans="5:25">
      <c r="E245" s="903"/>
      <c r="F245" s="903"/>
      <c r="G245" s="903"/>
      <c r="H245" s="903"/>
      <c r="I245" s="903"/>
      <c r="J245" s="903"/>
      <c r="K245" s="903"/>
      <c r="L245" s="903"/>
      <c r="M245" s="903"/>
      <c r="N245" s="903"/>
      <c r="O245" s="903"/>
      <c r="P245" s="903"/>
      <c r="Y245" s="904"/>
    </row>
    <row r="246" spans="5:25">
      <c r="E246" s="903"/>
      <c r="F246" s="903"/>
      <c r="G246" s="903"/>
      <c r="H246" s="903"/>
      <c r="I246" s="903"/>
      <c r="J246" s="903"/>
      <c r="K246" s="903"/>
      <c r="L246" s="903"/>
      <c r="M246" s="903"/>
      <c r="N246" s="903"/>
      <c r="O246" s="903"/>
      <c r="P246" s="903"/>
      <c r="Y246" s="904"/>
    </row>
    <row r="247" spans="5:25">
      <c r="E247" s="903"/>
      <c r="F247" s="903"/>
      <c r="G247" s="903"/>
      <c r="H247" s="903"/>
      <c r="I247" s="903"/>
      <c r="J247" s="903"/>
      <c r="K247" s="903"/>
      <c r="L247" s="903"/>
      <c r="M247" s="903"/>
      <c r="N247" s="903"/>
      <c r="O247" s="903"/>
      <c r="P247" s="903"/>
      <c r="Y247" s="904"/>
    </row>
    <row r="248" spans="5:25">
      <c r="E248" s="903"/>
      <c r="F248" s="903"/>
      <c r="G248" s="903"/>
      <c r="H248" s="903"/>
      <c r="I248" s="903"/>
      <c r="J248" s="903"/>
      <c r="K248" s="903"/>
      <c r="L248" s="903"/>
      <c r="M248" s="903"/>
      <c r="N248" s="903"/>
      <c r="O248" s="903"/>
      <c r="P248" s="903"/>
      <c r="Y248" s="904"/>
    </row>
    <row r="249" spans="5:25">
      <c r="E249" s="903"/>
      <c r="F249" s="903"/>
      <c r="G249" s="903"/>
      <c r="H249" s="903"/>
      <c r="I249" s="903"/>
      <c r="J249" s="903"/>
      <c r="K249" s="903"/>
      <c r="L249" s="903"/>
      <c r="M249" s="903"/>
      <c r="N249" s="903"/>
      <c r="O249" s="903"/>
      <c r="P249" s="903"/>
      <c r="Y249" s="904"/>
    </row>
    <row r="250" spans="5:25">
      <c r="E250" s="903"/>
      <c r="F250" s="903"/>
      <c r="G250" s="903"/>
      <c r="H250" s="903"/>
      <c r="I250" s="903"/>
      <c r="J250" s="903"/>
      <c r="K250" s="903"/>
      <c r="L250" s="903"/>
      <c r="M250" s="903"/>
      <c r="N250" s="903"/>
      <c r="O250" s="903"/>
      <c r="P250" s="903"/>
      <c r="Y250" s="904"/>
    </row>
    <row r="251" spans="5:25">
      <c r="E251" s="903"/>
      <c r="F251" s="903"/>
      <c r="G251" s="903"/>
      <c r="H251" s="903"/>
      <c r="I251" s="903"/>
      <c r="J251" s="903"/>
      <c r="K251" s="903"/>
      <c r="L251" s="903"/>
      <c r="M251" s="903"/>
      <c r="N251" s="903"/>
      <c r="O251" s="903"/>
      <c r="P251" s="903"/>
      <c r="Y251" s="904"/>
    </row>
    <row r="252" spans="5:25">
      <c r="E252" s="903"/>
      <c r="F252" s="903"/>
      <c r="G252" s="903"/>
      <c r="H252" s="903"/>
      <c r="I252" s="903"/>
      <c r="J252" s="903"/>
      <c r="K252" s="903"/>
      <c r="L252" s="903"/>
      <c r="M252" s="903"/>
      <c r="N252" s="903"/>
      <c r="O252" s="903"/>
      <c r="P252" s="903"/>
      <c r="Y252" s="904"/>
    </row>
    <row r="253" spans="5:25">
      <c r="E253" s="903"/>
      <c r="F253" s="903"/>
      <c r="G253" s="903"/>
      <c r="H253" s="903"/>
      <c r="I253" s="903"/>
      <c r="J253" s="903"/>
      <c r="K253" s="903"/>
      <c r="L253" s="903"/>
      <c r="M253" s="903"/>
      <c r="N253" s="903"/>
      <c r="O253" s="903"/>
      <c r="P253" s="903"/>
      <c r="Y253" s="904"/>
    </row>
    <row r="254" spans="5:25">
      <c r="E254" s="903"/>
      <c r="F254" s="903"/>
      <c r="G254" s="903"/>
      <c r="H254" s="903"/>
      <c r="I254" s="903"/>
      <c r="J254" s="903"/>
      <c r="K254" s="903"/>
      <c r="L254" s="903"/>
      <c r="M254" s="903"/>
      <c r="N254" s="903"/>
      <c r="O254" s="903"/>
      <c r="P254" s="903"/>
      <c r="Y254" s="904"/>
    </row>
    <row r="255" spans="5:25">
      <c r="E255" s="903"/>
      <c r="F255" s="903"/>
      <c r="G255" s="903"/>
      <c r="H255" s="903"/>
      <c r="I255" s="903"/>
      <c r="J255" s="903"/>
      <c r="K255" s="903"/>
      <c r="L255" s="903"/>
      <c r="M255" s="903"/>
      <c r="N255" s="903"/>
      <c r="O255" s="903"/>
      <c r="P255" s="903"/>
      <c r="Y255" s="904"/>
    </row>
    <row r="256" spans="5:25">
      <c r="E256" s="903"/>
      <c r="F256" s="903"/>
      <c r="G256" s="903"/>
      <c r="H256" s="903"/>
      <c r="I256" s="903"/>
      <c r="J256" s="903"/>
      <c r="K256" s="903"/>
      <c r="L256" s="903"/>
      <c r="M256" s="903"/>
      <c r="N256" s="903"/>
      <c r="O256" s="903"/>
      <c r="P256" s="903"/>
      <c r="Y256" s="904"/>
    </row>
    <row r="257" spans="5:25">
      <c r="E257" s="903"/>
      <c r="F257" s="903"/>
      <c r="G257" s="903"/>
      <c r="H257" s="903"/>
      <c r="I257" s="903"/>
      <c r="J257" s="903"/>
      <c r="K257" s="903"/>
      <c r="L257" s="903"/>
      <c r="M257" s="903"/>
      <c r="N257" s="903"/>
      <c r="O257" s="903"/>
      <c r="P257" s="903"/>
      <c r="Y257" s="904"/>
    </row>
    <row r="258" spans="5:25">
      <c r="E258" s="903"/>
      <c r="F258" s="903"/>
      <c r="G258" s="903"/>
      <c r="H258" s="903"/>
      <c r="I258" s="903"/>
      <c r="J258" s="903"/>
      <c r="K258" s="903"/>
      <c r="L258" s="903"/>
      <c r="M258" s="903"/>
      <c r="N258" s="903"/>
      <c r="O258" s="903"/>
      <c r="P258" s="903"/>
      <c r="Y258" s="904"/>
    </row>
    <row r="259" spans="5:25">
      <c r="E259" s="903"/>
      <c r="F259" s="903"/>
      <c r="G259" s="903"/>
      <c r="H259" s="903"/>
      <c r="I259" s="903"/>
      <c r="J259" s="903"/>
      <c r="K259" s="903"/>
      <c r="L259" s="903"/>
      <c r="M259" s="903"/>
      <c r="N259" s="903"/>
      <c r="O259" s="903"/>
      <c r="P259" s="903"/>
      <c r="Y259" s="904"/>
    </row>
    <row r="260" spans="5:25">
      <c r="E260" s="903"/>
      <c r="F260" s="903"/>
      <c r="G260" s="903"/>
      <c r="H260" s="903"/>
      <c r="I260" s="903"/>
      <c r="J260" s="903"/>
      <c r="K260" s="903"/>
      <c r="L260" s="903"/>
      <c r="M260" s="903"/>
      <c r="N260" s="903"/>
      <c r="O260" s="903"/>
      <c r="P260" s="903"/>
      <c r="Y260" s="904"/>
    </row>
    <row r="261" spans="5:25">
      <c r="E261" s="903"/>
      <c r="F261" s="903"/>
      <c r="G261" s="903"/>
      <c r="H261" s="903"/>
      <c r="I261" s="903"/>
      <c r="J261" s="903"/>
      <c r="K261" s="903"/>
      <c r="L261" s="903"/>
      <c r="M261" s="903"/>
      <c r="N261" s="903"/>
      <c r="O261" s="903"/>
      <c r="P261" s="903"/>
      <c r="Y261" s="904"/>
    </row>
    <row r="262" spans="5:25">
      <c r="E262" s="903"/>
      <c r="F262" s="903"/>
      <c r="G262" s="903"/>
      <c r="H262" s="903"/>
      <c r="I262" s="903"/>
      <c r="J262" s="903"/>
      <c r="K262" s="903"/>
      <c r="L262" s="903"/>
      <c r="M262" s="903"/>
      <c r="N262" s="903"/>
      <c r="O262" s="903"/>
      <c r="P262" s="903"/>
      <c r="Y262" s="904"/>
    </row>
    <row r="263" spans="5:25">
      <c r="E263" s="903"/>
      <c r="F263" s="903"/>
      <c r="G263" s="903"/>
      <c r="H263" s="903"/>
      <c r="I263" s="903"/>
      <c r="J263" s="903"/>
      <c r="K263" s="903"/>
      <c r="L263" s="903"/>
      <c r="M263" s="903"/>
      <c r="N263" s="903"/>
      <c r="O263" s="903"/>
      <c r="P263" s="903"/>
      <c r="Y263" s="904"/>
    </row>
    <row r="264" spans="5:25">
      <c r="E264" s="903"/>
      <c r="F264" s="903"/>
      <c r="G264" s="903"/>
      <c r="H264" s="903"/>
      <c r="I264" s="903"/>
      <c r="J264" s="903"/>
      <c r="K264" s="903"/>
      <c r="L264" s="903"/>
      <c r="M264" s="903"/>
      <c r="N264" s="903"/>
      <c r="O264" s="903"/>
      <c r="P264" s="903"/>
      <c r="Y264" s="904"/>
    </row>
    <row r="265" spans="5:25">
      <c r="E265" s="903"/>
      <c r="F265" s="903"/>
      <c r="G265" s="903"/>
      <c r="H265" s="903"/>
      <c r="I265" s="903"/>
      <c r="J265" s="903"/>
      <c r="K265" s="903"/>
      <c r="L265" s="903"/>
      <c r="M265" s="903"/>
      <c r="N265" s="903"/>
      <c r="O265" s="903"/>
      <c r="P265" s="903"/>
      <c r="Y265" s="904"/>
    </row>
    <row r="266" spans="5:25">
      <c r="E266" s="903"/>
      <c r="F266" s="903"/>
      <c r="G266" s="903"/>
      <c r="H266" s="903"/>
      <c r="I266" s="903"/>
      <c r="J266" s="903"/>
      <c r="K266" s="903"/>
      <c r="L266" s="903"/>
      <c r="M266" s="903"/>
      <c r="N266" s="903"/>
      <c r="O266" s="903"/>
      <c r="P266" s="903"/>
      <c r="Y266" s="904"/>
    </row>
    <row r="267" spans="5:25">
      <c r="E267" s="903"/>
      <c r="F267" s="903"/>
      <c r="G267" s="903"/>
      <c r="H267" s="903"/>
      <c r="I267" s="903"/>
      <c r="J267" s="903"/>
      <c r="K267" s="903"/>
      <c r="L267" s="903"/>
      <c r="M267" s="903"/>
      <c r="N267" s="903"/>
      <c r="O267" s="903"/>
      <c r="P267" s="903"/>
      <c r="Y267" s="904"/>
    </row>
    <row r="268" spans="5:25">
      <c r="E268" s="903"/>
      <c r="F268" s="903"/>
      <c r="G268" s="903"/>
      <c r="H268" s="903"/>
      <c r="I268" s="903"/>
      <c r="J268" s="903"/>
      <c r="K268" s="903"/>
      <c r="L268" s="903"/>
      <c r="M268" s="903"/>
      <c r="N268" s="903"/>
      <c r="O268" s="903"/>
      <c r="P268" s="903"/>
      <c r="Y268" s="904"/>
    </row>
    <row r="269" spans="5:25">
      <c r="E269" s="903"/>
      <c r="F269" s="903"/>
      <c r="G269" s="903"/>
      <c r="H269" s="903"/>
      <c r="I269" s="903"/>
      <c r="J269" s="903"/>
      <c r="K269" s="903"/>
      <c r="L269" s="903"/>
      <c r="M269" s="903"/>
      <c r="N269" s="903"/>
      <c r="O269" s="903"/>
      <c r="P269" s="903"/>
      <c r="Y269" s="904"/>
    </row>
    <row r="270" spans="5:25">
      <c r="E270" s="903"/>
      <c r="F270" s="903"/>
      <c r="G270" s="903"/>
      <c r="H270" s="903"/>
      <c r="I270" s="903"/>
      <c r="J270" s="903"/>
      <c r="K270" s="903"/>
      <c r="L270" s="903"/>
      <c r="M270" s="903"/>
      <c r="N270" s="903"/>
      <c r="O270" s="903"/>
      <c r="P270" s="903"/>
      <c r="Y270" s="904"/>
    </row>
    <row r="271" spans="5:25">
      <c r="E271" s="903"/>
      <c r="F271" s="903"/>
      <c r="G271" s="903"/>
      <c r="H271" s="903"/>
      <c r="I271" s="903"/>
      <c r="J271" s="903"/>
      <c r="K271" s="903"/>
      <c r="L271" s="903"/>
      <c r="M271" s="903"/>
      <c r="N271" s="903"/>
      <c r="O271" s="903"/>
      <c r="P271" s="903"/>
      <c r="Y271" s="904"/>
    </row>
    <row r="272" spans="5:25">
      <c r="E272" s="903"/>
      <c r="F272" s="903"/>
      <c r="G272" s="903"/>
      <c r="H272" s="903"/>
      <c r="I272" s="903"/>
      <c r="J272" s="903"/>
      <c r="K272" s="903"/>
      <c r="L272" s="903"/>
      <c r="M272" s="903"/>
      <c r="N272" s="903"/>
      <c r="O272" s="903"/>
      <c r="P272" s="903"/>
      <c r="Y272" s="904"/>
    </row>
    <row r="273" spans="5:25">
      <c r="E273" s="903"/>
      <c r="F273" s="903"/>
      <c r="G273" s="903"/>
      <c r="H273" s="903"/>
      <c r="I273" s="903"/>
      <c r="J273" s="903"/>
      <c r="K273" s="903"/>
      <c r="L273" s="903"/>
      <c r="M273" s="903"/>
      <c r="N273" s="903"/>
      <c r="O273" s="903"/>
      <c r="P273" s="903"/>
      <c r="Y273" s="904"/>
    </row>
    <row r="274" spans="5:25">
      <c r="E274" s="903"/>
      <c r="F274" s="903"/>
      <c r="G274" s="903"/>
      <c r="H274" s="903"/>
      <c r="I274" s="903"/>
      <c r="J274" s="903"/>
      <c r="K274" s="903"/>
      <c r="L274" s="903"/>
      <c r="M274" s="903"/>
      <c r="N274" s="903"/>
      <c r="O274" s="903"/>
      <c r="P274" s="903"/>
      <c r="Y274" s="904"/>
    </row>
    <row r="275" spans="5:25">
      <c r="E275" s="903"/>
      <c r="F275" s="903"/>
      <c r="G275" s="903"/>
      <c r="H275" s="903"/>
      <c r="I275" s="903"/>
      <c r="J275" s="903"/>
      <c r="K275" s="903"/>
      <c r="L275" s="903"/>
      <c r="M275" s="903"/>
      <c r="N275" s="903"/>
      <c r="O275" s="903"/>
      <c r="P275" s="903"/>
      <c r="Y275" s="904"/>
    </row>
    <row r="276" spans="5:25">
      <c r="E276" s="903"/>
      <c r="F276" s="903"/>
      <c r="G276" s="903"/>
      <c r="H276" s="903"/>
      <c r="I276" s="903"/>
      <c r="J276" s="903"/>
      <c r="K276" s="903"/>
      <c r="L276" s="903"/>
      <c r="M276" s="903"/>
      <c r="N276" s="903"/>
      <c r="O276" s="903"/>
      <c r="P276" s="903"/>
      <c r="Y276" s="904"/>
    </row>
    <row r="277" spans="5:25">
      <c r="E277" s="903"/>
      <c r="F277" s="903"/>
      <c r="G277" s="903"/>
      <c r="H277" s="903"/>
      <c r="I277" s="903"/>
      <c r="J277" s="903"/>
      <c r="K277" s="903"/>
      <c r="L277" s="903"/>
      <c r="M277" s="903"/>
      <c r="N277" s="903"/>
      <c r="O277" s="903"/>
      <c r="P277" s="903"/>
      <c r="Y277" s="904"/>
    </row>
    <row r="278" spans="5:25">
      <c r="E278" s="903"/>
      <c r="F278" s="903"/>
      <c r="G278" s="903"/>
      <c r="H278" s="903"/>
      <c r="I278" s="903"/>
      <c r="J278" s="903"/>
      <c r="K278" s="903"/>
      <c r="L278" s="903"/>
      <c r="M278" s="903"/>
      <c r="N278" s="903"/>
      <c r="O278" s="903"/>
      <c r="P278" s="903"/>
      <c r="Y278" s="904"/>
    </row>
    <row r="279" spans="5:25">
      <c r="E279" s="903"/>
      <c r="F279" s="903"/>
      <c r="G279" s="903"/>
      <c r="H279" s="903"/>
      <c r="I279" s="903"/>
      <c r="J279" s="903"/>
      <c r="K279" s="903"/>
      <c r="L279" s="903"/>
      <c r="M279" s="903"/>
      <c r="N279" s="903"/>
      <c r="O279" s="903"/>
      <c r="P279" s="903"/>
      <c r="Y279" s="904"/>
    </row>
    <row r="280" spans="5:25">
      <c r="E280" s="903"/>
      <c r="F280" s="903"/>
      <c r="G280" s="903"/>
      <c r="H280" s="903"/>
      <c r="I280" s="903"/>
      <c r="J280" s="903"/>
      <c r="K280" s="903"/>
      <c r="L280" s="903"/>
      <c r="M280" s="903"/>
      <c r="N280" s="903"/>
      <c r="O280" s="903"/>
      <c r="P280" s="903"/>
      <c r="Y280" s="904"/>
    </row>
    <row r="281" spans="5:25">
      <c r="E281" s="903"/>
      <c r="F281" s="903"/>
      <c r="G281" s="903"/>
      <c r="H281" s="903"/>
      <c r="I281" s="903"/>
      <c r="J281" s="903"/>
      <c r="K281" s="903"/>
      <c r="L281" s="903"/>
      <c r="M281" s="903"/>
      <c r="N281" s="903"/>
      <c r="O281" s="903"/>
      <c r="P281" s="903"/>
      <c r="Y281" s="904"/>
    </row>
    <row r="282" spans="5:25">
      <c r="E282" s="903"/>
      <c r="F282" s="903"/>
      <c r="G282" s="903"/>
      <c r="H282" s="903"/>
      <c r="I282" s="903"/>
      <c r="J282" s="903"/>
      <c r="K282" s="903"/>
      <c r="L282" s="903"/>
      <c r="M282" s="903"/>
      <c r="N282" s="903"/>
      <c r="O282" s="903"/>
      <c r="P282" s="903"/>
      <c r="Y282" s="904"/>
    </row>
    <row r="283" spans="5:25">
      <c r="E283" s="903"/>
      <c r="F283" s="903"/>
      <c r="G283" s="903"/>
      <c r="H283" s="903"/>
      <c r="I283" s="903"/>
      <c r="J283" s="903"/>
      <c r="K283" s="903"/>
      <c r="L283" s="903"/>
      <c r="M283" s="903"/>
      <c r="N283" s="903"/>
      <c r="O283" s="903"/>
      <c r="P283" s="903"/>
      <c r="Y283" s="904"/>
    </row>
    <row r="284" spans="5:25">
      <c r="E284" s="903"/>
      <c r="F284" s="903"/>
      <c r="G284" s="903"/>
      <c r="H284" s="903"/>
      <c r="I284" s="903"/>
      <c r="J284" s="903"/>
      <c r="K284" s="903"/>
      <c r="L284" s="903"/>
      <c r="M284" s="903"/>
      <c r="N284" s="903"/>
      <c r="O284" s="903"/>
      <c r="P284" s="903"/>
      <c r="Y284" s="904"/>
    </row>
    <row r="285" spans="5:25">
      <c r="E285" s="903"/>
      <c r="F285" s="903"/>
      <c r="G285" s="903"/>
      <c r="H285" s="903"/>
      <c r="I285" s="903"/>
      <c r="J285" s="903"/>
      <c r="K285" s="903"/>
      <c r="L285" s="903"/>
      <c r="M285" s="903"/>
      <c r="N285" s="903"/>
      <c r="O285" s="903"/>
      <c r="P285" s="903"/>
      <c r="Y285" s="904"/>
    </row>
    <row r="286" spans="5:25">
      <c r="E286" s="903"/>
      <c r="F286" s="903"/>
      <c r="G286" s="903"/>
      <c r="H286" s="903"/>
      <c r="I286" s="903"/>
      <c r="J286" s="903"/>
      <c r="K286" s="903"/>
      <c r="L286" s="903"/>
      <c r="M286" s="903"/>
      <c r="N286" s="903"/>
      <c r="O286" s="903"/>
      <c r="P286" s="903"/>
      <c r="Y286" s="904"/>
    </row>
    <row r="287" spans="5:25">
      <c r="E287" s="903"/>
      <c r="F287" s="903"/>
      <c r="G287" s="903"/>
      <c r="H287" s="903"/>
      <c r="I287" s="903"/>
      <c r="J287" s="903"/>
      <c r="K287" s="903"/>
      <c r="L287" s="903"/>
      <c r="M287" s="903"/>
      <c r="N287" s="903"/>
      <c r="O287" s="903"/>
      <c r="P287" s="903"/>
      <c r="Y287" s="904"/>
    </row>
    <row r="288" spans="5:25">
      <c r="E288" s="903"/>
      <c r="F288" s="903"/>
      <c r="G288" s="903"/>
      <c r="H288" s="903"/>
      <c r="I288" s="903"/>
      <c r="J288" s="903"/>
      <c r="K288" s="903"/>
      <c r="L288" s="903"/>
      <c r="M288" s="903"/>
      <c r="N288" s="903"/>
      <c r="O288" s="903"/>
      <c r="P288" s="903"/>
      <c r="Y288" s="904"/>
    </row>
    <row r="289" spans="5:25">
      <c r="E289" s="903"/>
      <c r="F289" s="903"/>
      <c r="G289" s="903"/>
      <c r="H289" s="903"/>
      <c r="I289" s="903"/>
      <c r="J289" s="903"/>
      <c r="K289" s="903"/>
      <c r="L289" s="903"/>
      <c r="M289" s="903"/>
      <c r="N289" s="903"/>
      <c r="O289" s="903"/>
      <c r="P289" s="903"/>
      <c r="Y289" s="904"/>
    </row>
    <row r="290" spans="5:25">
      <c r="E290" s="903"/>
      <c r="F290" s="903"/>
      <c r="G290" s="903"/>
      <c r="H290" s="903"/>
      <c r="I290" s="903"/>
      <c r="J290" s="903"/>
      <c r="K290" s="903"/>
      <c r="L290" s="903"/>
      <c r="M290" s="903"/>
      <c r="N290" s="903"/>
      <c r="O290" s="903"/>
      <c r="P290" s="903"/>
      <c r="Y290" s="904"/>
    </row>
    <row r="291" spans="5:25">
      <c r="E291" s="903"/>
      <c r="F291" s="903"/>
      <c r="G291" s="903"/>
      <c r="H291" s="903"/>
      <c r="I291" s="903"/>
      <c r="J291" s="903"/>
      <c r="K291" s="903"/>
      <c r="L291" s="903"/>
      <c r="M291" s="903"/>
      <c r="N291" s="903"/>
      <c r="O291" s="903"/>
      <c r="P291" s="903"/>
      <c r="Y291" s="904"/>
    </row>
    <row r="292" spans="5:25">
      <c r="E292" s="903"/>
      <c r="F292" s="903"/>
      <c r="G292" s="903"/>
      <c r="H292" s="903"/>
      <c r="I292" s="903"/>
      <c r="J292" s="903"/>
      <c r="K292" s="903"/>
      <c r="L292" s="903"/>
      <c r="M292" s="903"/>
      <c r="N292" s="903"/>
      <c r="O292" s="903"/>
      <c r="P292" s="903"/>
      <c r="Y292" s="904"/>
    </row>
    <row r="293" spans="5:25">
      <c r="E293" s="903"/>
      <c r="F293" s="903"/>
      <c r="G293" s="903"/>
      <c r="H293" s="903"/>
      <c r="I293" s="903"/>
      <c r="J293" s="903"/>
      <c r="K293" s="903"/>
      <c r="L293" s="903"/>
      <c r="M293" s="903"/>
      <c r="N293" s="903"/>
      <c r="O293" s="903"/>
      <c r="P293" s="903"/>
      <c r="Y293" s="904"/>
    </row>
    <row r="294" spans="5:25">
      <c r="E294" s="903"/>
      <c r="F294" s="903"/>
      <c r="G294" s="903"/>
      <c r="H294" s="903"/>
      <c r="I294" s="903"/>
      <c r="J294" s="903"/>
      <c r="K294" s="903"/>
      <c r="L294" s="903"/>
      <c r="M294" s="903"/>
      <c r="N294" s="903"/>
      <c r="O294" s="903"/>
      <c r="P294" s="903"/>
      <c r="Y294" s="904"/>
    </row>
    <row r="295" spans="5:25">
      <c r="E295" s="903"/>
      <c r="F295" s="903"/>
      <c r="G295" s="903"/>
      <c r="H295" s="903"/>
      <c r="I295" s="903"/>
      <c r="J295" s="903"/>
      <c r="K295" s="903"/>
      <c r="L295" s="903"/>
      <c r="M295" s="903"/>
      <c r="N295" s="903"/>
      <c r="O295" s="903"/>
      <c r="P295" s="903"/>
      <c r="Y295" s="904"/>
    </row>
    <row r="296" spans="5:25">
      <c r="E296" s="903"/>
      <c r="F296" s="903"/>
      <c r="G296" s="903"/>
      <c r="H296" s="903"/>
      <c r="I296" s="903"/>
      <c r="J296" s="903"/>
      <c r="K296" s="903"/>
      <c r="L296" s="903"/>
      <c r="M296" s="903"/>
      <c r="N296" s="903"/>
      <c r="O296" s="903"/>
      <c r="P296" s="903"/>
      <c r="Y296" s="904"/>
    </row>
    <row r="297" spans="5:25">
      <c r="E297" s="903"/>
      <c r="F297" s="903"/>
      <c r="G297" s="903"/>
      <c r="H297" s="903"/>
      <c r="I297" s="903"/>
      <c r="J297" s="903"/>
      <c r="K297" s="903"/>
      <c r="L297" s="903"/>
      <c r="M297" s="903"/>
      <c r="N297" s="903"/>
      <c r="O297" s="903"/>
      <c r="P297" s="903"/>
      <c r="Y297" s="904"/>
    </row>
    <row r="298" spans="5:25">
      <c r="E298" s="903"/>
      <c r="F298" s="903"/>
      <c r="G298" s="903"/>
      <c r="H298" s="903"/>
      <c r="I298" s="903"/>
      <c r="J298" s="903"/>
      <c r="K298" s="903"/>
      <c r="L298" s="903"/>
      <c r="M298" s="903"/>
      <c r="N298" s="903"/>
      <c r="O298" s="903"/>
      <c r="P298" s="903"/>
      <c r="Y298" s="904"/>
    </row>
    <row r="299" spans="5:25">
      <c r="E299" s="903"/>
      <c r="F299" s="903"/>
      <c r="G299" s="903"/>
      <c r="H299" s="903"/>
      <c r="I299" s="903"/>
      <c r="J299" s="903"/>
      <c r="K299" s="903"/>
      <c r="L299" s="903"/>
      <c r="M299" s="903"/>
      <c r="N299" s="903"/>
      <c r="O299" s="903"/>
      <c r="P299" s="903"/>
      <c r="Y299" s="904"/>
    </row>
    <row r="300" spans="5:25">
      <c r="E300" s="903"/>
      <c r="F300" s="903"/>
      <c r="G300" s="903"/>
      <c r="H300" s="903"/>
      <c r="I300" s="903"/>
      <c r="J300" s="903"/>
      <c r="K300" s="903"/>
      <c r="L300" s="903"/>
      <c r="M300" s="903"/>
      <c r="N300" s="903"/>
      <c r="O300" s="903"/>
      <c r="P300" s="903"/>
      <c r="Y300" s="904"/>
    </row>
    <row r="301" spans="5:25">
      <c r="E301" s="903"/>
      <c r="F301" s="903"/>
      <c r="G301" s="903"/>
      <c r="H301" s="903"/>
      <c r="I301" s="903"/>
      <c r="J301" s="903"/>
      <c r="K301" s="903"/>
      <c r="L301" s="903"/>
      <c r="M301" s="903"/>
      <c r="N301" s="903"/>
      <c r="O301" s="903"/>
      <c r="P301" s="903"/>
      <c r="Y301" s="904"/>
    </row>
    <row r="302" spans="5:25">
      <c r="E302" s="903"/>
      <c r="F302" s="903"/>
      <c r="G302" s="903"/>
      <c r="H302" s="903"/>
      <c r="I302" s="903"/>
      <c r="J302" s="903"/>
      <c r="K302" s="903"/>
      <c r="L302" s="903"/>
      <c r="M302" s="903"/>
      <c r="N302" s="903"/>
      <c r="O302" s="903"/>
      <c r="P302" s="903"/>
      <c r="Y302" s="904"/>
    </row>
    <row r="303" spans="5:25">
      <c r="E303" s="903"/>
      <c r="F303" s="903"/>
      <c r="G303" s="903"/>
      <c r="H303" s="903"/>
      <c r="I303" s="903"/>
      <c r="J303" s="903"/>
      <c r="K303" s="903"/>
      <c r="L303" s="903"/>
      <c r="M303" s="903"/>
      <c r="N303" s="903"/>
      <c r="O303" s="903"/>
      <c r="P303" s="903"/>
      <c r="Y303" s="904"/>
    </row>
    <row r="304" spans="5:25">
      <c r="E304" s="903"/>
      <c r="F304" s="903"/>
      <c r="G304" s="903"/>
      <c r="H304" s="903"/>
      <c r="I304" s="903"/>
      <c r="J304" s="903"/>
      <c r="K304" s="903"/>
      <c r="L304" s="903"/>
      <c r="M304" s="903"/>
      <c r="N304" s="903"/>
      <c r="O304" s="903"/>
      <c r="P304" s="903"/>
      <c r="Y304" s="904"/>
    </row>
    <row r="305" spans="5:25">
      <c r="E305" s="903"/>
      <c r="F305" s="903"/>
      <c r="G305" s="903"/>
      <c r="H305" s="903"/>
      <c r="I305" s="903"/>
      <c r="J305" s="903"/>
      <c r="K305" s="903"/>
      <c r="L305" s="903"/>
      <c r="M305" s="903"/>
      <c r="N305" s="903"/>
      <c r="O305" s="903"/>
      <c r="P305" s="903"/>
      <c r="Y305" s="904"/>
    </row>
    <row r="306" spans="5:25">
      <c r="E306" s="903"/>
      <c r="F306" s="903"/>
      <c r="G306" s="903"/>
      <c r="H306" s="903"/>
      <c r="I306" s="903"/>
      <c r="J306" s="903"/>
      <c r="K306" s="903"/>
      <c r="L306" s="903"/>
      <c r="M306" s="903"/>
      <c r="N306" s="903"/>
      <c r="O306" s="903"/>
      <c r="P306" s="903"/>
      <c r="Y306" s="904"/>
    </row>
    <row r="307" spans="5:25">
      <c r="E307" s="903"/>
      <c r="F307" s="903"/>
      <c r="G307" s="903"/>
      <c r="H307" s="903"/>
      <c r="I307" s="903"/>
      <c r="J307" s="903"/>
      <c r="K307" s="903"/>
      <c r="L307" s="903"/>
      <c r="M307" s="903"/>
      <c r="N307" s="903"/>
      <c r="O307" s="903"/>
      <c r="P307" s="903"/>
      <c r="Y307" s="904"/>
    </row>
    <row r="308" spans="5:25">
      <c r="E308" s="903"/>
      <c r="F308" s="903"/>
      <c r="G308" s="903"/>
      <c r="H308" s="903"/>
      <c r="I308" s="903"/>
      <c r="J308" s="903"/>
      <c r="K308" s="903"/>
      <c r="L308" s="903"/>
      <c r="M308" s="903"/>
      <c r="N308" s="903"/>
      <c r="O308" s="903"/>
      <c r="P308" s="903"/>
      <c r="Y308" s="904"/>
    </row>
    <row r="309" spans="5:25">
      <c r="E309" s="903"/>
      <c r="F309" s="903"/>
      <c r="G309" s="903"/>
      <c r="H309" s="903"/>
      <c r="I309" s="903"/>
      <c r="J309" s="903"/>
      <c r="K309" s="903"/>
      <c r="L309" s="903"/>
      <c r="M309" s="903"/>
      <c r="N309" s="903"/>
      <c r="O309" s="903"/>
      <c r="P309" s="903"/>
      <c r="Y309" s="904"/>
    </row>
    <row r="310" spans="5:25">
      <c r="E310" s="903"/>
      <c r="F310" s="903"/>
      <c r="G310" s="903"/>
      <c r="H310" s="903"/>
      <c r="I310" s="903"/>
      <c r="J310" s="903"/>
      <c r="K310" s="903"/>
      <c r="L310" s="903"/>
      <c r="M310" s="903"/>
      <c r="N310" s="903"/>
      <c r="O310" s="903"/>
      <c r="P310" s="903"/>
      <c r="Y310" s="904"/>
    </row>
    <row r="311" spans="5:25">
      <c r="E311" s="903"/>
      <c r="F311" s="903"/>
      <c r="G311" s="903"/>
      <c r="H311" s="903"/>
      <c r="I311" s="903"/>
      <c r="J311" s="903"/>
      <c r="K311" s="903"/>
      <c r="L311" s="903"/>
      <c r="M311" s="903"/>
      <c r="N311" s="903"/>
      <c r="O311" s="903"/>
      <c r="P311" s="903"/>
      <c r="Y311" s="904"/>
    </row>
    <row r="312" spans="5:25">
      <c r="E312" s="903"/>
      <c r="F312" s="903"/>
      <c r="G312" s="903"/>
      <c r="H312" s="903"/>
      <c r="I312" s="903"/>
      <c r="J312" s="903"/>
      <c r="K312" s="903"/>
      <c r="L312" s="903"/>
      <c r="M312" s="903"/>
      <c r="N312" s="903"/>
      <c r="O312" s="903"/>
      <c r="P312" s="903"/>
      <c r="Y312" s="904"/>
    </row>
    <row r="313" spans="5:25">
      <c r="E313" s="903"/>
      <c r="F313" s="903"/>
      <c r="G313" s="903"/>
      <c r="H313" s="903"/>
      <c r="I313" s="903"/>
      <c r="J313" s="903"/>
      <c r="K313" s="903"/>
      <c r="L313" s="903"/>
      <c r="M313" s="903"/>
      <c r="N313" s="903"/>
      <c r="O313" s="903"/>
      <c r="P313" s="903"/>
      <c r="Y313" s="904"/>
    </row>
    <row r="314" spans="5:25">
      <c r="E314" s="903"/>
      <c r="F314" s="903"/>
      <c r="G314" s="903"/>
      <c r="H314" s="903"/>
      <c r="I314" s="903"/>
      <c r="J314" s="903"/>
      <c r="K314" s="903"/>
      <c r="L314" s="903"/>
      <c r="M314" s="903"/>
      <c r="N314" s="903"/>
      <c r="O314" s="903"/>
      <c r="P314" s="903"/>
      <c r="Y314" s="904"/>
    </row>
    <row r="315" spans="5:25">
      <c r="E315" s="903"/>
      <c r="F315" s="903"/>
      <c r="G315" s="903"/>
      <c r="H315" s="903"/>
      <c r="I315" s="903"/>
      <c r="J315" s="903"/>
      <c r="K315" s="903"/>
      <c r="L315" s="903"/>
      <c r="M315" s="903"/>
      <c r="N315" s="903"/>
      <c r="O315" s="903"/>
      <c r="P315" s="903"/>
      <c r="Y315" s="904"/>
    </row>
    <row r="316" spans="5:25">
      <c r="E316" s="903"/>
      <c r="F316" s="903"/>
      <c r="G316" s="903"/>
      <c r="H316" s="903"/>
      <c r="I316" s="903"/>
      <c r="J316" s="903"/>
      <c r="K316" s="903"/>
      <c r="L316" s="903"/>
      <c r="M316" s="903"/>
      <c r="N316" s="903"/>
      <c r="O316" s="903"/>
      <c r="P316" s="903"/>
      <c r="Y316" s="904"/>
    </row>
    <row r="317" spans="5:25">
      <c r="E317" s="903"/>
      <c r="F317" s="903"/>
      <c r="G317" s="903"/>
      <c r="H317" s="903"/>
      <c r="I317" s="903"/>
      <c r="J317" s="903"/>
      <c r="K317" s="903"/>
      <c r="L317" s="903"/>
      <c r="M317" s="903"/>
      <c r="N317" s="903"/>
      <c r="O317" s="903"/>
      <c r="P317" s="903"/>
      <c r="Y317" s="904"/>
    </row>
    <row r="318" spans="5:25">
      <c r="E318" s="903"/>
      <c r="F318" s="903"/>
      <c r="G318" s="903"/>
      <c r="H318" s="903"/>
      <c r="I318" s="903"/>
      <c r="J318" s="903"/>
      <c r="K318" s="903"/>
      <c r="L318" s="903"/>
      <c r="M318" s="903"/>
      <c r="N318" s="903"/>
      <c r="O318" s="903"/>
      <c r="P318" s="903"/>
      <c r="Y318" s="904"/>
    </row>
    <row r="319" spans="5:25">
      <c r="E319" s="903"/>
      <c r="F319" s="903"/>
      <c r="G319" s="903"/>
      <c r="H319" s="903"/>
      <c r="I319" s="903"/>
      <c r="J319" s="903"/>
      <c r="K319" s="903"/>
      <c r="L319" s="903"/>
      <c r="M319" s="903"/>
      <c r="N319" s="903"/>
      <c r="O319" s="903"/>
      <c r="P319" s="903"/>
      <c r="Y319" s="904"/>
    </row>
    <row r="320" spans="5:25">
      <c r="E320" s="903"/>
      <c r="F320" s="903"/>
      <c r="G320" s="903"/>
      <c r="H320" s="903"/>
      <c r="I320" s="903"/>
      <c r="J320" s="903"/>
      <c r="K320" s="903"/>
      <c r="L320" s="903"/>
      <c r="M320" s="903"/>
      <c r="N320" s="903"/>
      <c r="O320" s="903"/>
      <c r="P320" s="903"/>
      <c r="Y320" s="904"/>
    </row>
    <row r="321" spans="5:25">
      <c r="E321" s="903"/>
      <c r="F321" s="903"/>
      <c r="G321" s="903"/>
      <c r="H321" s="903"/>
      <c r="I321" s="903"/>
      <c r="J321" s="903"/>
      <c r="K321" s="903"/>
      <c r="L321" s="903"/>
      <c r="M321" s="903"/>
      <c r="N321" s="903"/>
      <c r="O321" s="903"/>
      <c r="P321" s="903"/>
      <c r="Y321" s="904"/>
    </row>
    <row r="322" spans="5:25">
      <c r="E322" s="903"/>
      <c r="F322" s="903"/>
      <c r="G322" s="903"/>
      <c r="H322" s="903"/>
      <c r="I322" s="903"/>
      <c r="J322" s="903"/>
      <c r="K322" s="903"/>
      <c r="L322" s="903"/>
      <c r="M322" s="903"/>
      <c r="N322" s="903"/>
      <c r="O322" s="903"/>
      <c r="P322" s="903"/>
      <c r="Y322" s="904"/>
    </row>
    <row r="323" spans="5:25">
      <c r="E323" s="903"/>
      <c r="F323" s="903"/>
      <c r="G323" s="903"/>
      <c r="H323" s="903"/>
      <c r="I323" s="903"/>
      <c r="J323" s="903"/>
      <c r="K323" s="903"/>
      <c r="L323" s="903"/>
      <c r="M323" s="903"/>
      <c r="N323" s="903"/>
      <c r="O323" s="903"/>
      <c r="P323" s="903"/>
      <c r="Y323" s="904"/>
    </row>
    <row r="324" spans="5:25">
      <c r="E324" s="903"/>
      <c r="F324" s="903"/>
      <c r="G324" s="903"/>
      <c r="H324" s="903"/>
      <c r="I324" s="903"/>
      <c r="J324" s="903"/>
      <c r="K324" s="903"/>
      <c r="L324" s="903"/>
      <c r="M324" s="903"/>
      <c r="N324" s="903"/>
      <c r="O324" s="903"/>
      <c r="P324" s="903"/>
      <c r="Y324" s="904"/>
    </row>
    <row r="325" spans="5:25">
      <c r="E325" s="903"/>
      <c r="F325" s="903"/>
      <c r="G325" s="903"/>
      <c r="H325" s="903"/>
      <c r="I325" s="903"/>
      <c r="J325" s="903"/>
      <c r="K325" s="903"/>
      <c r="L325" s="903"/>
      <c r="M325" s="903"/>
      <c r="N325" s="903"/>
      <c r="O325" s="903"/>
      <c r="P325" s="903"/>
      <c r="Y325" s="904"/>
    </row>
    <row r="326" spans="5:25">
      <c r="E326" s="903"/>
      <c r="F326" s="903"/>
      <c r="G326" s="903"/>
      <c r="H326" s="903"/>
      <c r="I326" s="903"/>
      <c r="J326" s="903"/>
      <c r="K326" s="903"/>
      <c r="L326" s="903"/>
      <c r="M326" s="903"/>
      <c r="N326" s="903"/>
      <c r="O326" s="903"/>
      <c r="P326" s="903"/>
      <c r="Y326" s="904"/>
    </row>
    <row r="327" spans="5:25">
      <c r="E327" s="903"/>
      <c r="F327" s="903"/>
      <c r="G327" s="903"/>
      <c r="H327" s="903"/>
      <c r="I327" s="903"/>
      <c r="J327" s="903"/>
      <c r="K327" s="903"/>
      <c r="L327" s="903"/>
      <c r="M327" s="903"/>
      <c r="N327" s="903"/>
      <c r="O327" s="903"/>
      <c r="P327" s="903"/>
      <c r="Y327" s="904"/>
    </row>
    <row r="328" spans="5:25">
      <c r="E328" s="903"/>
      <c r="F328" s="903"/>
      <c r="G328" s="903"/>
      <c r="H328" s="903"/>
      <c r="I328" s="903"/>
      <c r="J328" s="903"/>
      <c r="K328" s="903"/>
      <c r="L328" s="903"/>
      <c r="M328" s="903"/>
      <c r="N328" s="903"/>
      <c r="O328" s="903"/>
      <c r="P328" s="903"/>
      <c r="Y328" s="904"/>
    </row>
    <row r="329" spans="5:25">
      <c r="E329" s="903"/>
      <c r="F329" s="903"/>
      <c r="G329" s="903"/>
      <c r="H329" s="903"/>
      <c r="I329" s="903"/>
      <c r="J329" s="903"/>
      <c r="K329" s="903"/>
      <c r="L329" s="903"/>
      <c r="M329" s="903"/>
      <c r="N329" s="903"/>
      <c r="O329" s="903"/>
      <c r="P329" s="903"/>
      <c r="Y329" s="904"/>
    </row>
    <row r="330" spans="5:25">
      <c r="E330" s="903"/>
      <c r="F330" s="903"/>
      <c r="G330" s="903"/>
      <c r="H330" s="903"/>
      <c r="I330" s="903"/>
      <c r="J330" s="903"/>
      <c r="K330" s="903"/>
      <c r="L330" s="903"/>
      <c r="M330" s="903"/>
      <c r="N330" s="903"/>
      <c r="O330" s="903"/>
      <c r="P330" s="903"/>
      <c r="Y330" s="904"/>
    </row>
    <row r="331" spans="5:25">
      <c r="E331" s="903"/>
      <c r="F331" s="903"/>
      <c r="G331" s="903"/>
      <c r="H331" s="903"/>
      <c r="I331" s="903"/>
      <c r="J331" s="903"/>
      <c r="K331" s="903"/>
      <c r="L331" s="903"/>
      <c r="M331" s="903"/>
      <c r="N331" s="903"/>
      <c r="O331" s="903"/>
      <c r="P331" s="903"/>
      <c r="Y331" s="904"/>
    </row>
    <row r="332" spans="5:25">
      <c r="E332" s="903"/>
      <c r="F332" s="903"/>
      <c r="G332" s="903"/>
      <c r="H332" s="903"/>
      <c r="I332" s="903"/>
      <c r="J332" s="903"/>
      <c r="K332" s="903"/>
      <c r="L332" s="903"/>
      <c r="M332" s="903"/>
      <c r="N332" s="903"/>
      <c r="O332" s="903"/>
      <c r="P332" s="903"/>
      <c r="Y332" s="904"/>
    </row>
    <row r="333" spans="5:25">
      <c r="E333" s="903"/>
      <c r="F333" s="903"/>
      <c r="G333" s="903"/>
      <c r="H333" s="903"/>
      <c r="I333" s="903"/>
      <c r="J333" s="903"/>
      <c r="K333" s="903"/>
      <c r="L333" s="903"/>
      <c r="M333" s="903"/>
      <c r="N333" s="903"/>
      <c r="O333" s="903"/>
      <c r="P333" s="903"/>
      <c r="Y333" s="904"/>
    </row>
    <row r="334" spans="5:25">
      <c r="E334" s="903"/>
      <c r="F334" s="903"/>
      <c r="G334" s="903"/>
      <c r="H334" s="903"/>
      <c r="I334" s="903"/>
      <c r="J334" s="903"/>
      <c r="K334" s="903"/>
      <c r="L334" s="903"/>
      <c r="M334" s="903"/>
      <c r="N334" s="903"/>
      <c r="O334" s="903"/>
      <c r="P334" s="903"/>
      <c r="Y334" s="904"/>
    </row>
    <row r="335" spans="5:25">
      <c r="E335" s="903"/>
      <c r="F335" s="903"/>
      <c r="G335" s="903"/>
      <c r="H335" s="903"/>
      <c r="I335" s="903"/>
      <c r="J335" s="903"/>
      <c r="K335" s="903"/>
      <c r="L335" s="903"/>
      <c r="M335" s="903"/>
      <c r="N335" s="903"/>
      <c r="O335" s="903"/>
      <c r="P335" s="903"/>
      <c r="Y335" s="904"/>
    </row>
    <row r="336" spans="5:25">
      <c r="E336" s="903"/>
      <c r="F336" s="903"/>
      <c r="G336" s="903"/>
      <c r="H336" s="903"/>
      <c r="I336" s="903"/>
      <c r="J336" s="903"/>
      <c r="K336" s="903"/>
      <c r="L336" s="903"/>
      <c r="M336" s="903"/>
      <c r="N336" s="903"/>
      <c r="O336" s="903"/>
      <c r="P336" s="903"/>
      <c r="Y336" s="904"/>
    </row>
    <row r="337" spans="5:25">
      <c r="E337" s="903"/>
      <c r="F337" s="903"/>
      <c r="G337" s="903"/>
      <c r="H337" s="903"/>
      <c r="I337" s="903"/>
      <c r="J337" s="903"/>
      <c r="K337" s="903"/>
      <c r="L337" s="903"/>
      <c r="M337" s="903"/>
      <c r="N337" s="903"/>
      <c r="O337" s="903"/>
      <c r="P337" s="903"/>
      <c r="Y337" s="904"/>
    </row>
    <row r="338" spans="5:25">
      <c r="E338" s="903"/>
      <c r="F338" s="903"/>
      <c r="G338" s="903"/>
      <c r="H338" s="903"/>
      <c r="I338" s="903"/>
      <c r="J338" s="903"/>
      <c r="K338" s="903"/>
      <c r="L338" s="903"/>
      <c r="M338" s="903"/>
      <c r="N338" s="903"/>
      <c r="O338" s="903"/>
      <c r="P338" s="903"/>
      <c r="Y338" s="904"/>
    </row>
    <row r="339" spans="5:25">
      <c r="E339" s="903"/>
      <c r="F339" s="903"/>
      <c r="G339" s="903"/>
      <c r="H339" s="903"/>
      <c r="I339" s="903"/>
      <c r="J339" s="903"/>
      <c r="K339" s="903"/>
      <c r="L339" s="903"/>
      <c r="M339" s="903"/>
      <c r="N339" s="903"/>
      <c r="O339" s="903"/>
      <c r="P339" s="903"/>
      <c r="Y339" s="904"/>
    </row>
    <row r="340" spans="5:25">
      <c r="E340" s="903"/>
      <c r="F340" s="903"/>
      <c r="G340" s="903"/>
      <c r="H340" s="903"/>
      <c r="I340" s="903"/>
      <c r="J340" s="903"/>
      <c r="K340" s="903"/>
      <c r="L340" s="903"/>
      <c r="M340" s="903"/>
      <c r="N340" s="903"/>
      <c r="O340" s="903"/>
      <c r="P340" s="903"/>
      <c r="Y340" s="904"/>
    </row>
    <row r="341" spans="5:25">
      <c r="E341" s="903"/>
      <c r="F341" s="903"/>
      <c r="G341" s="903"/>
      <c r="H341" s="903"/>
      <c r="I341" s="903"/>
      <c r="J341" s="903"/>
      <c r="K341" s="903"/>
      <c r="L341" s="903"/>
      <c r="M341" s="903"/>
      <c r="N341" s="903"/>
      <c r="O341" s="903"/>
      <c r="P341" s="903"/>
      <c r="Y341" s="904"/>
    </row>
    <row r="342" spans="5:25">
      <c r="E342" s="903"/>
      <c r="F342" s="903"/>
      <c r="G342" s="903"/>
      <c r="H342" s="903"/>
      <c r="I342" s="903"/>
      <c r="J342" s="903"/>
      <c r="K342" s="903"/>
      <c r="L342" s="903"/>
      <c r="M342" s="903"/>
      <c r="N342" s="903"/>
      <c r="O342" s="903"/>
      <c r="P342" s="903"/>
      <c r="Y342" s="904"/>
    </row>
    <row r="343" spans="5:25">
      <c r="E343" s="903"/>
      <c r="F343" s="903"/>
      <c r="G343" s="903"/>
      <c r="H343" s="903"/>
      <c r="I343" s="903"/>
      <c r="J343" s="903"/>
      <c r="K343" s="903"/>
      <c r="L343" s="903"/>
      <c r="M343" s="903"/>
      <c r="N343" s="903"/>
      <c r="O343" s="903"/>
      <c r="P343" s="903"/>
      <c r="Y343" s="904"/>
    </row>
    <row r="344" spans="5:25">
      <c r="E344" s="903"/>
      <c r="F344" s="903"/>
      <c r="G344" s="903"/>
      <c r="H344" s="903"/>
      <c r="I344" s="903"/>
      <c r="J344" s="903"/>
      <c r="K344" s="903"/>
      <c r="L344" s="903"/>
      <c r="M344" s="903"/>
      <c r="N344" s="903"/>
      <c r="O344" s="903"/>
      <c r="P344" s="903"/>
      <c r="Y344" s="904"/>
    </row>
    <row r="345" spans="5:25">
      <c r="E345" s="903"/>
      <c r="F345" s="903"/>
      <c r="G345" s="903"/>
      <c r="H345" s="903"/>
      <c r="I345" s="903"/>
      <c r="J345" s="903"/>
      <c r="K345" s="903"/>
      <c r="L345" s="903"/>
      <c r="M345" s="903"/>
      <c r="N345" s="903"/>
      <c r="O345" s="903"/>
      <c r="P345" s="903"/>
      <c r="Y345" s="904"/>
    </row>
    <row r="346" spans="5:25">
      <c r="E346" s="903"/>
      <c r="F346" s="903"/>
      <c r="G346" s="903"/>
      <c r="H346" s="903"/>
      <c r="I346" s="903"/>
      <c r="J346" s="903"/>
      <c r="K346" s="903"/>
      <c r="L346" s="903"/>
      <c r="M346" s="903"/>
      <c r="N346" s="903"/>
      <c r="O346" s="903"/>
      <c r="P346" s="903"/>
      <c r="Y346" s="904"/>
    </row>
    <row r="347" spans="5:25">
      <c r="E347" s="903"/>
      <c r="F347" s="903"/>
      <c r="G347" s="903"/>
      <c r="H347" s="903"/>
      <c r="I347" s="903"/>
      <c r="J347" s="903"/>
      <c r="K347" s="903"/>
      <c r="L347" s="903"/>
      <c r="M347" s="903"/>
      <c r="N347" s="903"/>
      <c r="O347" s="903"/>
      <c r="P347" s="903"/>
      <c r="Y347" s="904"/>
    </row>
    <row r="348" spans="5:25">
      <c r="E348" s="903"/>
      <c r="F348" s="903"/>
      <c r="G348" s="903"/>
      <c r="H348" s="903"/>
      <c r="I348" s="903"/>
      <c r="J348" s="903"/>
      <c r="K348" s="903"/>
      <c r="L348" s="903"/>
      <c r="M348" s="903"/>
      <c r="N348" s="903"/>
      <c r="O348" s="903"/>
      <c r="P348" s="903"/>
      <c r="Y348" s="904"/>
    </row>
    <row r="349" spans="5:25">
      <c r="E349" s="903"/>
      <c r="F349" s="903"/>
      <c r="G349" s="903"/>
      <c r="H349" s="903"/>
      <c r="I349" s="903"/>
      <c r="J349" s="903"/>
      <c r="K349" s="903"/>
      <c r="L349" s="903"/>
      <c r="M349" s="903"/>
      <c r="N349" s="903"/>
      <c r="O349" s="903"/>
      <c r="P349" s="903"/>
      <c r="Y349" s="904"/>
    </row>
    <row r="350" spans="5:25">
      <c r="E350" s="903"/>
      <c r="F350" s="903"/>
      <c r="G350" s="903"/>
      <c r="H350" s="903"/>
      <c r="I350" s="903"/>
      <c r="J350" s="903"/>
      <c r="K350" s="903"/>
      <c r="L350" s="903"/>
      <c r="M350" s="903"/>
      <c r="N350" s="903"/>
      <c r="O350" s="903"/>
      <c r="P350" s="903"/>
      <c r="Y350" s="904"/>
    </row>
    <row r="351" spans="5:25">
      <c r="E351" s="903"/>
      <c r="F351" s="903"/>
      <c r="G351" s="903"/>
      <c r="H351" s="903"/>
      <c r="I351" s="903"/>
      <c r="J351" s="903"/>
      <c r="K351" s="903"/>
      <c r="L351" s="903"/>
      <c r="M351" s="903"/>
      <c r="N351" s="903"/>
      <c r="O351" s="903"/>
      <c r="P351" s="903"/>
      <c r="Y351" s="904"/>
    </row>
    <row r="352" spans="5:25">
      <c r="E352" s="903"/>
      <c r="F352" s="903"/>
      <c r="G352" s="903"/>
      <c r="H352" s="903"/>
      <c r="I352" s="903"/>
      <c r="J352" s="903"/>
      <c r="K352" s="903"/>
      <c r="L352" s="903"/>
      <c r="M352" s="903"/>
      <c r="N352" s="903"/>
      <c r="O352" s="903"/>
      <c r="P352" s="903"/>
      <c r="Y352" s="904"/>
    </row>
    <row r="353" spans="5:25">
      <c r="E353" s="903"/>
      <c r="F353" s="903"/>
      <c r="G353" s="903"/>
      <c r="H353" s="903"/>
      <c r="I353" s="903"/>
      <c r="J353" s="903"/>
      <c r="K353" s="903"/>
      <c r="L353" s="903"/>
      <c r="M353" s="903"/>
      <c r="N353" s="903"/>
      <c r="O353" s="903"/>
      <c r="P353" s="903"/>
      <c r="Y353" s="904"/>
    </row>
    <row r="354" spans="5:25">
      <c r="E354" s="903"/>
      <c r="F354" s="903"/>
      <c r="G354" s="903"/>
      <c r="H354" s="903"/>
      <c r="I354" s="903"/>
      <c r="J354" s="903"/>
      <c r="K354" s="903"/>
      <c r="L354" s="903"/>
      <c r="M354" s="903"/>
      <c r="N354" s="903"/>
      <c r="O354" s="903"/>
      <c r="P354" s="903"/>
      <c r="Y354" s="904"/>
    </row>
    <row r="355" spans="5:25">
      <c r="E355" s="903"/>
      <c r="F355" s="903"/>
      <c r="G355" s="903"/>
      <c r="H355" s="903"/>
      <c r="I355" s="903"/>
      <c r="J355" s="903"/>
      <c r="K355" s="903"/>
      <c r="L355" s="903"/>
      <c r="M355" s="903"/>
      <c r="N355" s="903"/>
      <c r="O355" s="903"/>
      <c r="P355" s="903"/>
      <c r="Y355" s="904"/>
    </row>
    <row r="356" spans="5:25">
      <c r="E356" s="903"/>
      <c r="F356" s="903"/>
      <c r="G356" s="903"/>
      <c r="H356" s="903"/>
      <c r="I356" s="903"/>
      <c r="J356" s="903"/>
      <c r="K356" s="903"/>
      <c r="L356" s="903"/>
      <c r="M356" s="903"/>
      <c r="N356" s="903"/>
      <c r="O356" s="903"/>
      <c r="P356" s="903"/>
      <c r="Y356" s="904"/>
    </row>
    <row r="357" spans="5:25">
      <c r="E357" s="903"/>
      <c r="F357" s="903"/>
      <c r="G357" s="903"/>
      <c r="H357" s="903"/>
      <c r="I357" s="903"/>
      <c r="J357" s="903"/>
      <c r="K357" s="903"/>
      <c r="L357" s="903"/>
      <c r="M357" s="903"/>
      <c r="N357" s="903"/>
      <c r="O357" s="903"/>
      <c r="P357" s="903"/>
      <c r="Y357" s="904"/>
    </row>
    <row r="358" spans="5:25">
      <c r="E358" s="903"/>
      <c r="F358" s="903"/>
      <c r="G358" s="903"/>
      <c r="H358" s="903"/>
      <c r="I358" s="903"/>
      <c r="J358" s="903"/>
      <c r="K358" s="903"/>
      <c r="L358" s="903"/>
      <c r="M358" s="903"/>
      <c r="N358" s="903"/>
      <c r="O358" s="903"/>
      <c r="P358" s="903"/>
      <c r="Y358" s="904"/>
    </row>
    <row r="359" spans="5:25">
      <c r="E359" s="903"/>
      <c r="F359" s="903"/>
      <c r="G359" s="903"/>
      <c r="H359" s="903"/>
      <c r="I359" s="903"/>
      <c r="J359" s="903"/>
      <c r="K359" s="903"/>
      <c r="L359" s="903"/>
      <c r="M359" s="903"/>
      <c r="N359" s="903"/>
      <c r="O359" s="903"/>
      <c r="P359" s="903"/>
      <c r="Y359" s="904"/>
    </row>
    <row r="360" spans="5:25">
      <c r="E360" s="903"/>
      <c r="F360" s="903"/>
      <c r="G360" s="903"/>
      <c r="H360" s="903"/>
      <c r="I360" s="903"/>
      <c r="J360" s="903"/>
      <c r="K360" s="903"/>
      <c r="L360" s="903"/>
      <c r="M360" s="903"/>
      <c r="N360" s="903"/>
      <c r="O360" s="903"/>
      <c r="P360" s="903"/>
      <c r="Y360" s="904"/>
    </row>
    <row r="361" spans="5:25">
      <c r="E361" s="903"/>
      <c r="F361" s="903"/>
      <c r="G361" s="903"/>
      <c r="H361" s="903"/>
      <c r="I361" s="903"/>
      <c r="J361" s="903"/>
      <c r="K361" s="903"/>
      <c r="L361" s="903"/>
      <c r="M361" s="903"/>
      <c r="N361" s="903"/>
      <c r="O361" s="903"/>
      <c r="P361" s="903"/>
      <c r="Y361" s="904"/>
    </row>
    <row r="362" spans="5:25">
      <c r="E362" s="903"/>
      <c r="F362" s="903"/>
      <c r="G362" s="903"/>
      <c r="H362" s="903"/>
      <c r="I362" s="903"/>
      <c r="J362" s="903"/>
      <c r="K362" s="903"/>
      <c r="L362" s="903"/>
      <c r="M362" s="903"/>
      <c r="N362" s="903"/>
      <c r="O362" s="903"/>
      <c r="P362" s="903"/>
      <c r="Y362" s="904"/>
    </row>
    <row r="363" spans="5:25">
      <c r="E363" s="903"/>
      <c r="F363" s="903"/>
      <c r="G363" s="903"/>
      <c r="H363" s="903"/>
      <c r="I363" s="903"/>
      <c r="J363" s="903"/>
      <c r="K363" s="903"/>
      <c r="L363" s="903"/>
      <c r="M363" s="903"/>
      <c r="N363" s="903"/>
      <c r="O363" s="903"/>
      <c r="P363" s="903"/>
      <c r="Y363" s="904"/>
    </row>
    <row r="364" spans="5:25">
      <c r="E364" s="903"/>
      <c r="F364" s="903"/>
      <c r="G364" s="903"/>
      <c r="H364" s="903"/>
      <c r="I364" s="903"/>
      <c r="J364" s="903"/>
      <c r="K364" s="903"/>
      <c r="L364" s="903"/>
      <c r="M364" s="903"/>
      <c r="N364" s="903"/>
      <c r="O364" s="903"/>
      <c r="P364" s="903"/>
      <c r="Y364" s="904"/>
    </row>
    <row r="365" spans="5:25">
      <c r="E365" s="903"/>
      <c r="F365" s="903"/>
      <c r="G365" s="903"/>
      <c r="H365" s="903"/>
      <c r="I365" s="903"/>
      <c r="J365" s="903"/>
      <c r="K365" s="903"/>
      <c r="L365" s="903"/>
      <c r="M365" s="903"/>
      <c r="N365" s="903"/>
      <c r="O365" s="903"/>
      <c r="P365" s="903"/>
      <c r="Y365" s="904"/>
    </row>
    <row r="366" spans="5:25">
      <c r="E366" s="903"/>
      <c r="F366" s="903"/>
      <c r="G366" s="903"/>
      <c r="H366" s="903"/>
      <c r="I366" s="903"/>
      <c r="J366" s="903"/>
      <c r="K366" s="903"/>
      <c r="L366" s="903"/>
      <c r="M366" s="903"/>
      <c r="N366" s="903"/>
      <c r="O366" s="903"/>
      <c r="P366" s="903"/>
      <c r="Y366" s="904"/>
    </row>
    <row r="367" spans="5:25">
      <c r="E367" s="903"/>
      <c r="F367" s="903"/>
      <c r="G367" s="903"/>
      <c r="H367" s="903"/>
      <c r="I367" s="903"/>
      <c r="J367" s="903"/>
      <c r="K367" s="903"/>
      <c r="L367" s="903"/>
      <c r="M367" s="903"/>
      <c r="N367" s="903"/>
      <c r="O367" s="903"/>
      <c r="P367" s="903"/>
      <c r="Y367" s="904"/>
    </row>
    <row r="368" spans="5:25">
      <c r="E368" s="903"/>
      <c r="F368" s="903"/>
      <c r="G368" s="903"/>
      <c r="H368" s="903"/>
      <c r="I368" s="903"/>
      <c r="J368" s="903"/>
      <c r="K368" s="903"/>
      <c r="L368" s="903"/>
      <c r="M368" s="903"/>
      <c r="N368" s="903"/>
      <c r="O368" s="903"/>
      <c r="P368" s="903"/>
      <c r="Y368" s="904"/>
    </row>
    <row r="369" spans="5:25">
      <c r="E369" s="903"/>
      <c r="F369" s="903"/>
      <c r="G369" s="903"/>
      <c r="H369" s="903"/>
      <c r="I369" s="903"/>
      <c r="J369" s="903"/>
      <c r="K369" s="903"/>
      <c r="L369" s="903"/>
      <c r="M369" s="903"/>
      <c r="N369" s="903"/>
      <c r="O369" s="903"/>
      <c r="P369" s="903"/>
      <c r="Y369" s="904"/>
    </row>
    <row r="370" spans="5:25">
      <c r="E370" s="903"/>
      <c r="F370" s="903"/>
      <c r="G370" s="903"/>
      <c r="H370" s="903"/>
      <c r="I370" s="903"/>
      <c r="J370" s="903"/>
      <c r="K370" s="903"/>
      <c r="L370" s="903"/>
      <c r="M370" s="903"/>
      <c r="N370" s="903"/>
      <c r="O370" s="903"/>
      <c r="P370" s="903"/>
      <c r="Y370" s="904"/>
    </row>
    <row r="371" spans="5:25">
      <c r="E371" s="903"/>
      <c r="F371" s="903"/>
      <c r="G371" s="903"/>
      <c r="H371" s="903"/>
      <c r="I371" s="903"/>
      <c r="J371" s="903"/>
      <c r="K371" s="903"/>
      <c r="L371" s="903"/>
      <c r="M371" s="903"/>
      <c r="N371" s="903"/>
      <c r="O371" s="903"/>
      <c r="P371" s="903"/>
      <c r="Y371" s="904"/>
    </row>
    <row r="372" spans="5:25">
      <c r="E372" s="903"/>
      <c r="F372" s="903"/>
      <c r="G372" s="903"/>
      <c r="H372" s="903"/>
      <c r="I372" s="903"/>
      <c r="J372" s="903"/>
      <c r="K372" s="903"/>
      <c r="L372" s="903"/>
      <c r="M372" s="903"/>
      <c r="N372" s="903"/>
      <c r="O372" s="903"/>
      <c r="P372" s="903"/>
      <c r="Y372" s="904"/>
    </row>
    <row r="373" spans="5:25">
      <c r="E373" s="903"/>
      <c r="F373" s="903"/>
      <c r="G373" s="903"/>
      <c r="H373" s="903"/>
      <c r="I373" s="903"/>
      <c r="J373" s="903"/>
      <c r="K373" s="903"/>
      <c r="L373" s="903"/>
      <c r="M373" s="903"/>
      <c r="N373" s="903"/>
      <c r="O373" s="903"/>
      <c r="P373" s="903"/>
      <c r="Y373" s="904"/>
    </row>
    <row r="374" spans="5:25">
      <c r="E374" s="903"/>
      <c r="F374" s="903"/>
      <c r="G374" s="903"/>
      <c r="H374" s="903"/>
      <c r="I374" s="903"/>
      <c r="J374" s="903"/>
      <c r="K374" s="903"/>
      <c r="L374" s="903"/>
      <c r="M374" s="903"/>
      <c r="N374" s="903"/>
      <c r="O374" s="903"/>
      <c r="P374" s="903"/>
      <c r="Y374" s="904"/>
    </row>
    <row r="375" spans="5:25">
      <c r="E375" s="903"/>
      <c r="F375" s="903"/>
      <c r="G375" s="903"/>
      <c r="H375" s="903"/>
      <c r="I375" s="903"/>
      <c r="J375" s="903"/>
      <c r="K375" s="903"/>
      <c r="L375" s="903"/>
      <c r="M375" s="903"/>
      <c r="N375" s="903"/>
      <c r="O375" s="903"/>
      <c r="P375" s="903"/>
      <c r="Y375" s="904"/>
    </row>
    <row r="376" spans="5:25">
      <c r="E376" s="903"/>
      <c r="F376" s="903"/>
      <c r="G376" s="903"/>
      <c r="H376" s="903"/>
      <c r="I376" s="903"/>
      <c r="J376" s="903"/>
      <c r="K376" s="903"/>
      <c r="L376" s="903"/>
      <c r="M376" s="903"/>
      <c r="N376" s="903"/>
      <c r="O376" s="903"/>
      <c r="P376" s="903"/>
      <c r="Y376" s="904"/>
    </row>
    <row r="377" spans="5:25">
      <c r="E377" s="903"/>
      <c r="F377" s="903"/>
      <c r="G377" s="903"/>
      <c r="H377" s="903"/>
      <c r="I377" s="903"/>
      <c r="J377" s="903"/>
      <c r="K377" s="903"/>
      <c r="L377" s="903"/>
      <c r="M377" s="903"/>
      <c r="N377" s="903"/>
      <c r="O377" s="903"/>
      <c r="P377" s="903"/>
      <c r="Y377" s="904"/>
    </row>
    <row r="378" spans="5:25">
      <c r="E378" s="903"/>
      <c r="F378" s="903"/>
      <c r="G378" s="903"/>
      <c r="H378" s="903"/>
      <c r="I378" s="903"/>
      <c r="J378" s="903"/>
      <c r="K378" s="903"/>
      <c r="L378" s="903"/>
      <c r="M378" s="903"/>
      <c r="N378" s="903"/>
      <c r="O378" s="903"/>
      <c r="P378" s="903"/>
      <c r="Y378" s="904"/>
    </row>
    <row r="379" spans="5:25">
      <c r="E379" s="903"/>
      <c r="F379" s="903"/>
      <c r="G379" s="903"/>
      <c r="H379" s="903"/>
      <c r="I379" s="903"/>
      <c r="J379" s="903"/>
      <c r="K379" s="903"/>
      <c r="L379" s="903"/>
      <c r="M379" s="903"/>
      <c r="N379" s="903"/>
      <c r="O379" s="903"/>
      <c r="P379" s="903"/>
      <c r="Y379" s="904"/>
    </row>
    <row r="380" spans="5:25">
      <c r="E380" s="903"/>
      <c r="F380" s="903"/>
      <c r="G380" s="903"/>
      <c r="H380" s="903"/>
      <c r="I380" s="903"/>
      <c r="J380" s="903"/>
      <c r="K380" s="903"/>
      <c r="L380" s="903"/>
      <c r="M380" s="903"/>
      <c r="N380" s="903"/>
      <c r="O380" s="903"/>
      <c r="P380" s="903"/>
      <c r="Y380" s="904"/>
    </row>
    <row r="381" spans="5:25">
      <c r="E381" s="903"/>
      <c r="F381" s="903"/>
      <c r="G381" s="903"/>
      <c r="H381" s="903"/>
      <c r="I381" s="903"/>
      <c r="J381" s="903"/>
      <c r="K381" s="903"/>
      <c r="L381" s="903"/>
      <c r="M381" s="903"/>
      <c r="N381" s="903"/>
      <c r="O381" s="903"/>
      <c r="P381" s="903"/>
      <c r="Y381" s="904"/>
    </row>
    <row r="382" spans="5:25">
      <c r="E382" s="903"/>
      <c r="F382" s="903"/>
      <c r="G382" s="903"/>
      <c r="H382" s="903"/>
      <c r="I382" s="903"/>
      <c r="J382" s="903"/>
      <c r="K382" s="903"/>
      <c r="L382" s="903"/>
      <c r="M382" s="903"/>
      <c r="N382" s="903"/>
      <c r="O382" s="903"/>
      <c r="P382" s="903"/>
      <c r="Y382" s="904"/>
    </row>
    <row r="383" spans="5:25">
      <c r="E383" s="903"/>
      <c r="F383" s="903"/>
      <c r="G383" s="903"/>
      <c r="H383" s="903"/>
      <c r="I383" s="903"/>
      <c r="J383" s="903"/>
      <c r="K383" s="903"/>
      <c r="L383" s="903"/>
      <c r="M383" s="903"/>
      <c r="N383" s="903"/>
      <c r="O383" s="903"/>
      <c r="P383" s="903"/>
      <c r="Y383" s="904"/>
    </row>
    <row r="384" spans="5:25">
      <c r="E384" s="903"/>
      <c r="F384" s="903"/>
      <c r="G384" s="903"/>
      <c r="H384" s="903"/>
      <c r="I384" s="903"/>
      <c r="J384" s="903"/>
      <c r="K384" s="903"/>
      <c r="L384" s="903"/>
      <c r="M384" s="903"/>
      <c r="N384" s="903"/>
      <c r="O384" s="903"/>
      <c r="P384" s="903"/>
      <c r="Y384" s="904"/>
    </row>
    <row r="385" spans="5:25">
      <c r="E385" s="903"/>
      <c r="F385" s="903"/>
      <c r="G385" s="903"/>
      <c r="H385" s="903"/>
      <c r="I385" s="903"/>
      <c r="J385" s="903"/>
      <c r="K385" s="903"/>
      <c r="L385" s="903"/>
      <c r="M385" s="903"/>
      <c r="N385" s="903"/>
      <c r="O385" s="903"/>
      <c r="P385" s="903"/>
      <c r="Y385" s="904"/>
    </row>
    <row r="386" spans="5:25">
      <c r="E386" s="903"/>
      <c r="F386" s="903"/>
      <c r="G386" s="903"/>
      <c r="H386" s="903"/>
      <c r="I386" s="903"/>
      <c r="J386" s="903"/>
      <c r="K386" s="903"/>
      <c r="L386" s="903"/>
      <c r="M386" s="903"/>
      <c r="N386" s="903"/>
      <c r="O386" s="903"/>
      <c r="P386" s="903"/>
      <c r="Y386" s="904"/>
    </row>
    <row r="387" spans="5:25">
      <c r="E387" s="903"/>
      <c r="F387" s="903"/>
      <c r="G387" s="903"/>
      <c r="H387" s="903"/>
      <c r="I387" s="903"/>
      <c r="J387" s="903"/>
      <c r="K387" s="903"/>
      <c r="L387" s="903"/>
      <c r="M387" s="903"/>
      <c r="N387" s="903"/>
      <c r="O387" s="903"/>
      <c r="P387" s="903"/>
      <c r="Y387" s="904"/>
    </row>
    <row r="388" spans="5:25">
      <c r="E388" s="903"/>
      <c r="F388" s="903"/>
      <c r="G388" s="903"/>
      <c r="H388" s="903"/>
      <c r="I388" s="903"/>
      <c r="J388" s="903"/>
      <c r="K388" s="903"/>
      <c r="L388" s="903"/>
      <c r="M388" s="903"/>
      <c r="N388" s="903"/>
      <c r="O388" s="903"/>
      <c r="P388" s="903"/>
      <c r="Y388" s="904"/>
    </row>
    <row r="389" spans="5:25">
      <c r="E389" s="903"/>
      <c r="F389" s="903"/>
      <c r="G389" s="903"/>
      <c r="H389" s="903"/>
      <c r="I389" s="903"/>
      <c r="J389" s="903"/>
      <c r="K389" s="903"/>
      <c r="L389" s="903"/>
      <c r="M389" s="903"/>
      <c r="N389" s="903"/>
      <c r="O389" s="903"/>
      <c r="P389" s="903"/>
      <c r="Y389" s="904"/>
    </row>
    <row r="390" spans="5:25">
      <c r="E390" s="903"/>
      <c r="F390" s="903"/>
      <c r="G390" s="903"/>
      <c r="H390" s="903"/>
      <c r="I390" s="903"/>
      <c r="J390" s="903"/>
      <c r="K390" s="903"/>
      <c r="L390" s="903"/>
      <c r="M390" s="903"/>
      <c r="N390" s="903"/>
      <c r="O390" s="903"/>
      <c r="P390" s="903"/>
      <c r="Y390" s="904"/>
    </row>
    <row r="391" spans="5:25">
      <c r="E391" s="903"/>
      <c r="F391" s="903"/>
      <c r="G391" s="903"/>
      <c r="H391" s="903"/>
      <c r="I391" s="903"/>
      <c r="J391" s="903"/>
      <c r="K391" s="903"/>
      <c r="L391" s="903"/>
      <c r="M391" s="903"/>
      <c r="N391" s="903"/>
      <c r="O391" s="903"/>
      <c r="P391" s="903"/>
      <c r="Y391" s="904"/>
    </row>
    <row r="392" spans="5:25">
      <c r="E392" s="903"/>
      <c r="F392" s="903"/>
      <c r="G392" s="903"/>
      <c r="H392" s="903"/>
      <c r="I392" s="903"/>
      <c r="J392" s="903"/>
      <c r="K392" s="903"/>
      <c r="L392" s="903"/>
      <c r="M392" s="903"/>
      <c r="N392" s="903"/>
      <c r="O392" s="903"/>
      <c r="P392" s="903"/>
      <c r="Y392" s="904"/>
    </row>
    <row r="393" spans="5:25">
      <c r="E393" s="903"/>
      <c r="F393" s="903"/>
      <c r="G393" s="903"/>
      <c r="H393" s="903"/>
      <c r="I393" s="903"/>
      <c r="J393" s="903"/>
      <c r="K393" s="903"/>
      <c r="L393" s="903"/>
      <c r="M393" s="903"/>
      <c r="N393" s="903"/>
      <c r="O393" s="903"/>
      <c r="P393" s="903"/>
      <c r="Y393" s="904"/>
    </row>
    <row r="394" spans="5:25">
      <c r="E394" s="903"/>
      <c r="F394" s="903"/>
      <c r="G394" s="903"/>
      <c r="H394" s="903"/>
      <c r="I394" s="903"/>
      <c r="J394" s="903"/>
      <c r="K394" s="903"/>
      <c r="L394" s="903"/>
      <c r="M394" s="903"/>
      <c r="N394" s="903"/>
      <c r="O394" s="903"/>
      <c r="P394" s="903"/>
      <c r="Y394" s="904"/>
    </row>
    <row r="395" spans="5:25">
      <c r="E395" s="903"/>
      <c r="F395" s="903"/>
      <c r="G395" s="903"/>
      <c r="H395" s="903"/>
      <c r="I395" s="903"/>
      <c r="J395" s="903"/>
      <c r="K395" s="903"/>
      <c r="L395" s="903"/>
      <c r="M395" s="903"/>
      <c r="N395" s="903"/>
      <c r="O395" s="903"/>
      <c r="P395" s="903"/>
      <c r="Y395" s="904"/>
    </row>
    <row r="396" spans="5:25">
      <c r="E396" s="903"/>
      <c r="F396" s="903"/>
      <c r="G396" s="903"/>
      <c r="H396" s="903"/>
      <c r="I396" s="903"/>
      <c r="J396" s="903"/>
      <c r="K396" s="903"/>
      <c r="L396" s="903"/>
      <c r="M396" s="903"/>
      <c r="N396" s="903"/>
      <c r="O396" s="903"/>
      <c r="P396" s="903"/>
      <c r="Y396" s="904"/>
    </row>
    <row r="397" spans="5:25">
      <c r="E397" s="903"/>
      <c r="F397" s="903"/>
      <c r="G397" s="903"/>
      <c r="H397" s="903"/>
      <c r="I397" s="903"/>
      <c r="J397" s="903"/>
      <c r="K397" s="903"/>
      <c r="L397" s="903"/>
      <c r="M397" s="903"/>
      <c r="N397" s="903"/>
      <c r="O397" s="903"/>
      <c r="P397" s="903"/>
      <c r="Y397" s="904"/>
    </row>
    <row r="398" spans="5:25">
      <c r="E398" s="903"/>
      <c r="F398" s="903"/>
      <c r="G398" s="903"/>
      <c r="H398" s="903"/>
      <c r="I398" s="903"/>
      <c r="J398" s="903"/>
      <c r="K398" s="903"/>
      <c r="L398" s="903"/>
      <c r="M398" s="903"/>
      <c r="N398" s="903"/>
      <c r="O398" s="903"/>
      <c r="P398" s="903"/>
      <c r="Y398" s="904"/>
    </row>
    <row r="399" spans="5:25">
      <c r="E399" s="903"/>
      <c r="F399" s="903"/>
      <c r="G399" s="903"/>
      <c r="H399" s="903"/>
      <c r="I399" s="903"/>
      <c r="J399" s="903"/>
      <c r="K399" s="903"/>
      <c r="L399" s="903"/>
      <c r="M399" s="903"/>
      <c r="N399" s="903"/>
      <c r="O399" s="903"/>
      <c r="P399" s="903"/>
      <c r="Y399" s="904"/>
    </row>
    <row r="400" spans="5:25">
      <c r="E400" s="903"/>
      <c r="F400" s="903"/>
      <c r="G400" s="903"/>
      <c r="H400" s="903"/>
      <c r="I400" s="903"/>
      <c r="J400" s="903"/>
      <c r="K400" s="903"/>
      <c r="L400" s="903"/>
      <c r="M400" s="903"/>
      <c r="N400" s="903"/>
      <c r="O400" s="903"/>
      <c r="P400" s="903"/>
      <c r="Y400" s="904"/>
    </row>
    <row r="401" spans="5:25">
      <c r="E401" s="903"/>
      <c r="F401" s="903"/>
      <c r="G401" s="903"/>
      <c r="H401" s="903"/>
      <c r="I401" s="903"/>
      <c r="J401" s="903"/>
      <c r="K401" s="903"/>
      <c r="L401" s="903"/>
      <c r="M401" s="903"/>
      <c r="N401" s="903"/>
      <c r="O401" s="903"/>
      <c r="P401" s="903"/>
      <c r="Y401" s="904"/>
    </row>
    <row r="402" spans="5:25">
      <c r="E402" s="903"/>
      <c r="F402" s="903"/>
      <c r="G402" s="903"/>
      <c r="H402" s="903"/>
      <c r="I402" s="903"/>
      <c r="J402" s="903"/>
      <c r="K402" s="903"/>
      <c r="L402" s="903"/>
      <c r="M402" s="903"/>
      <c r="N402" s="903"/>
      <c r="O402" s="903"/>
      <c r="P402" s="903"/>
      <c r="Y402" s="904"/>
    </row>
    <row r="403" spans="5:25">
      <c r="E403" s="903"/>
      <c r="F403" s="903"/>
      <c r="G403" s="903"/>
      <c r="H403" s="903"/>
      <c r="I403" s="903"/>
      <c r="J403" s="903"/>
      <c r="K403" s="903"/>
      <c r="L403" s="903"/>
      <c r="M403" s="903"/>
      <c r="N403" s="903"/>
      <c r="O403" s="903"/>
      <c r="P403" s="903"/>
      <c r="Y403" s="904"/>
    </row>
    <row r="404" spans="5:25">
      <c r="E404" s="903"/>
      <c r="F404" s="903"/>
      <c r="G404" s="903"/>
      <c r="H404" s="903"/>
      <c r="I404" s="903"/>
      <c r="J404" s="903"/>
      <c r="K404" s="903"/>
      <c r="L404" s="903"/>
      <c r="M404" s="903"/>
      <c r="N404" s="903"/>
      <c r="O404" s="903"/>
      <c r="P404" s="903"/>
      <c r="Y404" s="904"/>
    </row>
    <row r="405" spans="5:25">
      <c r="E405" s="903"/>
      <c r="F405" s="903"/>
      <c r="G405" s="903"/>
      <c r="H405" s="903"/>
      <c r="I405" s="903"/>
      <c r="J405" s="903"/>
      <c r="K405" s="903"/>
      <c r="L405" s="903"/>
      <c r="M405" s="903"/>
      <c r="N405" s="903"/>
      <c r="O405" s="903"/>
      <c r="P405" s="903"/>
      <c r="Y405" s="904"/>
    </row>
    <row r="406" spans="5:25">
      <c r="E406" s="903"/>
      <c r="F406" s="903"/>
      <c r="G406" s="903"/>
      <c r="H406" s="903"/>
      <c r="I406" s="903"/>
      <c r="J406" s="903"/>
      <c r="K406" s="903"/>
      <c r="L406" s="903"/>
      <c r="M406" s="903"/>
      <c r="N406" s="903"/>
      <c r="O406" s="903"/>
      <c r="P406" s="903"/>
      <c r="Y406" s="904"/>
    </row>
    <row r="407" spans="5:25">
      <c r="E407" s="903"/>
      <c r="F407" s="903"/>
      <c r="G407" s="903"/>
      <c r="H407" s="903"/>
      <c r="I407" s="903"/>
      <c r="J407" s="903"/>
      <c r="K407" s="903"/>
      <c r="L407" s="903"/>
      <c r="M407" s="903"/>
      <c r="N407" s="903"/>
      <c r="O407" s="903"/>
      <c r="P407" s="903"/>
      <c r="Y407" s="904"/>
    </row>
    <row r="408" spans="5:25">
      <c r="E408" s="903"/>
      <c r="F408" s="903"/>
      <c r="G408" s="903"/>
      <c r="H408" s="903"/>
      <c r="I408" s="903"/>
      <c r="J408" s="903"/>
      <c r="K408" s="903"/>
      <c r="L408" s="903"/>
      <c r="M408" s="903"/>
      <c r="N408" s="903"/>
      <c r="O408" s="903"/>
      <c r="P408" s="903"/>
      <c r="Y408" s="904"/>
    </row>
    <row r="409" spans="5:25">
      <c r="E409" s="903"/>
      <c r="F409" s="903"/>
      <c r="G409" s="903"/>
      <c r="H409" s="903"/>
      <c r="I409" s="903"/>
      <c r="J409" s="903"/>
      <c r="K409" s="903"/>
      <c r="L409" s="903"/>
      <c r="M409" s="903"/>
      <c r="N409" s="903"/>
      <c r="O409" s="903"/>
      <c r="P409" s="903"/>
      <c r="Y409" s="904"/>
    </row>
    <row r="410" spans="5:25">
      <c r="E410" s="903"/>
      <c r="F410" s="903"/>
      <c r="G410" s="903"/>
      <c r="H410" s="903"/>
      <c r="I410" s="903"/>
      <c r="J410" s="903"/>
      <c r="K410" s="903"/>
      <c r="L410" s="903"/>
      <c r="M410" s="903"/>
      <c r="N410" s="903"/>
      <c r="O410" s="903"/>
      <c r="P410" s="903"/>
      <c r="Y410" s="904"/>
    </row>
    <row r="411" spans="5:25">
      <c r="E411" s="903"/>
      <c r="F411" s="903"/>
      <c r="G411" s="903"/>
      <c r="H411" s="903"/>
      <c r="I411" s="903"/>
      <c r="J411" s="903"/>
      <c r="K411" s="903"/>
      <c r="L411" s="903"/>
      <c r="M411" s="903"/>
      <c r="N411" s="903"/>
      <c r="O411" s="903"/>
      <c r="P411" s="903"/>
      <c r="Y411" s="904"/>
    </row>
    <row r="412" spans="5:25">
      <c r="E412" s="903"/>
      <c r="F412" s="903"/>
      <c r="G412" s="903"/>
      <c r="H412" s="903"/>
      <c r="I412" s="903"/>
      <c r="J412" s="903"/>
      <c r="K412" s="903"/>
      <c r="L412" s="903"/>
      <c r="M412" s="903"/>
      <c r="N412" s="903"/>
      <c r="O412" s="903"/>
      <c r="P412" s="903"/>
      <c r="Y412" s="904"/>
    </row>
    <row r="413" spans="5:25">
      <c r="E413" s="903"/>
      <c r="F413" s="903"/>
      <c r="G413" s="903"/>
      <c r="H413" s="903"/>
      <c r="I413" s="903"/>
      <c r="J413" s="903"/>
      <c r="K413" s="903"/>
      <c r="L413" s="903"/>
      <c r="M413" s="903"/>
      <c r="N413" s="903"/>
      <c r="O413" s="903"/>
      <c r="P413" s="903"/>
      <c r="Y413" s="904"/>
    </row>
    <row r="414" spans="5:25">
      <c r="E414" s="903"/>
      <c r="F414" s="903"/>
      <c r="G414" s="903"/>
      <c r="H414" s="903"/>
      <c r="I414" s="903"/>
      <c r="J414" s="903"/>
      <c r="K414" s="903"/>
      <c r="L414" s="903"/>
      <c r="M414" s="903"/>
      <c r="N414" s="903"/>
      <c r="O414" s="903"/>
      <c r="P414" s="903"/>
      <c r="Y414" s="904"/>
    </row>
    <row r="415" spans="5:25">
      <c r="E415" s="903"/>
      <c r="F415" s="903"/>
      <c r="G415" s="903"/>
      <c r="H415" s="903"/>
      <c r="I415" s="903"/>
      <c r="J415" s="903"/>
      <c r="K415" s="903"/>
      <c r="L415" s="903"/>
      <c r="M415" s="903"/>
      <c r="N415" s="903"/>
      <c r="O415" s="903"/>
      <c r="P415" s="903"/>
      <c r="Y415" s="904"/>
    </row>
    <row r="416" spans="5:25">
      <c r="E416" s="903"/>
      <c r="F416" s="903"/>
      <c r="G416" s="903"/>
      <c r="H416" s="903"/>
      <c r="I416" s="903"/>
      <c r="J416" s="903"/>
      <c r="K416" s="903"/>
      <c r="L416" s="903"/>
      <c r="M416" s="903"/>
      <c r="N416" s="903"/>
      <c r="O416" s="903"/>
      <c r="P416" s="903"/>
      <c r="Y416" s="904"/>
    </row>
    <row r="417" spans="5:25">
      <c r="E417" s="903"/>
      <c r="F417" s="903"/>
      <c r="G417" s="903"/>
      <c r="H417" s="903"/>
      <c r="I417" s="903"/>
      <c r="J417" s="903"/>
      <c r="K417" s="903"/>
      <c r="L417" s="903"/>
      <c r="M417" s="903"/>
      <c r="N417" s="903"/>
      <c r="O417" s="903"/>
      <c r="P417" s="903"/>
      <c r="Y417" s="904"/>
    </row>
    <row r="418" spans="5:25">
      <c r="E418" s="903"/>
      <c r="F418" s="903"/>
      <c r="G418" s="903"/>
      <c r="H418" s="903"/>
      <c r="I418" s="903"/>
      <c r="J418" s="903"/>
      <c r="K418" s="903"/>
      <c r="L418" s="903"/>
      <c r="M418" s="903"/>
      <c r="N418" s="903"/>
      <c r="O418" s="903"/>
      <c r="P418" s="903"/>
      <c r="Y418" s="904"/>
    </row>
    <row r="419" spans="5:25">
      <c r="E419" s="903"/>
      <c r="F419" s="903"/>
      <c r="G419" s="903"/>
      <c r="H419" s="903"/>
      <c r="I419" s="903"/>
      <c r="J419" s="903"/>
      <c r="K419" s="903"/>
      <c r="L419" s="903"/>
      <c r="M419" s="903"/>
      <c r="N419" s="903"/>
      <c r="O419" s="903"/>
      <c r="P419" s="903"/>
      <c r="Y419" s="904"/>
    </row>
    <row r="420" spans="5:25">
      <c r="E420" s="903"/>
      <c r="F420" s="903"/>
      <c r="G420" s="903"/>
      <c r="H420" s="903"/>
      <c r="I420" s="903"/>
      <c r="J420" s="903"/>
      <c r="K420" s="903"/>
      <c r="L420" s="903"/>
      <c r="M420" s="903"/>
      <c r="N420" s="903"/>
      <c r="O420" s="903"/>
      <c r="P420" s="903"/>
      <c r="Y420" s="904"/>
    </row>
    <row r="421" spans="5:25">
      <c r="E421" s="903"/>
      <c r="F421" s="903"/>
      <c r="G421" s="903"/>
      <c r="H421" s="903"/>
      <c r="I421" s="903"/>
      <c r="J421" s="903"/>
      <c r="K421" s="903"/>
      <c r="L421" s="903"/>
      <c r="M421" s="903"/>
      <c r="N421" s="903"/>
      <c r="O421" s="903"/>
      <c r="P421" s="903"/>
      <c r="Y421" s="904"/>
    </row>
    <row r="422" spans="5:25">
      <c r="E422" s="903"/>
      <c r="F422" s="903"/>
      <c r="G422" s="903"/>
      <c r="H422" s="903"/>
      <c r="I422" s="903"/>
      <c r="J422" s="903"/>
      <c r="K422" s="903"/>
      <c r="L422" s="903"/>
      <c r="M422" s="903"/>
      <c r="N422" s="903"/>
      <c r="O422" s="903"/>
      <c r="P422" s="903"/>
      <c r="Y422" s="904"/>
    </row>
    <row r="423" spans="5:25">
      <c r="E423" s="903"/>
      <c r="F423" s="903"/>
      <c r="G423" s="903"/>
      <c r="H423" s="903"/>
      <c r="I423" s="903"/>
      <c r="J423" s="903"/>
      <c r="K423" s="903"/>
      <c r="L423" s="903"/>
      <c r="M423" s="903"/>
      <c r="N423" s="903"/>
      <c r="O423" s="903"/>
      <c r="P423" s="903"/>
      <c r="Y423" s="904"/>
    </row>
    <row r="424" spans="5:25">
      <c r="E424" s="903"/>
      <c r="F424" s="903"/>
      <c r="G424" s="903"/>
      <c r="H424" s="903"/>
      <c r="I424" s="903"/>
      <c r="J424" s="903"/>
      <c r="K424" s="903"/>
      <c r="L424" s="903"/>
      <c r="M424" s="903"/>
      <c r="N424" s="903"/>
      <c r="O424" s="903"/>
      <c r="P424" s="903"/>
      <c r="Y424" s="904"/>
    </row>
    <row r="425" spans="5:25">
      <c r="E425" s="903"/>
      <c r="F425" s="903"/>
      <c r="G425" s="903"/>
      <c r="H425" s="903"/>
      <c r="I425" s="903"/>
      <c r="J425" s="903"/>
      <c r="K425" s="903"/>
      <c r="L425" s="903"/>
      <c r="M425" s="903"/>
      <c r="N425" s="903"/>
      <c r="O425" s="903"/>
      <c r="P425" s="903"/>
      <c r="Y425" s="904"/>
    </row>
    <row r="426" spans="5:25">
      <c r="E426" s="903"/>
      <c r="F426" s="903"/>
      <c r="G426" s="903"/>
      <c r="H426" s="903"/>
      <c r="I426" s="903"/>
      <c r="J426" s="903"/>
      <c r="K426" s="903"/>
      <c r="L426" s="903"/>
      <c r="M426" s="903"/>
      <c r="N426" s="903"/>
      <c r="O426" s="903"/>
      <c r="P426" s="903"/>
      <c r="Y426" s="904"/>
    </row>
    <row r="427" spans="5:25">
      <c r="E427" s="903"/>
      <c r="F427" s="903"/>
      <c r="G427" s="903"/>
      <c r="H427" s="903"/>
      <c r="I427" s="903"/>
      <c r="J427" s="903"/>
      <c r="K427" s="903"/>
      <c r="L427" s="903"/>
      <c r="M427" s="903"/>
      <c r="N427" s="903"/>
      <c r="O427" s="903"/>
      <c r="P427" s="903"/>
      <c r="Y427" s="904"/>
    </row>
    <row r="428" spans="5:25">
      <c r="E428" s="903"/>
      <c r="F428" s="903"/>
      <c r="G428" s="903"/>
      <c r="H428" s="903"/>
      <c r="I428" s="903"/>
      <c r="J428" s="903"/>
      <c r="K428" s="903"/>
      <c r="L428" s="903"/>
      <c r="M428" s="903"/>
      <c r="N428" s="903"/>
      <c r="O428" s="903"/>
      <c r="P428" s="903"/>
      <c r="Y428" s="904"/>
    </row>
    <row r="429" spans="5:25">
      <c r="E429" s="903"/>
      <c r="F429" s="903"/>
      <c r="G429" s="903"/>
      <c r="H429" s="903"/>
      <c r="I429" s="903"/>
      <c r="J429" s="903"/>
      <c r="K429" s="903"/>
      <c r="L429" s="903"/>
      <c r="M429" s="903"/>
      <c r="N429" s="903"/>
      <c r="O429" s="903"/>
      <c r="P429" s="903"/>
      <c r="Y429" s="904"/>
    </row>
    <row r="430" spans="5:25">
      <c r="E430" s="903"/>
      <c r="F430" s="903"/>
      <c r="G430" s="903"/>
      <c r="H430" s="903"/>
      <c r="I430" s="903"/>
      <c r="J430" s="903"/>
      <c r="K430" s="903"/>
      <c r="L430" s="903"/>
      <c r="M430" s="903"/>
      <c r="N430" s="903"/>
      <c r="O430" s="903"/>
      <c r="P430" s="903"/>
      <c r="Y430" s="904"/>
    </row>
    <row r="431" spans="5:25">
      <c r="E431" s="903"/>
      <c r="F431" s="903"/>
      <c r="G431" s="903"/>
      <c r="H431" s="903"/>
      <c r="I431" s="903"/>
      <c r="J431" s="903"/>
      <c r="K431" s="903"/>
      <c r="L431" s="903"/>
      <c r="M431" s="903"/>
      <c r="N431" s="903"/>
      <c r="O431" s="903"/>
      <c r="P431" s="903"/>
      <c r="Y431" s="904"/>
    </row>
    <row r="432" spans="5:25">
      <c r="E432" s="903"/>
      <c r="F432" s="903"/>
      <c r="G432" s="903"/>
      <c r="H432" s="903"/>
      <c r="I432" s="903"/>
      <c r="J432" s="903"/>
      <c r="K432" s="903"/>
      <c r="L432" s="903"/>
      <c r="M432" s="903"/>
      <c r="N432" s="903"/>
      <c r="O432" s="903"/>
      <c r="P432" s="903"/>
      <c r="Y432" s="904"/>
    </row>
    <row r="433" spans="5:25">
      <c r="E433" s="903"/>
      <c r="F433" s="903"/>
      <c r="G433" s="903"/>
      <c r="H433" s="903"/>
      <c r="I433" s="903"/>
      <c r="J433" s="903"/>
      <c r="K433" s="903"/>
      <c r="L433" s="903"/>
      <c r="M433" s="903"/>
      <c r="N433" s="903"/>
      <c r="O433" s="903"/>
      <c r="P433" s="903"/>
      <c r="Y433" s="904"/>
    </row>
    <row r="434" spans="5:25">
      <c r="E434" s="903"/>
      <c r="F434" s="903"/>
      <c r="G434" s="903"/>
      <c r="H434" s="903"/>
      <c r="I434" s="903"/>
      <c r="J434" s="903"/>
      <c r="K434" s="903"/>
      <c r="L434" s="903"/>
      <c r="M434" s="903"/>
      <c r="N434" s="903"/>
      <c r="O434" s="903"/>
      <c r="P434" s="903"/>
      <c r="Y434" s="904"/>
    </row>
    <row r="435" spans="5:25">
      <c r="E435" s="903"/>
      <c r="F435" s="903"/>
      <c r="G435" s="903"/>
      <c r="H435" s="903"/>
      <c r="I435" s="903"/>
      <c r="J435" s="903"/>
      <c r="K435" s="903"/>
      <c r="L435" s="903"/>
      <c r="M435" s="903"/>
      <c r="N435" s="903"/>
      <c r="O435" s="903"/>
      <c r="P435" s="903"/>
      <c r="Y435" s="904"/>
    </row>
    <row r="436" spans="5:25">
      <c r="E436" s="903"/>
      <c r="F436" s="903"/>
      <c r="G436" s="903"/>
      <c r="H436" s="903"/>
      <c r="I436" s="903"/>
      <c r="J436" s="903"/>
      <c r="K436" s="903"/>
      <c r="L436" s="903"/>
      <c r="M436" s="903"/>
      <c r="N436" s="903"/>
      <c r="O436" s="903"/>
      <c r="P436" s="903"/>
      <c r="Y436" s="904"/>
    </row>
    <row r="437" spans="5:25">
      <c r="E437" s="903"/>
      <c r="F437" s="903"/>
      <c r="G437" s="903"/>
      <c r="H437" s="903"/>
      <c r="I437" s="903"/>
      <c r="J437" s="903"/>
      <c r="K437" s="903"/>
      <c r="L437" s="903"/>
      <c r="M437" s="903"/>
      <c r="N437" s="903"/>
      <c r="O437" s="903"/>
      <c r="P437" s="903"/>
      <c r="Y437" s="904"/>
    </row>
    <row r="438" spans="5:25">
      <c r="E438" s="903"/>
      <c r="F438" s="903"/>
      <c r="G438" s="903"/>
      <c r="H438" s="903"/>
      <c r="I438" s="903"/>
      <c r="J438" s="903"/>
      <c r="K438" s="903"/>
      <c r="L438" s="903"/>
      <c r="M438" s="903"/>
      <c r="N438" s="903"/>
      <c r="O438" s="903"/>
      <c r="P438" s="903"/>
      <c r="Y438" s="904"/>
    </row>
    <row r="439" spans="5:25">
      <c r="E439" s="903"/>
      <c r="F439" s="903"/>
      <c r="G439" s="903"/>
      <c r="H439" s="903"/>
      <c r="I439" s="903"/>
      <c r="J439" s="903"/>
      <c r="K439" s="903"/>
      <c r="L439" s="903"/>
      <c r="M439" s="903"/>
      <c r="N439" s="903"/>
      <c r="O439" s="903"/>
      <c r="P439" s="903"/>
      <c r="Y439" s="904"/>
    </row>
    <row r="440" spans="5:25">
      <c r="E440" s="903"/>
      <c r="F440" s="903"/>
      <c r="G440" s="903"/>
      <c r="H440" s="903"/>
      <c r="I440" s="903"/>
      <c r="J440" s="903"/>
      <c r="K440" s="903"/>
      <c r="L440" s="903"/>
      <c r="M440" s="903"/>
      <c r="N440" s="903"/>
      <c r="O440" s="903"/>
      <c r="P440" s="903"/>
      <c r="Y440" s="904"/>
    </row>
    <row r="441" spans="5:25">
      <c r="E441" s="903"/>
      <c r="F441" s="903"/>
      <c r="G441" s="903"/>
      <c r="H441" s="903"/>
      <c r="I441" s="903"/>
      <c r="J441" s="903"/>
      <c r="K441" s="903"/>
      <c r="L441" s="903"/>
      <c r="M441" s="903"/>
      <c r="N441" s="903"/>
      <c r="O441" s="903"/>
      <c r="P441" s="903"/>
      <c r="Y441" s="904"/>
    </row>
    <row r="442" spans="5:25">
      <c r="E442" s="903"/>
      <c r="F442" s="903"/>
      <c r="G442" s="903"/>
      <c r="H442" s="903"/>
      <c r="I442" s="903"/>
      <c r="J442" s="903"/>
      <c r="K442" s="903"/>
      <c r="L442" s="903"/>
      <c r="M442" s="903"/>
      <c r="N442" s="903"/>
      <c r="O442" s="903"/>
      <c r="P442" s="903"/>
      <c r="Y442" s="904"/>
    </row>
    <row r="443" spans="5:25">
      <c r="E443" s="903"/>
      <c r="F443" s="903"/>
      <c r="G443" s="903"/>
      <c r="H443" s="903"/>
      <c r="I443" s="903"/>
      <c r="J443" s="903"/>
      <c r="K443" s="903"/>
      <c r="L443" s="903"/>
      <c r="M443" s="903"/>
      <c r="N443" s="903"/>
      <c r="O443" s="903"/>
      <c r="P443" s="903"/>
      <c r="Y443" s="904"/>
    </row>
    <row r="444" spans="5:25">
      <c r="E444" s="903"/>
      <c r="F444" s="903"/>
      <c r="G444" s="903"/>
      <c r="H444" s="903"/>
      <c r="I444" s="903"/>
      <c r="J444" s="903"/>
      <c r="K444" s="903"/>
      <c r="L444" s="903"/>
      <c r="M444" s="903"/>
      <c r="N444" s="903"/>
      <c r="O444" s="903"/>
      <c r="P444" s="903"/>
      <c r="Y444" s="904"/>
    </row>
    <row r="445" spans="5:25">
      <c r="E445" s="903"/>
      <c r="F445" s="903"/>
      <c r="G445" s="903"/>
      <c r="H445" s="903"/>
      <c r="I445" s="903"/>
      <c r="J445" s="903"/>
      <c r="K445" s="903"/>
      <c r="L445" s="903"/>
      <c r="M445" s="903"/>
      <c r="N445" s="903"/>
      <c r="O445" s="903"/>
      <c r="P445" s="903"/>
      <c r="Y445" s="904"/>
    </row>
    <row r="446" spans="5:25">
      <c r="E446" s="903"/>
      <c r="F446" s="903"/>
      <c r="G446" s="903"/>
      <c r="H446" s="903"/>
      <c r="I446" s="903"/>
      <c r="J446" s="903"/>
      <c r="K446" s="903"/>
      <c r="L446" s="903"/>
      <c r="M446" s="903"/>
      <c r="N446" s="903"/>
      <c r="O446" s="903"/>
      <c r="P446" s="903"/>
      <c r="Y446" s="904"/>
    </row>
    <row r="447" spans="5:25">
      <c r="E447" s="903"/>
      <c r="F447" s="903"/>
      <c r="G447" s="903"/>
      <c r="H447" s="903"/>
      <c r="I447" s="903"/>
      <c r="J447" s="903"/>
      <c r="K447" s="903"/>
      <c r="L447" s="903"/>
      <c r="M447" s="903"/>
      <c r="N447" s="903"/>
      <c r="O447" s="903"/>
      <c r="P447" s="903"/>
      <c r="Y447" s="904"/>
    </row>
    <row r="448" spans="5:25">
      <c r="E448" s="903"/>
      <c r="F448" s="903"/>
      <c r="G448" s="903"/>
      <c r="H448" s="903"/>
      <c r="I448" s="903"/>
      <c r="J448" s="903"/>
      <c r="K448" s="903"/>
      <c r="L448" s="903"/>
      <c r="M448" s="903"/>
      <c r="N448" s="903"/>
      <c r="O448" s="903"/>
      <c r="P448" s="903"/>
      <c r="Y448" s="904"/>
    </row>
    <row r="449" spans="5:25">
      <c r="E449" s="903"/>
      <c r="F449" s="903"/>
      <c r="G449" s="903"/>
      <c r="H449" s="903"/>
      <c r="I449" s="903"/>
      <c r="J449" s="903"/>
      <c r="K449" s="903"/>
      <c r="L449" s="903"/>
      <c r="M449" s="903"/>
      <c r="N449" s="903"/>
      <c r="O449" s="903"/>
      <c r="P449" s="903"/>
      <c r="Y449" s="904"/>
    </row>
    <row r="450" spans="5:25">
      <c r="E450" s="903"/>
      <c r="F450" s="903"/>
      <c r="G450" s="903"/>
      <c r="H450" s="903"/>
      <c r="I450" s="903"/>
      <c r="J450" s="903"/>
      <c r="K450" s="903"/>
      <c r="L450" s="903"/>
      <c r="M450" s="903"/>
      <c r="N450" s="903"/>
      <c r="O450" s="903"/>
      <c r="P450" s="903"/>
      <c r="Y450" s="904"/>
    </row>
    <row r="451" spans="5:25">
      <c r="E451" s="903"/>
      <c r="F451" s="903"/>
      <c r="G451" s="903"/>
      <c r="H451" s="903"/>
      <c r="I451" s="903"/>
      <c r="J451" s="903"/>
      <c r="K451" s="903"/>
      <c r="L451" s="903"/>
      <c r="M451" s="903"/>
      <c r="N451" s="903"/>
      <c r="O451" s="903"/>
      <c r="P451" s="903"/>
      <c r="Y451" s="904"/>
    </row>
    <row r="452" spans="5:25">
      <c r="E452" s="903"/>
      <c r="F452" s="903"/>
      <c r="G452" s="903"/>
      <c r="H452" s="903"/>
      <c r="I452" s="903"/>
      <c r="J452" s="903"/>
      <c r="K452" s="903"/>
      <c r="L452" s="903"/>
      <c r="M452" s="903"/>
      <c r="N452" s="903"/>
      <c r="O452" s="903"/>
      <c r="P452" s="903"/>
      <c r="Y452" s="904"/>
    </row>
    <row r="453" spans="5:25">
      <c r="E453" s="903"/>
      <c r="F453" s="903"/>
      <c r="G453" s="903"/>
      <c r="H453" s="903"/>
      <c r="I453" s="903"/>
      <c r="J453" s="903"/>
      <c r="K453" s="903"/>
      <c r="L453" s="903"/>
      <c r="M453" s="903"/>
      <c r="N453" s="903"/>
      <c r="O453" s="903"/>
      <c r="P453" s="903"/>
      <c r="Y453" s="904"/>
    </row>
    <row r="454" spans="5:25">
      <c r="E454" s="903"/>
      <c r="F454" s="903"/>
      <c r="G454" s="903"/>
      <c r="H454" s="903"/>
      <c r="I454" s="903"/>
      <c r="J454" s="903"/>
      <c r="K454" s="903"/>
      <c r="L454" s="903"/>
      <c r="M454" s="903"/>
      <c r="N454" s="903"/>
      <c r="O454" s="903"/>
      <c r="P454" s="903"/>
      <c r="Y454" s="904"/>
    </row>
    <row r="455" spans="5:25">
      <c r="E455" s="903"/>
      <c r="F455" s="903"/>
      <c r="G455" s="903"/>
      <c r="H455" s="903"/>
      <c r="I455" s="903"/>
      <c r="J455" s="903"/>
      <c r="K455" s="903"/>
      <c r="L455" s="903"/>
      <c r="M455" s="903"/>
      <c r="N455" s="903"/>
      <c r="O455" s="903"/>
      <c r="P455" s="903"/>
      <c r="Y455" s="904"/>
    </row>
    <row r="456" spans="5:25">
      <c r="E456" s="903"/>
      <c r="F456" s="903"/>
      <c r="G456" s="903"/>
      <c r="H456" s="903"/>
      <c r="I456" s="903"/>
      <c r="J456" s="903"/>
      <c r="K456" s="903"/>
      <c r="L456" s="903"/>
      <c r="M456" s="903"/>
      <c r="N456" s="903"/>
      <c r="O456" s="903"/>
      <c r="P456" s="903"/>
      <c r="Y456" s="904"/>
    </row>
    <row r="457" spans="5:25">
      <c r="E457" s="903"/>
      <c r="F457" s="903"/>
      <c r="G457" s="903"/>
      <c r="H457" s="903"/>
      <c r="I457" s="903"/>
      <c r="J457" s="903"/>
      <c r="K457" s="903"/>
      <c r="L457" s="903"/>
      <c r="M457" s="903"/>
      <c r="N457" s="903"/>
      <c r="O457" s="903"/>
      <c r="P457" s="903"/>
      <c r="Y457" s="904"/>
    </row>
    <row r="458" spans="5:25">
      <c r="E458" s="903"/>
      <c r="F458" s="903"/>
      <c r="G458" s="903"/>
      <c r="H458" s="903"/>
      <c r="I458" s="903"/>
      <c r="J458" s="903"/>
      <c r="K458" s="903"/>
      <c r="L458" s="903"/>
      <c r="M458" s="903"/>
      <c r="N458" s="903"/>
      <c r="O458" s="903"/>
      <c r="P458" s="903"/>
      <c r="Y458" s="904"/>
    </row>
    <row r="459" spans="5:25">
      <c r="E459" s="903"/>
      <c r="F459" s="903"/>
      <c r="G459" s="903"/>
      <c r="H459" s="903"/>
      <c r="I459" s="903"/>
      <c r="J459" s="903"/>
      <c r="K459" s="903"/>
      <c r="L459" s="903"/>
      <c r="M459" s="903"/>
      <c r="N459" s="903"/>
      <c r="O459" s="903"/>
      <c r="P459" s="903"/>
      <c r="Y459" s="904"/>
    </row>
    <row r="460" spans="5:25">
      <c r="E460" s="903"/>
      <c r="F460" s="903"/>
      <c r="G460" s="903"/>
      <c r="H460" s="903"/>
      <c r="I460" s="903"/>
      <c r="J460" s="903"/>
      <c r="K460" s="903"/>
      <c r="L460" s="903"/>
      <c r="M460" s="903"/>
      <c r="N460" s="903"/>
      <c r="O460" s="903"/>
      <c r="P460" s="903"/>
      <c r="Y460" s="904"/>
    </row>
    <row r="461" spans="5:25">
      <c r="E461" s="903"/>
      <c r="F461" s="903"/>
      <c r="G461" s="903"/>
      <c r="H461" s="903"/>
      <c r="I461" s="903"/>
      <c r="J461" s="903"/>
      <c r="K461" s="903"/>
      <c r="L461" s="903"/>
      <c r="M461" s="903"/>
      <c r="N461" s="903"/>
      <c r="O461" s="903"/>
      <c r="P461" s="903"/>
      <c r="Y461" s="904"/>
    </row>
    <row r="462" spans="5:25">
      <c r="E462" s="903"/>
      <c r="F462" s="903"/>
      <c r="G462" s="903"/>
      <c r="H462" s="903"/>
      <c r="I462" s="903"/>
      <c r="J462" s="903"/>
      <c r="K462" s="903"/>
      <c r="L462" s="903"/>
      <c r="M462" s="903"/>
      <c r="N462" s="903"/>
      <c r="O462" s="903"/>
      <c r="P462" s="903"/>
      <c r="Y462" s="904"/>
    </row>
    <row r="463" spans="5:25">
      <c r="E463" s="903"/>
      <c r="F463" s="903"/>
      <c r="G463" s="903"/>
      <c r="H463" s="903"/>
      <c r="I463" s="903"/>
      <c r="J463" s="903"/>
      <c r="K463" s="903"/>
      <c r="L463" s="903"/>
      <c r="M463" s="903"/>
      <c r="N463" s="903"/>
      <c r="O463" s="903"/>
      <c r="P463" s="903"/>
      <c r="Y463" s="904"/>
    </row>
    <row r="464" spans="5:25">
      <c r="E464" s="903"/>
      <c r="F464" s="903"/>
      <c r="G464" s="903"/>
      <c r="H464" s="903"/>
      <c r="I464" s="903"/>
      <c r="J464" s="903"/>
      <c r="K464" s="903"/>
      <c r="L464" s="903"/>
      <c r="M464" s="903"/>
      <c r="N464" s="903"/>
      <c r="O464" s="903"/>
      <c r="P464" s="903"/>
      <c r="Y464" s="904"/>
    </row>
    <row r="465" spans="5:25">
      <c r="E465" s="903"/>
      <c r="F465" s="903"/>
      <c r="G465" s="903"/>
      <c r="H465" s="903"/>
      <c r="I465" s="903"/>
      <c r="J465" s="903"/>
      <c r="K465" s="903"/>
      <c r="L465" s="903"/>
      <c r="M465" s="903"/>
      <c r="N465" s="903"/>
      <c r="O465" s="903"/>
      <c r="P465" s="903"/>
      <c r="Y465" s="904"/>
    </row>
    <row r="466" spans="5:25">
      <c r="E466" s="903"/>
      <c r="F466" s="903"/>
      <c r="G466" s="903"/>
      <c r="H466" s="903"/>
      <c r="I466" s="903"/>
      <c r="J466" s="903"/>
      <c r="K466" s="903"/>
      <c r="L466" s="903"/>
      <c r="M466" s="903"/>
      <c r="N466" s="903"/>
      <c r="O466" s="903"/>
      <c r="P466" s="903"/>
      <c r="Y466" s="904"/>
    </row>
    <row r="467" spans="5:25">
      <c r="E467" s="903"/>
      <c r="F467" s="903"/>
      <c r="G467" s="903"/>
      <c r="H467" s="903"/>
      <c r="I467" s="903"/>
      <c r="J467" s="903"/>
      <c r="K467" s="903"/>
      <c r="L467" s="903"/>
      <c r="M467" s="903"/>
      <c r="N467" s="903"/>
      <c r="O467" s="903"/>
      <c r="P467" s="903"/>
      <c r="Y467" s="904"/>
    </row>
  </sheetData>
  <mergeCells count="38">
    <mergeCell ref="X19:X24"/>
    <mergeCell ref="A54:A65"/>
    <mergeCell ref="A43:A53"/>
    <mergeCell ref="Y43:Y53"/>
    <mergeCell ref="C45:C48"/>
    <mergeCell ref="C52:C53"/>
    <mergeCell ref="X49:X53"/>
    <mergeCell ref="X61:X65"/>
    <mergeCell ref="C56:C60"/>
    <mergeCell ref="C62:C65"/>
    <mergeCell ref="Y54:Y65"/>
    <mergeCell ref="A34:A42"/>
    <mergeCell ref="Y34:Y42"/>
    <mergeCell ref="C36:C39"/>
    <mergeCell ref="C41:C42"/>
    <mergeCell ref="X40:X42"/>
    <mergeCell ref="A77:A80"/>
    <mergeCell ref="Y77:Y80"/>
    <mergeCell ref="C79:C80"/>
    <mergeCell ref="Y67:Y76"/>
    <mergeCell ref="C71:C73"/>
    <mergeCell ref="X74:X76"/>
    <mergeCell ref="C75:C76"/>
    <mergeCell ref="A25:A33"/>
    <mergeCell ref="Y25:Y33"/>
    <mergeCell ref="C27:C30"/>
    <mergeCell ref="C32:C33"/>
    <mergeCell ref="X31:X33"/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W6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70" firstPageNumber="43" orientation="landscape" useFirstPageNumber="1" r:id="rId1"/>
  <headerFooter>
    <oddHeader>&amp;C&amp;"Arial,Kursywa"Wieloletnia prognoza finansowa Województwa Zachodniopomorskiego na lata 2016-2038&amp;"Arial,Normalny"
____________________________________________________________________________________________________________________</oddHeader>
    <oddFooter>&amp;C&amp;9&amp;P</oddFooter>
  </headerFooter>
  <rowBreaks count="1" manualBreakCount="1">
    <brk id="8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08"/>
  <sheetViews>
    <sheetView topLeftCell="A4" zoomScaleNormal="100" zoomScaleSheetLayoutView="90" workbookViewId="0">
      <pane xSplit="10" ySplit="3" topLeftCell="K7" activePane="bottomRight" state="frozen"/>
      <selection activeCell="A4" sqref="A4"/>
      <selection pane="topRight" activeCell="K4" sqref="K4"/>
      <selection pane="bottomLeft" activeCell="A7" sqref="A7"/>
      <selection pane="bottomRight" activeCell="N13" sqref="N13"/>
    </sheetView>
  </sheetViews>
  <sheetFormatPr defaultColWidth="9.140625" defaultRowHeight="12.75" outlineLevelCol="1"/>
  <cols>
    <col min="1" max="1" width="13.28515625" style="4359" customWidth="1"/>
    <col min="2" max="2" width="35.85546875" style="4273" customWidth="1"/>
    <col min="3" max="3" width="11.28515625" style="4273" hidden="1" customWidth="1"/>
    <col min="4" max="4" width="11.5703125" style="4384" hidden="1" customWidth="1"/>
    <col min="5" max="5" width="11.5703125" style="4385" hidden="1" customWidth="1"/>
    <col min="6" max="6" width="12.85546875" style="4385" hidden="1" customWidth="1"/>
    <col min="7" max="7" width="12.42578125" style="4386" hidden="1" customWidth="1"/>
    <col min="8" max="10" width="12.140625" style="4360" hidden="1" customWidth="1"/>
    <col min="11" max="11" width="12.7109375" style="4360" customWidth="1"/>
    <col min="12" max="12" width="0.28515625" style="4361" hidden="1" customWidth="1"/>
    <col min="13" max="13" width="12.85546875" style="4360" customWidth="1"/>
    <col min="14" max="21" width="12.7109375" style="4360" customWidth="1"/>
    <col min="22" max="22" width="14" style="4273" customWidth="1"/>
    <col min="23" max="23" width="14.42578125" style="4273" customWidth="1"/>
    <col min="24" max="24" width="14.85546875" style="4271" bestFit="1" customWidth="1"/>
    <col min="25" max="25" width="11.85546875" style="4272" hidden="1" customWidth="1" outlineLevel="1"/>
    <col min="26" max="26" width="13.28515625" style="4272" hidden="1" customWidth="1" outlineLevel="1"/>
    <col min="27" max="27" width="20.140625" style="4273" customWidth="1" collapsed="1"/>
    <col min="28" max="29" width="9.140625" style="4273"/>
    <col min="30" max="30" width="9.7109375" style="4273" bestFit="1" customWidth="1"/>
    <col min="31" max="16384" width="9.140625" style="4273"/>
  </cols>
  <sheetData>
    <row r="1" spans="1:27" s="4273" customFormat="1" ht="68.25" customHeight="1">
      <c r="A1" s="4269" t="s">
        <v>234</v>
      </c>
      <c r="B1" s="4269"/>
      <c r="C1" s="4269"/>
      <c r="D1" s="4269"/>
      <c r="E1" s="4269"/>
      <c r="F1" s="4269"/>
      <c r="G1" s="4269"/>
      <c r="H1" s="4269"/>
      <c r="I1" s="4269"/>
      <c r="J1" s="4269"/>
      <c r="K1" s="4269"/>
      <c r="L1" s="4269"/>
      <c r="M1" s="4269"/>
      <c r="N1" s="4269"/>
      <c r="O1" s="4269"/>
      <c r="P1" s="4269"/>
      <c r="Q1" s="4269"/>
      <c r="R1" s="4269"/>
      <c r="S1" s="4269"/>
      <c r="T1" s="4269"/>
      <c r="U1" s="4269"/>
      <c r="V1" s="4269"/>
      <c r="W1" s="4270"/>
      <c r="X1" s="4271"/>
      <c r="Y1" s="4272"/>
      <c r="Z1" s="4272"/>
    </row>
    <row r="2" spans="1:27" s="4273" customFormat="1" ht="15.75" customHeight="1" thickBot="1">
      <c r="A2" s="4274"/>
      <c r="B2" s="4274"/>
      <c r="C2" s="4274"/>
      <c r="D2" s="4274"/>
      <c r="E2" s="4274"/>
      <c r="F2" s="4274"/>
      <c r="G2" s="4274"/>
      <c r="H2" s="4274"/>
      <c r="I2" s="4274"/>
      <c r="J2" s="4274"/>
      <c r="K2" s="4274"/>
      <c r="L2" s="4274"/>
      <c r="M2" s="4274"/>
      <c r="N2" s="4274"/>
      <c r="O2" s="4274"/>
      <c r="P2" s="4274"/>
      <c r="Q2" s="4274"/>
      <c r="R2" s="4274"/>
      <c r="S2" s="4274"/>
      <c r="T2" s="4274"/>
      <c r="U2" s="4274"/>
      <c r="V2" s="4274"/>
      <c r="W2" s="4275"/>
      <c r="X2" s="4271"/>
      <c r="Y2" s="4272"/>
      <c r="Z2" s="4272"/>
    </row>
    <row r="3" spans="1:27" s="4273" customFormat="1" ht="24" customHeight="1">
      <c r="A3" s="4276" t="s">
        <v>5</v>
      </c>
      <c r="B3" s="4277"/>
      <c r="C3" s="4278" t="s">
        <v>3</v>
      </c>
      <c r="D3" s="4278"/>
      <c r="E3" s="4278"/>
      <c r="F3" s="4278"/>
      <c r="G3" s="4278"/>
      <c r="H3" s="4278"/>
      <c r="I3" s="4278"/>
      <c r="J3" s="4279"/>
      <c r="K3" s="4280" t="s">
        <v>3</v>
      </c>
      <c r="L3" s="4281"/>
      <c r="M3" s="4281"/>
      <c r="N3" s="4282" t="s">
        <v>390</v>
      </c>
      <c r="O3" s="4283"/>
      <c r="P3" s="4283"/>
      <c r="Q3" s="4283"/>
      <c r="R3" s="4283"/>
      <c r="S3" s="4283"/>
      <c r="T3" s="4283"/>
      <c r="U3" s="4284"/>
      <c r="V3" s="4285" t="s">
        <v>4</v>
      </c>
      <c r="W3" s="4286" t="s">
        <v>389</v>
      </c>
      <c r="X3" s="4271"/>
      <c r="Y3" s="4272"/>
      <c r="Z3" s="4272"/>
    </row>
    <row r="4" spans="1:27" s="4273" customFormat="1" ht="15.75" customHeight="1">
      <c r="A4" s="4287"/>
      <c r="B4" s="4288"/>
      <c r="C4" s="4289"/>
      <c r="D4" s="4289"/>
      <c r="E4" s="4289"/>
      <c r="F4" s="4289"/>
      <c r="G4" s="4289"/>
      <c r="H4" s="4289"/>
      <c r="I4" s="4289"/>
      <c r="J4" s="4290"/>
      <c r="K4" s="4291"/>
      <c r="L4" s="4292"/>
      <c r="M4" s="4292"/>
      <c r="N4" s="4293"/>
      <c r="O4" s="4294"/>
      <c r="P4" s="4294"/>
      <c r="Q4" s="4294"/>
      <c r="R4" s="4294"/>
      <c r="S4" s="4294"/>
      <c r="T4" s="4294"/>
      <c r="U4" s="4295"/>
      <c r="V4" s="4296"/>
      <c r="W4" s="4297"/>
      <c r="X4" s="4271"/>
      <c r="Y4" s="4272"/>
      <c r="Z4" s="4272"/>
    </row>
    <row r="5" spans="1:27" s="4273" customFormat="1" ht="18.75" customHeight="1" thickBot="1">
      <c r="A5" s="4298"/>
      <c r="B5" s="4299"/>
      <c r="C5" s="4300" t="s">
        <v>6</v>
      </c>
      <c r="D5" s="4301" t="s">
        <v>7</v>
      </c>
      <c r="E5" s="4301" t="s">
        <v>8</v>
      </c>
      <c r="F5" s="4301" t="s">
        <v>9</v>
      </c>
      <c r="G5" s="4302" t="s">
        <v>10</v>
      </c>
      <c r="H5" s="4302" t="s">
        <v>11</v>
      </c>
      <c r="I5" s="4302" t="s">
        <v>12</v>
      </c>
      <c r="J5" s="4303" t="s">
        <v>13</v>
      </c>
      <c r="K5" s="4304" t="s">
        <v>382</v>
      </c>
      <c r="L5" s="4305" t="s">
        <v>14</v>
      </c>
      <c r="M5" s="4304" t="s">
        <v>15</v>
      </c>
      <c r="N5" s="4304" t="s">
        <v>16</v>
      </c>
      <c r="O5" s="4306" t="s">
        <v>17</v>
      </c>
      <c r="P5" s="4306" t="s">
        <v>18</v>
      </c>
      <c r="Q5" s="4306" t="s">
        <v>290</v>
      </c>
      <c r="R5" s="4306" t="s">
        <v>295</v>
      </c>
      <c r="S5" s="4306" t="s">
        <v>373</v>
      </c>
      <c r="T5" s="4306" t="s">
        <v>374</v>
      </c>
      <c r="U5" s="4306" t="s">
        <v>372</v>
      </c>
      <c r="V5" s="4296"/>
      <c r="W5" s="4297"/>
      <c r="X5" s="4271"/>
      <c r="Y5" s="4272"/>
      <c r="Z5" s="4272"/>
    </row>
    <row r="6" spans="1:27" s="4318" customFormat="1" ht="14.25" customHeight="1" thickBot="1">
      <c r="A6" s="4307">
        <v>1</v>
      </c>
      <c r="B6" s="4308"/>
      <c r="C6" s="4309" t="s">
        <v>142</v>
      </c>
      <c r="D6" s="4310">
        <v>3</v>
      </c>
      <c r="E6" s="4311">
        <v>4</v>
      </c>
      <c r="F6" s="4311">
        <v>5</v>
      </c>
      <c r="G6" s="4312" t="s">
        <v>143</v>
      </c>
      <c r="H6" s="4312" t="s">
        <v>144</v>
      </c>
      <c r="I6" s="4312" t="s">
        <v>145</v>
      </c>
      <c r="J6" s="4312" t="s">
        <v>146</v>
      </c>
      <c r="K6" s="4313">
        <v>2</v>
      </c>
      <c r="L6" s="4314" t="s">
        <v>375</v>
      </c>
      <c r="M6" s="4312">
        <v>4</v>
      </c>
      <c r="N6" s="4312">
        <v>5</v>
      </c>
      <c r="O6" s="4315">
        <v>6</v>
      </c>
      <c r="P6" s="4315">
        <v>7</v>
      </c>
      <c r="Q6" s="4315">
        <v>8</v>
      </c>
      <c r="R6" s="4315">
        <v>9</v>
      </c>
      <c r="S6" s="4315">
        <v>10</v>
      </c>
      <c r="T6" s="4315">
        <v>11</v>
      </c>
      <c r="U6" s="4315">
        <v>12</v>
      </c>
      <c r="V6" s="4315">
        <v>13</v>
      </c>
      <c r="W6" s="1214">
        <v>14</v>
      </c>
      <c r="X6" s="4316"/>
      <c r="Y6" s="4317"/>
      <c r="Z6" s="4317"/>
    </row>
    <row r="7" spans="1:27" s="4325" customFormat="1" ht="24.75" customHeight="1" thickBot="1">
      <c r="A7" s="4319" t="s">
        <v>235</v>
      </c>
      <c r="B7" s="4320"/>
      <c r="C7" s="4321" t="e">
        <f>+'Tab. 6A -Drogi'!E36+'Tab. 6B Polit społ i rozwój prz'!E185+'Tab. 6B Polit społ i rozwój prz'!E197+'Tab. 6E - Administracja'!#REF!+'Tab. 6E - Administracja'!#REF!+'Tab. 6E - Administracja'!E83+'Tab. 6H - Kultura fiz. i turyst'!E56+'Tab. 6H - Kultura fiz. i turyst'!E49+'Tab. 6H - Kultura fiz. i turyst'!E65+'Tab. 6H - Kultura fiz. i turyst'!E72+'Tab. 6B Polit społ i rozwój prz'!E209+'Tab. 6H - Kultura fiz. i turyst'!E79+'Tab. 6H - Kultura fiz. i turyst'!E95</f>
        <v>#REF!</v>
      </c>
      <c r="D7" s="4321" t="e">
        <f>+'Tab. 6A -Drogi'!F36+'Tab. 6B Polit społ i rozwój prz'!F185+'Tab. 6B Polit społ i rozwój prz'!F197+'Tab. 6E - Administracja'!#REF!+'Tab. 6E - Administracja'!#REF!+'Tab. 6E - Administracja'!F83+'Tab. 6H - Kultura fiz. i turyst'!F56+'Tab. 6H - Kultura fiz. i turyst'!F49+'Tab. 6H - Kultura fiz. i turyst'!F65+'Tab. 6H - Kultura fiz. i turyst'!F72+'Tab. 6B Polit społ i rozwój prz'!F209+'Tab. 6H - Kultura fiz. i turyst'!F79+'Tab. 6H - Kultura fiz. i turyst'!F95</f>
        <v>#REF!</v>
      </c>
      <c r="E7" s="4321" t="e">
        <f>+'Tab. 6A -Drogi'!G36+'Tab. 6B Polit społ i rozwój prz'!G185+'Tab. 6B Polit społ i rozwój prz'!G197+'Tab. 6E - Administracja'!#REF!+'Tab. 6E - Administracja'!#REF!+'Tab. 6E - Administracja'!G83+'Tab. 6H - Kultura fiz. i turyst'!G56+'Tab. 6H - Kultura fiz. i turyst'!G49+'Tab. 6H - Kultura fiz. i turyst'!G65+'Tab. 6H - Kultura fiz. i turyst'!G72+'Tab. 6B Polit społ i rozwój prz'!G209+'Tab. 6H - Kultura fiz. i turyst'!G79+'Tab. 6H - Kultura fiz. i turyst'!G95</f>
        <v>#REF!</v>
      </c>
      <c r="F7" s="4321" t="e">
        <f>+'Tab. 6A -Drogi'!H36+'Tab. 6B Polit społ i rozwój prz'!H185+'Tab. 6B Polit społ i rozwój prz'!H197+'Tab. 6E - Administracja'!#REF!+'Tab. 6E - Administracja'!#REF!+'Tab. 6E - Administracja'!H83+'Tab. 6H - Kultura fiz. i turyst'!H56+'Tab. 6H - Kultura fiz. i turyst'!H49+'Tab. 6H - Kultura fiz. i turyst'!H65+'Tab. 6H - Kultura fiz. i turyst'!H72+'Tab. 6B Polit społ i rozwój prz'!H209+'Tab. 6H - Kultura fiz. i turyst'!H79+'Tab. 6H - Kultura fiz. i turyst'!H95</f>
        <v>#REF!</v>
      </c>
      <c r="G7" s="4321" t="e">
        <f>+'Tab. 6A -Drogi'!I36+'Tab. 6B Polit społ i rozwój prz'!I185+'Tab. 6B Polit społ i rozwój prz'!I197+'Tab. 6E - Administracja'!#REF!+'Tab. 6E - Administracja'!#REF!+'Tab. 6E - Administracja'!I83+'Tab. 6H - Kultura fiz. i turyst'!I56+'Tab. 6H - Kultura fiz. i turyst'!I49+'Tab. 6H - Kultura fiz. i turyst'!I65+'Tab. 6H - Kultura fiz. i turyst'!I72+'Tab. 6B Polit społ i rozwój prz'!I209+'Tab. 6H - Kultura fiz. i turyst'!I79+'Tab. 6H - Kultura fiz. i turyst'!I95</f>
        <v>#REF!</v>
      </c>
      <c r="H7" s="4321" t="e">
        <f>+'Tab. 6A -Drogi'!J36+'Tab. 6B Polit społ i rozwój prz'!J185+'Tab. 6B Polit społ i rozwój prz'!J197+'Tab. 6E - Administracja'!#REF!+'Tab. 6E - Administracja'!#REF!+'Tab. 6E - Administracja'!J83+'Tab. 6H - Kultura fiz. i turyst'!J56+'Tab. 6H - Kultura fiz. i turyst'!J49+'Tab. 6H - Kultura fiz. i turyst'!J65+'Tab. 6H - Kultura fiz. i turyst'!J72+'Tab. 6B Polit społ i rozwój prz'!J209+'Tab. 6H - Kultura fiz. i turyst'!J79+'Tab. 6H - Kultura fiz. i turyst'!J95</f>
        <v>#REF!</v>
      </c>
      <c r="I7" s="4321" t="e">
        <f>+'Tab. 6A -Drogi'!K36+'Tab. 6B Polit społ i rozwój prz'!K185+'Tab. 6B Polit społ i rozwój prz'!K197+'Tab. 6E - Administracja'!#REF!+'Tab. 6E - Administracja'!#REF!+'Tab. 6E - Administracja'!K83+'Tab. 6H - Kultura fiz. i turyst'!K56+'Tab. 6H - Kultura fiz. i turyst'!K49+'Tab. 6H - Kultura fiz. i turyst'!K65+'Tab. 6H - Kultura fiz. i turyst'!K72+'Tab. 6B Polit społ i rozwój prz'!K209+'Tab. 6H - Kultura fiz. i turyst'!K79+'Tab. 6H - Kultura fiz. i turyst'!K95</f>
        <v>#REF!</v>
      </c>
      <c r="J7" s="4321" t="e">
        <f>+'Tab. 6A -Drogi'!L36+'Tab. 6B Polit społ i rozwój prz'!L185+'Tab. 6B Polit społ i rozwój prz'!L197+'Tab. 6E - Administracja'!#REF!+'Tab. 6E - Administracja'!#REF!+'Tab. 6E - Administracja'!L83+'Tab. 6H - Kultura fiz. i turyst'!L56+'Tab. 6H - Kultura fiz. i turyst'!L49+'Tab. 6H - Kultura fiz. i turyst'!L65+'Tab. 6H - Kultura fiz. i turyst'!L72+'Tab. 6B Polit społ i rozwój prz'!L209+'Tab. 6H - Kultura fiz. i turyst'!L79+'Tab. 6H - Kultura fiz. i turyst'!L95</f>
        <v>#REF!</v>
      </c>
      <c r="K7" s="4321">
        <f>'Tab. 6A -Drogi'!M36+'Tab. 6B Polit społ i rozwój prz'!M185+'Tab. 6B Polit społ i rozwój prz'!M197+'Tab. 6B Polit społ i rozwój prz'!M209+'Tab. 6E - Administracja'!M83+'Tab. 6E - Administracja'!M92-'Tab. 6E - Administracja'!M100+'Tab. 6E - Administracja'!M116-'Tab. 6E - Administracja'!M118+'Tab. 6H - Kultura fiz. i turyst'!M49+'Tab. 6H - Kultura fiz. i turyst'!M56+'Tab. 6H - Kultura fiz. i turyst'!M65+'Tab. 6H - Kultura fiz. i turyst'!M72+'Tab. 6H - Kultura fiz. i turyst'!M79+'Tab. 6H - Kultura fiz. i turyst'!M88+'Tab. 6H - Kultura fiz. i turyst'!M95+'Tab. 6H - Kultura fiz. i turyst'!M113</f>
        <v>221758172</v>
      </c>
      <c r="L7" s="4321" t="e">
        <f>+'Tab. 6A -Drogi'!N36+'Tab. 6B Polit społ i rozwój prz'!N185+'Tab. 6B Polit społ i rozwój prz'!N197+'Tab. 6E - Administracja'!#REF!+'Tab. 6E - Administracja'!#REF!+'Tab. 6E - Administracja'!N83+'Tab. 6H - Kultura fiz. i turyst'!N56+'Tab. 6H - Kultura fiz. i turyst'!N49+'Tab. 6H - Kultura fiz. i turyst'!N65+'Tab. 6H - Kultura fiz. i turyst'!N72+'Tab. 6B Polit społ i rozwój prz'!N209+'Tab. 6H - Kultura fiz. i turyst'!N79+'Tab. 6H - Kultura fiz. i turyst'!N95-'Tab. 6E - Administracja'!N100+'Tab. 6E - Administracja'!N92+'Tab. 6E - Administracja'!N116-'Tab. 6E - Administracja'!N118</f>
        <v>#REF!</v>
      </c>
      <c r="M7" s="4321">
        <f>'Tab. 6A -Drogi'!O36+'Tab. 6B Polit społ i rozwój prz'!O185+'Tab. 6B Polit społ i rozwój prz'!O197+'Tab. 6B Polit społ i rozwój prz'!O209+'Tab. 6E - Administracja'!O83+'Tab. 6E - Administracja'!O92-'Tab. 6E - Administracja'!O100+'Tab. 6E - Administracja'!O116-'Tab. 6E - Administracja'!O118+'Tab. 6H - Kultura fiz. i turyst'!O49+'Tab. 6H - Kultura fiz. i turyst'!O56+'Tab. 6H - Kultura fiz. i turyst'!O65+'Tab. 6H - Kultura fiz. i turyst'!O72+'Tab. 6H - Kultura fiz. i turyst'!O79+'Tab. 6H - Kultura fiz. i turyst'!O88+'Tab. 6H - Kultura fiz. i turyst'!O95+'Tab. 6H - Kultura fiz. i turyst'!O113</f>
        <v>44808595</v>
      </c>
      <c r="N7" s="4321">
        <f>'Tab. 6A -Drogi'!P36+'Tab. 6B Polit społ i rozwój prz'!P185+'Tab. 6B Polit społ i rozwój prz'!P197+'Tab. 6B Polit społ i rozwój prz'!P209+'Tab. 6E - Administracja'!P83+'Tab. 6E - Administracja'!P92-'Tab. 6E - Administracja'!P100+'Tab. 6E - Administracja'!P116-'Tab. 6E - Administracja'!P118+'Tab. 6H - Kultura fiz. i turyst'!P49+'Tab. 6H - Kultura fiz. i turyst'!P56+'Tab. 6H - Kultura fiz. i turyst'!P65+'Tab. 6H - Kultura fiz. i turyst'!P72+'Tab. 6H - Kultura fiz. i turyst'!P79+'Tab. 6H - Kultura fiz. i turyst'!P88+'Tab. 6H - Kultura fiz. i turyst'!P95+'Tab. 6H - Kultura fiz. i turyst'!P113+'Tab. 6E - Administracja'!P134+'Tab. 6B Polit społ i rozwój prz'!P49+'Tab. 6H - Kultura fiz. i turyst'!P104</f>
        <v>137108161</v>
      </c>
      <c r="O7" s="4321">
        <f>'Tab. 6A -Drogi'!Q36+'Tab. 6B Polit społ i rozwój prz'!Q185+'Tab. 6B Polit społ i rozwój prz'!Q197+'Tab. 6B Polit społ i rozwój prz'!Q209+'Tab. 6E - Administracja'!Q83+'Tab. 6E - Administracja'!Q92-'Tab. 6E - Administracja'!Q100+'Tab. 6E - Administracja'!Q116-'Tab. 6E - Administracja'!Q118+'Tab. 6H - Kultura fiz. i turyst'!Q49+'Tab. 6H - Kultura fiz. i turyst'!Q56+'Tab. 6H - Kultura fiz. i turyst'!Q65+'Tab. 6H - Kultura fiz. i turyst'!Q72+'Tab. 6H - Kultura fiz. i turyst'!Q79+'Tab. 6H - Kultura fiz. i turyst'!Q88+'Tab. 6H - Kultura fiz. i turyst'!Q95+'Tab. 6H - Kultura fiz. i turyst'!Q113+'Tab. 6E - Administracja'!Q134+'Tab. 6B Polit społ i rozwój prz'!Q49+'Tab. 6H - Kultura fiz. i turyst'!Q104</f>
        <v>378148069</v>
      </c>
      <c r="P7" s="4321">
        <f>'Tab. 6A -Drogi'!R36+'Tab. 6B Polit społ i rozwój prz'!R185+'Tab. 6B Polit społ i rozwój prz'!R197+'Tab. 6B Polit społ i rozwój prz'!R209+'Tab. 6E - Administracja'!R83+'Tab. 6E - Administracja'!R92-'Tab. 6E - Administracja'!R100+'Tab. 6E - Administracja'!R116-'Tab. 6E - Administracja'!R118+'Tab. 6H - Kultura fiz. i turyst'!R49+'Tab. 6H - Kultura fiz. i turyst'!R56+'Tab. 6H - Kultura fiz. i turyst'!R65+'Tab. 6H - Kultura fiz. i turyst'!R72+'Tab. 6H - Kultura fiz. i turyst'!R79+'Tab. 6H - Kultura fiz. i turyst'!R88+'Tab. 6H - Kultura fiz. i turyst'!R95+'Tab. 6H - Kultura fiz. i turyst'!R113+'Tab. 6E - Administracja'!R134+'Tab. 6B Polit społ i rozwój prz'!R49+'Tab. 6H - Kultura fiz. i turyst'!R104</f>
        <v>260640314</v>
      </c>
      <c r="Q7" s="4321">
        <f>'Tab. 6A -Drogi'!S36+'Tab. 6B Polit społ i rozwój prz'!S185+'Tab. 6B Polit społ i rozwój prz'!S197+'Tab. 6B Polit społ i rozwój prz'!S209+'Tab. 6E - Administracja'!S83+'Tab. 6E - Administracja'!S92-'Tab. 6E - Administracja'!S100+'Tab. 6E - Administracja'!S116-'Tab. 6E - Administracja'!S118+'Tab. 6H - Kultura fiz. i turyst'!S49+'Tab. 6H - Kultura fiz. i turyst'!S56+'Tab. 6H - Kultura fiz. i turyst'!S65+'Tab. 6H - Kultura fiz. i turyst'!S72+'Tab. 6H - Kultura fiz. i turyst'!S79+'Tab. 6H - Kultura fiz. i turyst'!S88+'Tab. 6H - Kultura fiz. i turyst'!S95+'Tab. 6H - Kultura fiz. i turyst'!S113+'Tab. 6E - Administracja'!S134+'Tab. 6B Polit społ i rozwój prz'!S49+'Tab. 6H - Kultura fiz. i turyst'!S104</f>
        <v>70638661</v>
      </c>
      <c r="R7" s="4321">
        <f>'Tab. 6A -Drogi'!T36+'Tab. 6B Polit społ i rozwój prz'!T185+'Tab. 6B Polit społ i rozwój prz'!T197+'Tab. 6B Polit społ i rozwój prz'!T209+'Tab. 6E - Administracja'!T83+'Tab. 6E - Administracja'!T92-'Tab. 6E - Administracja'!T100+'Tab. 6E - Administracja'!T116-'Tab. 6E - Administracja'!T118+'Tab. 6H - Kultura fiz. i turyst'!T49+'Tab. 6H - Kultura fiz. i turyst'!T56+'Tab. 6H - Kultura fiz. i turyst'!T65+'Tab. 6H - Kultura fiz. i turyst'!T72+'Tab. 6H - Kultura fiz. i turyst'!T79+'Tab. 6H - Kultura fiz. i turyst'!T88+'Tab. 6H - Kultura fiz. i turyst'!T95+'Tab. 6H - Kultura fiz. i turyst'!T113+'Tab. 6E - Administracja'!T134+'Tab. 6B Polit społ i rozwój prz'!T49+'Tab. 6H - Kultura fiz. i turyst'!T104</f>
        <v>51352231</v>
      </c>
      <c r="S7" s="4321">
        <f>'Tab. 6A -Drogi'!U36+'Tab. 6B Polit społ i rozwój prz'!U185+'Tab. 6B Polit społ i rozwój prz'!U197+'Tab. 6B Polit społ i rozwój prz'!U209+'Tab. 6E - Administracja'!U83+'Tab. 6E - Administracja'!U92-'Tab. 6E - Administracja'!U100+'Tab. 6E - Administracja'!U116-'Tab. 6E - Administracja'!U118+'Tab. 6H - Kultura fiz. i turyst'!U49+'Tab. 6H - Kultura fiz. i turyst'!U56+'Tab. 6H - Kultura fiz. i turyst'!U65+'Tab. 6H - Kultura fiz. i turyst'!U72+'Tab. 6H - Kultura fiz. i turyst'!U79+'Tab. 6H - Kultura fiz. i turyst'!U88+'Tab. 6H - Kultura fiz. i turyst'!U95+'Tab. 6H - Kultura fiz. i turyst'!U113+'Tab. 6E - Administracja'!U134+'Tab. 6B Polit społ i rozwój prz'!U49+'Tab. 6H - Kultura fiz. i turyst'!U104</f>
        <v>36656133</v>
      </c>
      <c r="T7" s="4321">
        <f>'Tab. 6A -Drogi'!V36+'Tab. 6B Polit społ i rozwój prz'!V185+'Tab. 6B Polit społ i rozwój prz'!V197+'Tab. 6B Polit społ i rozwój prz'!V209+'Tab. 6E - Administracja'!V83+'Tab. 6E - Administracja'!V92-'Tab. 6E - Administracja'!V100+'Tab. 6E - Administracja'!V116-'Tab. 6E - Administracja'!V118+'Tab. 6H - Kultura fiz. i turyst'!V49+'Tab. 6H - Kultura fiz. i turyst'!V56+'Tab. 6H - Kultura fiz. i turyst'!V65+'Tab. 6H - Kultura fiz. i turyst'!V72+'Tab. 6H - Kultura fiz. i turyst'!V79+'Tab. 6H - Kultura fiz. i turyst'!V88+'Tab. 6H - Kultura fiz. i turyst'!V95+'Tab. 6H - Kultura fiz. i turyst'!V113+'Tab. 6E - Administracja'!V134+'Tab. 6B Polit społ i rozwój prz'!V49+'Tab. 6H - Kultura fiz. i turyst'!V104</f>
        <v>34123337</v>
      </c>
      <c r="U7" s="4321">
        <f>'Tab. 6A -Drogi'!W36+'Tab. 6B Polit społ i rozwój prz'!W185+'Tab. 6B Polit społ i rozwój prz'!W197+'Tab. 6B Polit społ i rozwój prz'!W209+'Tab. 6E - Administracja'!W83+'Tab. 6E - Administracja'!W92-'Tab. 6E - Administracja'!W100+'Tab. 6E - Administracja'!W116-'Tab. 6E - Administracja'!W118+'Tab. 6H - Kultura fiz. i turyst'!W49+'Tab. 6H - Kultura fiz. i turyst'!W56+'Tab. 6H - Kultura fiz. i turyst'!W65+'Tab. 6H - Kultura fiz. i turyst'!W72+'Tab. 6H - Kultura fiz. i turyst'!W79+'Tab. 6H - Kultura fiz. i turyst'!W88+'Tab. 6H - Kultura fiz. i turyst'!W95+'Tab. 6H - Kultura fiz. i turyst'!W113+'Tab. 6E - Administracja'!W134+'Tab. 6B Polit społ i rozwój prz'!W49+'Tab. 6H - Kultura fiz. i turyst'!W104</f>
        <v>34288222</v>
      </c>
      <c r="V7" s="4321">
        <f>K7+M7+N7+O7+P7+Q7+R7+S7+T7+U7</f>
        <v>1269521895</v>
      </c>
      <c r="W7" s="4322">
        <f>N7+O7+P7+Q7+R7+S7+T7+U7</f>
        <v>1002955128</v>
      </c>
      <c r="X7" s="4323"/>
      <c r="Y7" s="4324"/>
      <c r="Z7" s="4324"/>
    </row>
    <row r="8" spans="1:27" s="4325" customFormat="1" ht="24.75" customHeight="1" thickBot="1">
      <c r="A8" s="4326" t="s">
        <v>236</v>
      </c>
      <c r="B8" s="4327"/>
      <c r="C8" s="4328" t="e">
        <f>+'Tab. 6A -Drogi'!E44+'Tab. 6B Polit społ i rozwój prz'!E191+'Tab. 6B Polit społ i rozwój prz'!E203+'Tab. 6E - Administracja'!#REF!+'Tab. 6E - Administracja'!#REF!+'Tab. 6E - Administracja'!E88+'Tab. 6H - Kultura fiz. i turyst'!E52+'Tab. 6H - Kultura fiz. i turyst'!E61+'Tab. 6H - Kultura fiz. i turyst'!E75+'Tab. 6B Polit społ i rozwój prz'!E215+'Tab. 6H - Kultura fiz. i turyst'!E84+'Tab. 6H - Kultura fiz. i turyst'!E100</f>
        <v>#REF!</v>
      </c>
      <c r="D8" s="4328" t="e">
        <f>+'Tab. 6A -Drogi'!F44+'Tab. 6B Polit społ i rozwój prz'!F191+'Tab. 6B Polit społ i rozwój prz'!F203+'Tab. 6E - Administracja'!#REF!+'Tab. 6E - Administracja'!#REF!+'Tab. 6E - Administracja'!F88+'Tab. 6H - Kultura fiz. i turyst'!F52+'Tab. 6H - Kultura fiz. i turyst'!F61+'Tab. 6H - Kultura fiz. i turyst'!F75+'Tab. 6B Polit społ i rozwój prz'!F215+'Tab. 6H - Kultura fiz. i turyst'!F84+'Tab. 6H - Kultura fiz. i turyst'!F100</f>
        <v>#REF!</v>
      </c>
      <c r="E8" s="4328" t="e">
        <f>+'Tab. 6A -Drogi'!G44+'Tab. 6B Polit społ i rozwój prz'!G191+'Tab. 6B Polit społ i rozwój prz'!G203+'Tab. 6E - Administracja'!#REF!+'Tab. 6E - Administracja'!#REF!+'Tab. 6E - Administracja'!G88+'Tab. 6H - Kultura fiz. i turyst'!G52+'Tab. 6H - Kultura fiz. i turyst'!G61+'Tab. 6H - Kultura fiz. i turyst'!G75+'Tab. 6B Polit społ i rozwój prz'!G215+'Tab. 6H - Kultura fiz. i turyst'!G84+'Tab. 6H - Kultura fiz. i turyst'!G100</f>
        <v>#REF!</v>
      </c>
      <c r="F8" s="4328" t="e">
        <f>+'Tab. 6A -Drogi'!H44+'Tab. 6B Polit społ i rozwój prz'!H191+'Tab. 6B Polit społ i rozwój prz'!H203+'Tab. 6E - Administracja'!#REF!+'Tab. 6E - Administracja'!#REF!+'Tab. 6E - Administracja'!H88+'Tab. 6H - Kultura fiz. i turyst'!H52+'Tab. 6H - Kultura fiz. i turyst'!H61+'Tab. 6H - Kultura fiz. i turyst'!H75+'Tab. 6B Polit społ i rozwój prz'!H215+'Tab. 6H - Kultura fiz. i turyst'!H84+'Tab. 6H - Kultura fiz. i turyst'!H100-'Tab. 6A -Drogi'!H231</f>
        <v>#REF!</v>
      </c>
      <c r="G8" s="4328" t="e">
        <f>+'Tab. 6A -Drogi'!I44+'Tab. 6B Polit społ i rozwój prz'!I191+'Tab. 6B Polit społ i rozwój prz'!I203+'Tab. 6E - Administracja'!#REF!+'Tab. 6E - Administracja'!#REF!+'Tab. 6E - Administracja'!I88+'Tab. 6H - Kultura fiz. i turyst'!I52+'Tab. 6H - Kultura fiz. i turyst'!I61+'Tab. 6H - Kultura fiz. i turyst'!I75+'Tab. 6B Polit społ i rozwój prz'!I215+'Tab. 6H - Kultura fiz. i turyst'!I84+'Tab. 6H - Kultura fiz. i turyst'!I100-'Tab. 6A -Drogi'!I231</f>
        <v>#REF!</v>
      </c>
      <c r="H8" s="4328" t="e">
        <f>+'Tab. 6A -Drogi'!J44+'Tab. 6B Polit społ i rozwój prz'!J191+'Tab. 6B Polit społ i rozwój prz'!J203+'Tab. 6E - Administracja'!#REF!+'Tab. 6E - Administracja'!#REF!+'Tab. 6E - Administracja'!J88+'Tab. 6H - Kultura fiz. i turyst'!J52+'Tab. 6H - Kultura fiz. i turyst'!J61+'Tab. 6H - Kultura fiz. i turyst'!J75+'Tab. 6B Polit społ i rozwój prz'!J215+'Tab. 6H - Kultura fiz. i turyst'!J84+'Tab. 6H - Kultura fiz. i turyst'!J100-'Tab. 6A -Drogi'!J231</f>
        <v>#REF!</v>
      </c>
      <c r="I8" s="4328" t="e">
        <f>+'Tab. 6A -Drogi'!K44+'Tab. 6B Polit społ i rozwój prz'!K191+'Tab. 6B Polit społ i rozwój prz'!K203+'Tab. 6E - Administracja'!#REF!+'Tab. 6E - Administracja'!#REF!+'Tab. 6E - Administracja'!K88+'Tab. 6H - Kultura fiz. i turyst'!K52+'Tab. 6H - Kultura fiz. i turyst'!K61+'Tab. 6H - Kultura fiz. i turyst'!K75+'Tab. 6B Polit społ i rozwój prz'!K215+'Tab. 6H - Kultura fiz. i turyst'!K84+'Tab. 6H - Kultura fiz. i turyst'!K100-'Tab. 6A -Drogi'!K231</f>
        <v>#REF!</v>
      </c>
      <c r="J8" s="4328" t="e">
        <f>+'Tab. 6A -Drogi'!L44+'Tab. 6B Polit społ i rozwój prz'!L191+'Tab. 6B Polit społ i rozwój prz'!L203+'Tab. 6E - Administracja'!#REF!+'Tab. 6E - Administracja'!#REF!+'Tab. 6E - Administracja'!L88+'Tab. 6H - Kultura fiz. i turyst'!L52+'Tab. 6H - Kultura fiz. i turyst'!L61+'Tab. 6H - Kultura fiz. i turyst'!L75+'Tab. 6B Polit społ i rozwój prz'!L215+'Tab. 6H - Kultura fiz. i turyst'!L84+'Tab. 6H - Kultura fiz. i turyst'!L100-'Tab. 6A -Drogi'!L231</f>
        <v>#REF!</v>
      </c>
      <c r="K8" s="4328">
        <f>'Tab. 6A -Drogi'!M44+'Tab. 6B Polit społ i rozwój prz'!M191+'Tab. 6B Polit społ i rozwój prz'!M203+'Tab. 6B Polit społ i rozwój prz'!M215+'Tab. 6E - Administracja'!M88+'Tab. 6E - Administracja'!M112+'Tab. 6E - Administracja'!M130+'Tab. 6H - Kultura fiz. i turyst'!M52+'Tab. 6H - Kultura fiz. i turyst'!M61+'Tab. 6H - Kultura fiz. i turyst'!M68+'Tab. 6H - Kultura fiz. i turyst'!M75+'Tab. 6H - Kultura fiz. i turyst'!M84+'Tab. 6H - Kultura fiz. i turyst'!M91+'Tab. 6H - Kultura fiz. i turyst'!M100+'Tab. 6H - Kultura fiz. i turyst'!M118</f>
        <v>183017313</v>
      </c>
      <c r="L8" s="4328" t="e">
        <f>'Tab. 6A -Drogi'!N44+'Tab. 6B Polit społ i rozwój prz'!N191+'Tab. 6B Polit społ i rozwój prz'!N203+'Tab. 6B Polit społ i rozwój prz'!N215+'Tab. 6E - Administracja'!#REF!+'Tab. 6E - Administracja'!#REF!+'Tab. 6E - Administracja'!N88+'Tab. 6E - Administracja'!N112+'Tab. 6E - Administracja'!N130+'Tab. 6H - Kultura fiz. i turyst'!N52+'Tab. 6H - Kultura fiz. i turyst'!N61+'Tab. 6H - Kultura fiz. i turyst'!N68+'Tab. 6H - Kultura fiz. i turyst'!N75+'Tab. 6H - Kultura fiz. i turyst'!N84+'Tab. 6H - Kultura fiz. i turyst'!N91+'Tab. 6H - Kultura fiz. i turyst'!N100+'Tab. 6H - Kultura fiz. i turyst'!N118</f>
        <v>#REF!</v>
      </c>
      <c r="M8" s="4328">
        <f>'Tab. 6A -Drogi'!O44+'Tab. 6B Polit społ i rozwój prz'!O191+'Tab. 6B Polit społ i rozwój prz'!O203+'Tab. 6B Polit społ i rozwój prz'!O215+'Tab. 6E - Administracja'!O88+'Tab. 6E - Administracja'!O112+'Tab. 6E - Administracja'!O130+'Tab. 6H - Kultura fiz. i turyst'!O52+'Tab. 6H - Kultura fiz. i turyst'!O61+'Tab. 6H - Kultura fiz. i turyst'!O68+'Tab. 6H - Kultura fiz. i turyst'!O75+'Tab. 6H - Kultura fiz. i turyst'!O84+'Tab. 6H - Kultura fiz. i turyst'!O91+'Tab. 6H - Kultura fiz. i turyst'!O100+'Tab. 6H - Kultura fiz. i turyst'!O118</f>
        <v>51546651</v>
      </c>
      <c r="N8" s="4328">
        <f>'Tab. 6A -Drogi'!P44+'Tab. 6B Polit społ i rozwój prz'!P191+'Tab. 6B Polit społ i rozwój prz'!P203+'Tab. 6B Polit społ i rozwój prz'!P215+'Tab. 6E - Administracja'!P88+'Tab. 6E - Administracja'!P112+'Tab. 6E - Administracja'!P130+'Tab. 6H - Kultura fiz. i turyst'!P52+'Tab. 6H - Kultura fiz. i turyst'!P61+'Tab. 6H - Kultura fiz. i turyst'!P68+'Tab. 6H - Kultura fiz. i turyst'!P75+'Tab. 6H - Kultura fiz. i turyst'!P84+'Tab. 6H - Kultura fiz. i turyst'!P91+'Tab. 6H - Kultura fiz. i turyst'!P100+'Tab. 6H - Kultura fiz. i turyst'!P118+'Tab. 6E - Administracja'!P143+'Tab. 6B Polit społ i rozwój prz'!P59+'Tab. 6H - Kultura fiz. i turyst'!P109</f>
        <v>132049615</v>
      </c>
      <c r="O8" s="4328">
        <f>'Tab. 6A -Drogi'!Q44+'Tab. 6B Polit społ i rozwój prz'!Q191+'Tab. 6B Polit społ i rozwój prz'!Q203+'Tab. 6B Polit społ i rozwój prz'!Q215+'Tab. 6E - Administracja'!Q88+'Tab. 6E - Administracja'!Q112+'Tab. 6E - Administracja'!Q130+'Tab. 6H - Kultura fiz. i turyst'!Q52+'Tab. 6H - Kultura fiz. i turyst'!Q61+'Tab. 6H - Kultura fiz. i turyst'!Q68+'Tab. 6H - Kultura fiz. i turyst'!Q75+'Tab. 6H - Kultura fiz. i turyst'!Q84+'Tab. 6H - Kultura fiz. i turyst'!Q91+'Tab. 6H - Kultura fiz. i turyst'!Q100+'Tab. 6H - Kultura fiz. i turyst'!Q118+'Tab. 6E - Administracja'!Q143+'Tab. 6B Polit społ i rozwój prz'!Q59+'Tab. 6H - Kultura fiz. i turyst'!Q109</f>
        <v>330909721</v>
      </c>
      <c r="P8" s="4328">
        <f>'Tab. 6A -Drogi'!R44+'Tab. 6B Polit społ i rozwój prz'!R191+'Tab. 6B Polit społ i rozwój prz'!R203+'Tab. 6B Polit społ i rozwój prz'!R215+'Tab. 6E - Administracja'!R88+'Tab. 6E - Administracja'!R112+'Tab. 6E - Administracja'!R130+'Tab. 6H - Kultura fiz. i turyst'!R52+'Tab. 6H - Kultura fiz. i turyst'!R61+'Tab. 6H - Kultura fiz. i turyst'!R68+'Tab. 6H - Kultura fiz. i turyst'!R75+'Tab. 6H - Kultura fiz. i turyst'!R84+'Tab. 6H - Kultura fiz. i turyst'!R91+'Tab. 6H - Kultura fiz. i turyst'!R100+'Tab. 6H - Kultura fiz. i turyst'!R118+'Tab. 6E - Administracja'!R143+'Tab. 6B Polit społ i rozwój prz'!R59+'Tab. 6H - Kultura fiz. i turyst'!R109</f>
        <v>230303993</v>
      </c>
      <c r="Q8" s="4328">
        <f>'Tab. 6A -Drogi'!S44+'Tab. 6B Polit społ i rozwój prz'!S191+'Tab. 6B Polit społ i rozwój prz'!S203+'Tab. 6B Polit społ i rozwój prz'!S215+'Tab. 6E - Administracja'!S88+'Tab. 6E - Administracja'!S112+'Tab. 6E - Administracja'!S130+'Tab. 6H - Kultura fiz. i turyst'!S52+'Tab. 6H - Kultura fiz. i turyst'!S61+'Tab. 6H - Kultura fiz. i turyst'!S68+'Tab. 6H - Kultura fiz. i turyst'!S75+'Tab. 6H - Kultura fiz. i turyst'!S84+'Tab. 6H - Kultura fiz. i turyst'!S91+'Tab. 6H - Kultura fiz. i turyst'!S100+'Tab. 6H - Kultura fiz. i turyst'!S118+'Tab. 6E - Administracja'!S143+'Tab. 6B Polit społ i rozwój prz'!S59+'Tab. 6H - Kultura fiz. i turyst'!S109</f>
        <v>64764200</v>
      </c>
      <c r="R8" s="4328">
        <f>'Tab. 6A -Drogi'!T44+'Tab. 6B Polit społ i rozwój prz'!T191+'Tab. 6B Polit społ i rozwój prz'!T203+'Tab. 6B Polit społ i rozwój prz'!T215+'Tab. 6E - Administracja'!T88+'Tab. 6E - Administracja'!T112+'Tab. 6E - Administracja'!T130+'Tab. 6H - Kultura fiz. i turyst'!T52+'Tab. 6H - Kultura fiz. i turyst'!T61+'Tab. 6H - Kultura fiz. i turyst'!T68+'Tab. 6H - Kultura fiz. i turyst'!T75+'Tab. 6H - Kultura fiz. i turyst'!T84+'Tab. 6H - Kultura fiz. i turyst'!T91+'Tab. 6H - Kultura fiz. i turyst'!T100+'Tab. 6H - Kultura fiz. i turyst'!T118+'Tab. 6E - Administracja'!T143+'Tab. 6B Polit społ i rozwój prz'!T59+'Tab. 6H - Kultura fiz. i turyst'!T109</f>
        <v>44134748</v>
      </c>
      <c r="S8" s="4328">
        <f>'Tab. 6A -Drogi'!U44+'Tab. 6B Polit społ i rozwój prz'!U191+'Tab. 6B Polit społ i rozwój prz'!U203+'Tab. 6B Polit społ i rozwój prz'!U215+'Tab. 6E - Administracja'!U88+'Tab. 6E - Administracja'!U112+'Tab. 6E - Administracja'!U130+'Tab. 6H - Kultura fiz. i turyst'!U52+'Tab. 6H - Kultura fiz. i turyst'!U61+'Tab. 6H - Kultura fiz. i turyst'!U68+'Tab. 6H - Kultura fiz. i turyst'!U75+'Tab. 6H - Kultura fiz. i turyst'!U84+'Tab. 6H - Kultura fiz. i turyst'!U91+'Tab. 6H - Kultura fiz. i turyst'!U100+'Tab. 6H - Kultura fiz. i turyst'!U118+'Tab. 6E - Administracja'!U143+'Tab. 6B Polit społ i rozwój prz'!U59+'Tab. 6H - Kultura fiz. i turyst'!U109</f>
        <v>30574519</v>
      </c>
      <c r="T8" s="4328">
        <f>'Tab. 6A -Drogi'!V44+'Tab. 6B Polit społ i rozwój prz'!V191+'Tab. 6B Polit społ i rozwój prz'!V203+'Tab. 6B Polit społ i rozwój prz'!V215+'Tab. 6E - Administracja'!V88+'Tab. 6E - Administracja'!V112+'Tab. 6E - Administracja'!V130+'Tab. 6H - Kultura fiz. i turyst'!V52+'Tab. 6H - Kultura fiz. i turyst'!V61+'Tab. 6H - Kultura fiz. i turyst'!V68+'Tab. 6H - Kultura fiz. i turyst'!V75+'Tab. 6H - Kultura fiz. i turyst'!V84+'Tab. 6H - Kultura fiz. i turyst'!V91+'Tab. 6H - Kultura fiz. i turyst'!V100+'Tab. 6H - Kultura fiz. i turyst'!V118+'Tab. 6E - Administracja'!V143+'Tab. 6B Polit społ i rozwój prz'!V59+'Tab. 6H - Kultura fiz. i turyst'!V109</f>
        <v>30240549</v>
      </c>
      <c r="U8" s="4328">
        <f>'Tab. 6A -Drogi'!W44+'Tab. 6B Polit społ i rozwój prz'!W191+'Tab. 6B Polit społ i rozwój prz'!W203+'Tab. 6B Polit społ i rozwój prz'!W215+'Tab. 6E - Administracja'!W88+'Tab. 6E - Administracja'!W112+'Tab. 6E - Administracja'!W130+'Tab. 6H - Kultura fiz. i turyst'!W52+'Tab. 6H - Kultura fiz. i turyst'!W61+'Tab. 6H - Kultura fiz. i turyst'!W68+'Tab. 6H - Kultura fiz. i turyst'!W75+'Tab. 6H - Kultura fiz. i turyst'!W84+'Tab. 6H - Kultura fiz. i turyst'!W91+'Tab. 6H - Kultura fiz. i turyst'!W100+'Tab. 6H - Kultura fiz. i turyst'!W118+'Tab. 6E - Administracja'!W143+'Tab. 6B Polit społ i rozwój prz'!W59+'Tab. 6H - Kultura fiz. i turyst'!W109</f>
        <v>30342746</v>
      </c>
      <c r="V8" s="4328">
        <f t="shared" ref="V8" si="0">K8+M8+N8+O8+P8+Q8+R8+S8+T8+U8</f>
        <v>1127884055</v>
      </c>
      <c r="W8" s="4329" t="s">
        <v>77</v>
      </c>
      <c r="X8" s="4323"/>
      <c r="Y8" s="4324"/>
      <c r="Z8" s="4324"/>
    </row>
    <row r="9" spans="1:27" s="4325" customFormat="1" ht="24.75" hidden="1" customHeight="1" thickBot="1">
      <c r="A9" s="4330" t="s">
        <v>237</v>
      </c>
      <c r="B9" s="4331"/>
      <c r="C9" s="4321">
        <f>+'Tab. 6B Polit społ i rozwój prz'!E11-'Tab. 6B Polit społ i rozwój prz'!E173-'Tab. 6B Polit społ i rozwój prz'!E185-'Tab. 6B Polit społ i rozwój prz'!E197-'Tab. 6B Polit społ i rozwój prz'!E209+'Tab.6I - Planow. przestrz.'!E35+'Tab.6I - Planow. przestrz.'!E44</f>
        <v>0</v>
      </c>
      <c r="D9" s="4321">
        <f>+'Tab. 6B Polit społ i rozwój prz'!F11-'Tab. 6B Polit społ i rozwój prz'!F173-'Tab. 6B Polit społ i rozwój prz'!F185-'Tab. 6B Polit społ i rozwój prz'!F197-'Tab. 6B Polit społ i rozwój prz'!F209+'Tab.6I - Planow. przestrz.'!F35+'Tab.6I - Planow. przestrz.'!F44</f>
        <v>0</v>
      </c>
      <c r="E9" s="4321">
        <f>+'Tab. 6B Polit społ i rozwój prz'!G11-'Tab. 6B Polit społ i rozwój prz'!G173-'Tab. 6B Polit społ i rozwój prz'!G185-'Tab. 6B Polit społ i rozwój prz'!G197-'Tab. 6B Polit społ i rozwój prz'!G209+'Tab.6I - Planow. przestrz.'!G35+'Tab.6I - Planow. przestrz.'!G44</f>
        <v>0</v>
      </c>
      <c r="F9" s="4321">
        <f>+'Tab. 6B Polit społ i rozwój prz'!H11-'Tab. 6B Polit społ i rozwój prz'!H173-'Tab. 6B Polit społ i rozwój prz'!H185-'Tab. 6B Polit społ i rozwój prz'!H197-'Tab. 6B Polit społ i rozwój prz'!H209+'Tab.6I - Planow. przestrz.'!H35+'Tab.6I - Planow. przestrz.'!H44</f>
        <v>0</v>
      </c>
      <c r="G9" s="4321">
        <f>+'Tab. 6B Polit społ i rozwój prz'!I11-'Tab. 6B Polit społ i rozwój prz'!I173-'Tab. 6B Polit społ i rozwój prz'!I185-'Tab. 6B Polit społ i rozwój prz'!I197-'Tab. 6B Polit społ i rozwój prz'!I209+'Tab.6I - Planow. przestrz.'!I35+'Tab.6I - Planow. przestrz.'!I44</f>
        <v>0</v>
      </c>
      <c r="H9" s="4321">
        <f>+'Tab. 6B Polit społ i rozwój prz'!J11-'Tab. 6B Polit społ i rozwój prz'!J173-'Tab. 6B Polit społ i rozwój prz'!J185-'Tab. 6B Polit społ i rozwój prz'!J197-'Tab. 6B Polit społ i rozwój prz'!J209+'Tab.6I - Planow. przestrz.'!J35+'Tab.6I - Planow. przestrz.'!J44</f>
        <v>0</v>
      </c>
      <c r="I9" s="4321">
        <f>+'Tab. 6B Polit społ i rozwój prz'!K11-'Tab. 6B Polit społ i rozwój prz'!K173-'Tab. 6B Polit społ i rozwój prz'!K185-'Tab. 6B Polit społ i rozwój prz'!K197-'Tab. 6B Polit społ i rozwój prz'!K209+'Tab.6I - Planow. przestrz.'!K35+'Tab.6I - Planow. przestrz.'!K44</f>
        <v>0</v>
      </c>
      <c r="J9" s="4321">
        <f>+'Tab. 6B Polit społ i rozwój prz'!L11-'Tab. 6B Polit społ i rozwój prz'!L173-'Tab. 6B Polit społ i rozwój prz'!L185-'Tab. 6B Polit społ i rozwój prz'!L197-'Tab. 6B Polit społ i rozwój prz'!L209+'Tab.6I - Planow. przestrz.'!L35+'Tab.6I - Planow. przestrz.'!L44</f>
        <v>0</v>
      </c>
      <c r="K9" s="4321"/>
      <c r="L9" s="4321"/>
      <c r="M9" s="4321"/>
      <c r="N9" s="4321"/>
      <c r="O9" s="4321"/>
      <c r="P9" s="4321"/>
      <c r="Q9" s="4321"/>
      <c r="R9" s="4321"/>
      <c r="S9" s="4321"/>
      <c r="T9" s="4321"/>
      <c r="U9" s="4321"/>
      <c r="V9" s="4321"/>
      <c r="W9" s="4322">
        <f>N9+O9+P9+Q9+R9+S9+T9+U9</f>
        <v>0</v>
      </c>
      <c r="X9" s="4323"/>
      <c r="Y9" s="4324"/>
      <c r="Z9" s="4324"/>
      <c r="AA9" s="4323"/>
    </row>
    <row r="10" spans="1:27" s="4325" customFormat="1" ht="24.75" hidden="1" customHeight="1" thickBot="1">
      <c r="A10" s="4326" t="s">
        <v>238</v>
      </c>
      <c r="B10" s="4327"/>
      <c r="C10" s="4328">
        <f>+'Tab. 6B Polit społ i rozwój prz'!E18-'Tab. 6B Polit społ i rozwój prz'!E179-'Tab. 6B Polit społ i rozwój prz'!E191-'Tab. 6B Polit społ i rozwój prz'!E203+'Tab. 6H - Kultura fiz. i turyst'!E68-'Tab. 6B Polit społ i rozwój prz'!E215+'Tab.6I - Planow. przestrz.'!E40+'Tab.6I - Planow. przestrz.'!E49</f>
        <v>0</v>
      </c>
      <c r="D10" s="4328">
        <f>+'Tab. 6B Polit społ i rozwój prz'!F18-'Tab. 6B Polit społ i rozwój prz'!F179-'Tab. 6B Polit społ i rozwój prz'!F191-'Tab. 6B Polit społ i rozwój prz'!F203+'Tab. 6H - Kultura fiz. i turyst'!F68-'Tab. 6B Polit społ i rozwój prz'!F215+'Tab.6I - Planow. przestrz.'!F40+'Tab.6I - Planow. przestrz.'!F49</f>
        <v>0</v>
      </c>
      <c r="E10" s="4328">
        <f>+'Tab. 6B Polit społ i rozwój prz'!G18-'Tab. 6B Polit społ i rozwój prz'!G179-'Tab. 6B Polit społ i rozwój prz'!G191-'Tab. 6B Polit społ i rozwój prz'!G203+'Tab. 6H - Kultura fiz. i turyst'!G68-'Tab. 6B Polit społ i rozwój prz'!G215+'Tab.6I - Planow. przestrz.'!G40+'Tab.6I - Planow. przestrz.'!G49</f>
        <v>0</v>
      </c>
      <c r="F10" s="4328">
        <f>+'Tab. 6B Polit społ i rozwój prz'!H18-'Tab. 6B Polit społ i rozwój prz'!H179-'Tab. 6B Polit społ i rozwój prz'!H191-'Tab. 6B Polit społ i rozwój prz'!H203+'Tab. 6H - Kultura fiz. i turyst'!H68-'Tab. 6B Polit społ i rozwój prz'!H215+'Tab.6I - Planow. przestrz.'!H40+'Tab.6I - Planow. przestrz.'!H49</f>
        <v>0</v>
      </c>
      <c r="G10" s="4328">
        <f>+'Tab. 6B Polit społ i rozwój prz'!I18-'Tab. 6B Polit społ i rozwój prz'!I179-'Tab. 6B Polit społ i rozwój prz'!I191-'Tab. 6B Polit społ i rozwój prz'!I203+'Tab. 6H - Kultura fiz. i turyst'!I68-'Tab. 6B Polit społ i rozwój prz'!I215+'Tab.6I - Planow. przestrz.'!I40+'Tab.6I - Planow. przestrz.'!I49</f>
        <v>0</v>
      </c>
      <c r="H10" s="4328">
        <f>+'Tab. 6B Polit społ i rozwój prz'!J18-'Tab. 6B Polit społ i rozwój prz'!J179-'Tab. 6B Polit społ i rozwój prz'!J191-'Tab. 6B Polit społ i rozwój prz'!J203+'Tab. 6H - Kultura fiz. i turyst'!J68-'Tab. 6B Polit społ i rozwój prz'!J215+'Tab.6I - Planow. przestrz.'!J40+'Tab.6I - Planow. przestrz.'!J49</f>
        <v>0</v>
      </c>
      <c r="I10" s="4328">
        <f>+'Tab. 6B Polit społ i rozwój prz'!K18-'Tab. 6B Polit społ i rozwój prz'!K179-'Tab. 6B Polit społ i rozwój prz'!K191-'Tab. 6B Polit społ i rozwój prz'!K203+'Tab. 6H - Kultura fiz. i turyst'!K68-'Tab. 6B Polit społ i rozwój prz'!K215+'Tab.6I - Planow. przestrz.'!K40+'Tab.6I - Planow. przestrz.'!K49</f>
        <v>0</v>
      </c>
      <c r="J10" s="4328">
        <f>+'Tab. 6B Polit społ i rozwój prz'!L18-'Tab. 6B Polit społ i rozwój prz'!L179-'Tab. 6B Polit społ i rozwój prz'!L191-'Tab. 6B Polit społ i rozwój prz'!L203+'Tab. 6H - Kultura fiz. i turyst'!L68-'Tab. 6B Polit społ i rozwój prz'!L215+'Tab.6I - Planow. przestrz.'!L40+'Tab.6I - Planow. przestrz.'!L49</f>
        <v>0</v>
      </c>
      <c r="K10" s="4328"/>
      <c r="L10" s="4328"/>
      <c r="M10" s="4328"/>
      <c r="N10" s="4328"/>
      <c r="O10" s="4328"/>
      <c r="P10" s="4328"/>
      <c r="Q10" s="4328"/>
      <c r="R10" s="4328"/>
      <c r="S10" s="4328"/>
      <c r="T10" s="4328"/>
      <c r="U10" s="4328"/>
      <c r="V10" s="4328"/>
      <c r="W10" s="4329" t="s">
        <v>77</v>
      </c>
      <c r="X10" s="4323"/>
      <c r="Y10" s="4324"/>
      <c r="Z10" s="4324"/>
    </row>
    <row r="11" spans="1:27" s="4325" customFormat="1" ht="24.75" customHeight="1" thickBot="1">
      <c r="A11" s="4319" t="s">
        <v>239</v>
      </c>
      <c r="B11" s="4320"/>
      <c r="C11" s="4321">
        <f>+'Tab. 6A -Drogi'!E472+'Tab. 6G - Roln i ochrona środ.'!E138+'Tab. 6G - Roln i ochrona środ.'!E165</f>
        <v>0</v>
      </c>
      <c r="D11" s="4321">
        <f>+'Tab. 6A -Drogi'!F472+'Tab. 6G - Roln i ochrona środ.'!F138+'Tab. 6G - Roln i ochrona środ.'!F165</f>
        <v>0</v>
      </c>
      <c r="E11" s="4321">
        <f>+'Tab. 6A -Drogi'!G472+'Tab. 6G - Roln i ochrona środ.'!G138+'Tab. 6G - Roln i ochrona środ.'!G165</f>
        <v>0</v>
      </c>
      <c r="F11" s="4321">
        <f>+'Tab. 6A -Drogi'!H472+'Tab. 6G - Roln i ochrona środ.'!H138+'Tab. 6G - Roln i ochrona środ.'!H165</f>
        <v>0</v>
      </c>
      <c r="G11" s="4321">
        <f>+'Tab. 6A -Drogi'!I472+'Tab. 6G - Roln i ochrona środ.'!I138+'Tab. 6G - Roln i ochrona środ.'!I165</f>
        <v>0</v>
      </c>
      <c r="H11" s="4321">
        <f>+'Tab. 6A -Drogi'!J472+'Tab. 6G - Roln i ochrona środ.'!J138+'Tab. 6G - Roln i ochrona środ.'!J165</f>
        <v>0</v>
      </c>
      <c r="I11" s="4321">
        <f>+'Tab. 6A -Drogi'!K472+'Tab. 6G - Roln i ochrona środ.'!K138+'Tab. 6G - Roln i ochrona środ.'!K165</f>
        <v>0</v>
      </c>
      <c r="J11" s="4321">
        <f>+'Tab. 6A -Drogi'!L472+'Tab. 6G - Roln i ochrona środ.'!L138+'Tab. 6G - Roln i ochrona środ.'!L165</f>
        <v>52273080</v>
      </c>
      <c r="K11" s="4321">
        <f>+'Tab. 6A -Drogi'!M472+'Tab. 6G - Roln i ochrona środ.'!M138+'Tab. 6G - Roln i ochrona środ.'!M165</f>
        <v>156606326</v>
      </c>
      <c r="L11" s="4321">
        <f>+'Tab. 6A -Drogi'!N472+'Tab. 6G - Roln i ochrona środ.'!N138+'Tab. 6G - Roln i ochrona środ.'!N165</f>
        <v>104333246</v>
      </c>
      <c r="M11" s="4321">
        <f>+'Tab. 6A -Drogi'!O472+'Tab. 6G - Roln i ochrona środ.'!O165</f>
        <v>69728872</v>
      </c>
      <c r="N11" s="4321">
        <f>+'Tab. 6A -Drogi'!P472+'Tab. 6G - Roln i ochrona środ.'!P165</f>
        <v>0</v>
      </c>
      <c r="O11" s="4321">
        <f>+'Tab. 6A -Drogi'!Q472+'Tab. 6G - Roln i ochrona środ.'!Q165</f>
        <v>0</v>
      </c>
      <c r="P11" s="4321"/>
      <c r="Q11" s="4321"/>
      <c r="R11" s="4321"/>
      <c r="S11" s="4321"/>
      <c r="T11" s="4321"/>
      <c r="U11" s="4321"/>
      <c r="V11" s="4321">
        <f t="shared" ref="V11:V39" si="1">K11+M11+N11+O11+P11+Q11+R11+S11+T11+U11</f>
        <v>226335198</v>
      </c>
      <c r="W11" s="4322">
        <f>N11+O11+P11+Q11+R11+S11+T11+U11</f>
        <v>0</v>
      </c>
      <c r="X11" s="4323"/>
      <c r="Y11" s="4324"/>
      <c r="Z11" s="4324"/>
    </row>
    <row r="12" spans="1:27" s="4325" customFormat="1" ht="24.75" customHeight="1" thickBot="1">
      <c r="A12" s="4326" t="s">
        <v>240</v>
      </c>
      <c r="B12" s="4327"/>
      <c r="C12" s="4328">
        <f>+'Tab. 6A -Drogi'!E480+'Tab. 6G - Roln i ochrona środ.'!E144+'Tab. 6G - Roln i ochrona środ.'!E171</f>
        <v>0</v>
      </c>
      <c r="D12" s="4328">
        <f>+'Tab. 6A -Drogi'!F480+'Tab. 6G - Roln i ochrona środ.'!F144+'Tab. 6G - Roln i ochrona środ.'!F171</f>
        <v>0</v>
      </c>
      <c r="E12" s="4328">
        <f>+'Tab. 6A -Drogi'!G480+'Tab. 6G - Roln i ochrona środ.'!G144+'Tab. 6G - Roln i ochrona środ.'!G171</f>
        <v>0</v>
      </c>
      <c r="F12" s="4328">
        <f>+'Tab. 6A -Drogi'!H480+'Tab. 6G - Roln i ochrona środ.'!H144+'Tab. 6G - Roln i ochrona środ.'!H171</f>
        <v>0</v>
      </c>
      <c r="G12" s="4328">
        <f>+'Tab. 6A -Drogi'!I480+'Tab. 6G - Roln i ochrona środ.'!I144+'Tab. 6G - Roln i ochrona środ.'!I171</f>
        <v>0</v>
      </c>
      <c r="H12" s="4328">
        <f>+'Tab. 6A -Drogi'!J480+'Tab. 6G - Roln i ochrona środ.'!J144+'Tab. 6G - Roln i ochrona środ.'!J171</f>
        <v>5665000</v>
      </c>
      <c r="I12" s="4328">
        <f>+'Tab. 6A -Drogi'!K480+'Tab. 6G - Roln i ochrona środ.'!K144+'Tab. 6G - Roln i ochrona środ.'!K171</f>
        <v>6250000</v>
      </c>
      <c r="J12" s="4328">
        <f>+'Tab. 6A -Drogi'!L480+'Tab. 6G - Roln i ochrona środ.'!L144+'Tab. 6G - Roln i ochrona środ.'!L171</f>
        <v>42956880</v>
      </c>
      <c r="K12" s="4328">
        <f>+'Tab. 6A -Drogi'!M480+'Tab. 6G - Roln i ochrona środ.'!M144+'Tab. 6G - Roln i ochrona środ.'!M171</f>
        <v>135249230</v>
      </c>
      <c r="L12" s="4328">
        <f>+'Tab. 6A -Drogi'!N480+'Tab. 6G - Roln i ochrona środ.'!N144+'Tab. 6G - Roln i ochrona środ.'!N171</f>
        <v>80377350</v>
      </c>
      <c r="M12" s="4328">
        <f>+'Tab. 6A -Drogi'!O480+'Tab. 6G - Roln i ochrona środ.'!O171</f>
        <v>64639424</v>
      </c>
      <c r="N12" s="4328">
        <f>+'Tab. 6A -Drogi'!P480+'Tab. 6G - Roln i ochrona środ.'!P171</f>
        <v>25162416</v>
      </c>
      <c r="O12" s="4328">
        <f>+'Tab. 6A -Drogi'!Q480+'Tab. 6G - Roln i ochrona środ.'!Q171</f>
        <v>0</v>
      </c>
      <c r="P12" s="4328">
        <f>+'Tab. 6A -Drogi'!R480+'Tab. 6G - Roln i ochrona środ.'!R171</f>
        <v>0</v>
      </c>
      <c r="Q12" s="4328">
        <f>+'Tab. 6A -Drogi'!S480+'Tab. 6G - Roln i ochrona środ.'!S171</f>
        <v>0</v>
      </c>
      <c r="R12" s="4328">
        <f>+'Tab. 6A -Drogi'!T480+'Tab. 6G - Roln i ochrona środ.'!T171</f>
        <v>0</v>
      </c>
      <c r="S12" s="4328">
        <f>+'Tab. 6A -Drogi'!U480+'Tab. 6G - Roln i ochrona środ.'!U171</f>
        <v>0</v>
      </c>
      <c r="T12" s="4328">
        <f>+'Tab. 6A -Drogi'!V480+'Tab. 6G - Roln i ochrona środ.'!V171</f>
        <v>0</v>
      </c>
      <c r="U12" s="4328">
        <f>+'Tab. 6A -Drogi'!W480+'Tab. 6G - Roln i ochrona środ.'!W171</f>
        <v>0</v>
      </c>
      <c r="V12" s="4328">
        <f t="shared" si="1"/>
        <v>225051070</v>
      </c>
      <c r="W12" s="4329" t="s">
        <v>77</v>
      </c>
      <c r="X12" s="4323"/>
      <c r="Y12" s="4324"/>
      <c r="Z12" s="4324"/>
    </row>
    <row r="13" spans="1:27" s="4325" customFormat="1" ht="24.75" customHeight="1" thickBot="1">
      <c r="A13" s="4319" t="s">
        <v>241</v>
      </c>
      <c r="B13" s="4320"/>
      <c r="C13" s="4321">
        <f>+'Tab. 6G - Roln i ochrona środ.'!E91+'Tab. 6G - Roln i ochrona środ.'!E104+'Tab. 6G - Roln i ochrona środ.'!E119</f>
        <v>0</v>
      </c>
      <c r="D13" s="4321">
        <f>+'Tab. 6G - Roln i ochrona środ.'!F91+'Tab. 6G - Roln i ochrona środ.'!F104+'Tab. 6G - Roln i ochrona środ.'!F119</f>
        <v>0</v>
      </c>
      <c r="E13" s="4321">
        <f>+'Tab. 6G - Roln i ochrona środ.'!G91+'Tab. 6G - Roln i ochrona środ.'!G104+'Tab. 6G - Roln i ochrona środ.'!G119</f>
        <v>0</v>
      </c>
      <c r="F13" s="4321">
        <f>+'Tab. 6G - Roln i ochrona środ.'!H91+'Tab. 6G - Roln i ochrona środ.'!H104+'Tab. 6G - Roln i ochrona środ.'!H119</f>
        <v>0</v>
      </c>
      <c r="G13" s="4321">
        <f>+'Tab. 6G - Roln i ochrona środ.'!I91+'Tab. 6G - Roln i ochrona środ.'!I104+'Tab. 6G - Roln i ochrona środ.'!I119</f>
        <v>0</v>
      </c>
      <c r="H13" s="4321">
        <f>+'Tab. 6G - Roln i ochrona środ.'!J91+'Tab. 6G - Roln i ochrona środ.'!J104+'Tab. 6G - Roln i ochrona środ.'!J119</f>
        <v>0</v>
      </c>
      <c r="I13" s="4321">
        <f>+'Tab. 6G - Roln i ochrona środ.'!K91+'Tab. 6G - Roln i ochrona środ.'!K104+'Tab. 6G - Roln i ochrona środ.'!K119</f>
        <v>0</v>
      </c>
      <c r="J13" s="4321">
        <f>+'Tab. 6G - Roln i ochrona środ.'!L91+'Tab. 6G - Roln i ochrona środ.'!L104+'Tab. 6G - Roln i ochrona środ.'!L119</f>
        <v>0</v>
      </c>
      <c r="K13" s="4321">
        <f>'Tab. 6G - Roln i ochrona środ.'!M91+'Tab. 6G - Roln i ochrona środ.'!M104+'Tab. 6G - Roln i ochrona środ.'!M119+'Tab. 6G - Roln i ochrona środ.'!M138</f>
        <v>0</v>
      </c>
      <c r="L13" s="4321">
        <f>'Tab. 6G - Roln i ochrona środ.'!N91+'Tab. 6G - Roln i ochrona środ.'!N104+'Tab. 6G - Roln i ochrona środ.'!N119+'Tab. 6G - Roln i ochrona środ.'!N138</f>
        <v>0</v>
      </c>
      <c r="M13" s="4321">
        <f>'Tab. 6G - Roln i ochrona środ.'!O91+'Tab. 6G - Roln i ochrona środ.'!O104+'Tab. 6G - Roln i ochrona środ.'!O119+'Tab. 6G - Roln i ochrona środ.'!O138</f>
        <v>2071007</v>
      </c>
      <c r="N13" s="4321">
        <f>'Tab. 6G - Roln i ochrona środ.'!P91+'Tab. 6G - Roln i ochrona środ.'!P104+'Tab. 6G - Roln i ochrona środ.'!P119+'Tab. 6G - Roln i ochrona środ.'!P138</f>
        <v>5500000</v>
      </c>
      <c r="O13" s="4321">
        <f>'Tab. 6G - Roln i ochrona środ.'!Q91+'Tab. 6G - Roln i ochrona środ.'!Q104+'Tab. 6G - Roln i ochrona środ.'!Q119+'Tab. 6G - Roln i ochrona środ.'!Q138</f>
        <v>3063610</v>
      </c>
      <c r="P13" s="4321">
        <f>'Tab. 6G - Roln i ochrona środ.'!R91+'Tab. 6G - Roln i ochrona środ.'!R104+'Tab. 6G - Roln i ochrona środ.'!R119+'Tab. 6G - Roln i ochrona środ.'!R138</f>
        <v>2500000</v>
      </c>
      <c r="Q13" s="4321">
        <f>'Tab. 6G - Roln i ochrona środ.'!S91+'Tab. 6G - Roln i ochrona środ.'!S104+'Tab. 6G - Roln i ochrona środ.'!S119+'Tab. 6G - Roln i ochrona środ.'!S138</f>
        <v>2500000</v>
      </c>
      <c r="R13" s="4321">
        <f>'Tab. 6G - Roln i ochrona środ.'!T91+'Tab. 6G - Roln i ochrona środ.'!T104+'Tab. 6G - Roln i ochrona środ.'!T119+'Tab. 6G - Roln i ochrona środ.'!T138</f>
        <v>2720411</v>
      </c>
      <c r="S13" s="4321">
        <f>'Tab. 6G - Roln i ochrona środ.'!U91+'Tab. 6G - Roln i ochrona środ.'!U104+'Tab. 6G - Roln i ochrona środ.'!U119+'Tab. 6G - Roln i ochrona środ.'!U138</f>
        <v>2720411</v>
      </c>
      <c r="T13" s="4321">
        <f>'Tab. 6G - Roln i ochrona środ.'!V91+'Tab. 6G - Roln i ochrona środ.'!V104+'Tab. 6G - Roln i ochrona środ.'!V119+'Tab. 6G - Roln i ochrona środ.'!V138</f>
        <v>2720411</v>
      </c>
      <c r="U13" s="4321">
        <f>'Tab. 6G - Roln i ochrona środ.'!W91+'Tab. 6G - Roln i ochrona środ.'!W104+'Tab. 6G - Roln i ochrona środ.'!W119+'Tab. 6G - Roln i ochrona środ.'!W138</f>
        <v>1360206</v>
      </c>
      <c r="V13" s="4321">
        <f t="shared" si="1"/>
        <v>25156056</v>
      </c>
      <c r="W13" s="4322">
        <f>N13+O13+P13+Q13+R13+S13+T13+U13</f>
        <v>23085049</v>
      </c>
      <c r="X13" s="4323"/>
      <c r="Y13" s="4324"/>
      <c r="Z13" s="4324"/>
    </row>
    <row r="14" spans="1:27" s="4325" customFormat="1" ht="24.75" customHeight="1" thickBot="1">
      <c r="A14" s="4326" t="s">
        <v>242</v>
      </c>
      <c r="B14" s="4327"/>
      <c r="C14" s="4328">
        <f>+'Tab. 6G - Roln i ochrona środ.'!E97+'Tab. 6G - Roln i ochrona środ.'!E111+'Tab. 6G - Roln i ochrona środ.'!E125</f>
        <v>0</v>
      </c>
      <c r="D14" s="4328">
        <f>+'Tab. 6G - Roln i ochrona środ.'!F97+'Tab. 6G - Roln i ochrona środ.'!F111+'Tab. 6G - Roln i ochrona środ.'!F125</f>
        <v>0</v>
      </c>
      <c r="E14" s="4328">
        <f>+'Tab. 6G - Roln i ochrona środ.'!G97+'Tab. 6G - Roln i ochrona środ.'!G111+'Tab. 6G - Roln i ochrona środ.'!G125</f>
        <v>0</v>
      </c>
      <c r="F14" s="4328">
        <f>+'Tab. 6G - Roln i ochrona środ.'!H97+'Tab. 6G - Roln i ochrona środ.'!H111+'Tab. 6G - Roln i ochrona środ.'!H125</f>
        <v>0</v>
      </c>
      <c r="G14" s="4328">
        <f>+'Tab. 6G - Roln i ochrona środ.'!I97+'Tab. 6G - Roln i ochrona środ.'!I111+'Tab. 6G - Roln i ochrona środ.'!I125</f>
        <v>0</v>
      </c>
      <c r="H14" s="4328">
        <f>+'Tab. 6G - Roln i ochrona środ.'!J97+'Tab. 6G - Roln i ochrona środ.'!J111+'Tab. 6G - Roln i ochrona środ.'!J125</f>
        <v>0</v>
      </c>
      <c r="I14" s="4328">
        <f>+'Tab. 6G - Roln i ochrona środ.'!K97+'Tab. 6G - Roln i ochrona środ.'!K111+'Tab. 6G - Roln i ochrona środ.'!K125</f>
        <v>0</v>
      </c>
      <c r="J14" s="4328">
        <f>+'Tab. 6G - Roln i ochrona środ.'!L97+'Tab. 6G - Roln i ochrona środ.'!L111+'Tab. 6G - Roln i ochrona środ.'!L125</f>
        <v>0</v>
      </c>
      <c r="K14" s="4328">
        <f>+'Tab. 6G - Roln i ochrona środ.'!M97+'Tab. 6G - Roln i ochrona środ.'!M111+'Tab. 6G - Roln i ochrona środ.'!M125+'Tab. 6G - Roln i ochrona środ.'!M144</f>
        <v>0</v>
      </c>
      <c r="L14" s="4328">
        <f>+'Tab. 6G - Roln i ochrona środ.'!N97+'Tab. 6G - Roln i ochrona środ.'!N111+'Tab. 6G - Roln i ochrona środ.'!N125+'Tab. 6G - Roln i ochrona środ.'!N144</f>
        <v>0</v>
      </c>
      <c r="M14" s="4328">
        <f>+'Tab. 6G - Roln i ochrona środ.'!O97+'Tab. 6G - Roln i ochrona środ.'!O111+'Tab. 6G - Roln i ochrona środ.'!O125+'Tab. 6G - Roln i ochrona środ.'!O144</f>
        <v>2071007</v>
      </c>
      <c r="N14" s="4328">
        <f>+'Tab. 6G - Roln i ochrona środ.'!P97+'Tab. 6G - Roln i ochrona środ.'!P111+'Tab. 6G - Roln i ochrona środ.'!P125+'Tab. 6G - Roln i ochrona środ.'!P144</f>
        <v>5500000</v>
      </c>
      <c r="O14" s="4328">
        <f>+'Tab. 6G - Roln i ochrona środ.'!Q97+'Tab. 6G - Roln i ochrona środ.'!Q111+'Tab. 6G - Roln i ochrona środ.'!Q125+'Tab. 6G - Roln i ochrona środ.'!Q144</f>
        <v>3063610</v>
      </c>
      <c r="P14" s="4328">
        <f>+'Tab. 6G - Roln i ochrona środ.'!R97+'Tab. 6G - Roln i ochrona środ.'!R111+'Tab. 6G - Roln i ochrona środ.'!R125+'Tab. 6G - Roln i ochrona środ.'!R144</f>
        <v>2500000</v>
      </c>
      <c r="Q14" s="4328">
        <f>+'Tab. 6G - Roln i ochrona środ.'!S97+'Tab. 6G - Roln i ochrona środ.'!S111+'Tab. 6G - Roln i ochrona środ.'!S125+'Tab. 6G - Roln i ochrona środ.'!S144</f>
        <v>2500000</v>
      </c>
      <c r="R14" s="4328">
        <f>+'Tab. 6G - Roln i ochrona środ.'!T97+'Tab. 6G - Roln i ochrona środ.'!T111+'Tab. 6G - Roln i ochrona środ.'!T125+'Tab. 6G - Roln i ochrona środ.'!T144</f>
        <v>2720411</v>
      </c>
      <c r="S14" s="4328">
        <f>+'Tab. 6G - Roln i ochrona środ.'!U97+'Tab. 6G - Roln i ochrona środ.'!U111+'Tab. 6G - Roln i ochrona środ.'!U125+'Tab. 6G - Roln i ochrona środ.'!U144</f>
        <v>2720411</v>
      </c>
      <c r="T14" s="4328">
        <f>+'Tab. 6G - Roln i ochrona środ.'!V97+'Tab. 6G - Roln i ochrona środ.'!V111+'Tab. 6G - Roln i ochrona środ.'!V125+'Tab. 6G - Roln i ochrona środ.'!V144</f>
        <v>2720411</v>
      </c>
      <c r="U14" s="4328">
        <f>+'Tab. 6G - Roln i ochrona środ.'!W97+'Tab. 6G - Roln i ochrona środ.'!W111+'Tab. 6G - Roln i ochrona środ.'!W125+'Tab. 6G - Roln i ochrona środ.'!W144</f>
        <v>1360206</v>
      </c>
      <c r="V14" s="4328">
        <f t="shared" si="1"/>
        <v>25156056</v>
      </c>
      <c r="W14" s="4329" t="s">
        <v>77</v>
      </c>
      <c r="X14" s="4323"/>
      <c r="Y14" s="4324"/>
      <c r="Z14" s="4324"/>
    </row>
    <row r="15" spans="1:27" s="4325" customFormat="1" ht="24.75" hidden="1" customHeight="1" thickBot="1">
      <c r="A15" s="4330" t="s">
        <v>243</v>
      </c>
      <c r="B15" s="4331"/>
      <c r="C15" s="4321">
        <f>+'Tab. 6G - Roln i ochrona środ.'!E35+'Tab. 6G - Roln i ochrona środ.'!E54</f>
        <v>0</v>
      </c>
      <c r="D15" s="4321">
        <f>+'Tab. 6G - Roln i ochrona środ.'!F35+'Tab. 6G - Roln i ochrona środ.'!F54</f>
        <v>0</v>
      </c>
      <c r="E15" s="4321">
        <f>+'Tab. 6G - Roln i ochrona środ.'!G35+'Tab. 6G - Roln i ochrona środ.'!G54</f>
        <v>0</v>
      </c>
      <c r="F15" s="4321">
        <f>+'Tab. 6G - Roln i ochrona środ.'!H35+'Tab. 6G - Roln i ochrona środ.'!H54</f>
        <v>0</v>
      </c>
      <c r="G15" s="4321">
        <f>+'Tab. 6G - Roln i ochrona środ.'!I35+'Tab. 6G - Roln i ochrona środ.'!I54</f>
        <v>0</v>
      </c>
      <c r="H15" s="4321">
        <f>+'Tab. 6G - Roln i ochrona środ.'!J35+'Tab. 6G - Roln i ochrona środ.'!J54</f>
        <v>0</v>
      </c>
      <c r="I15" s="4321">
        <f>+'Tab. 6G - Roln i ochrona środ.'!K35+'Tab. 6G - Roln i ochrona środ.'!K54</f>
        <v>0</v>
      </c>
      <c r="J15" s="4321">
        <f>+'Tab. 6G - Roln i ochrona środ.'!L35+'Tab. 6G - Roln i ochrona środ.'!L54</f>
        <v>0</v>
      </c>
      <c r="K15" s="4321">
        <f>+'Tab. 6G - Roln i ochrona środ.'!M35+'Tab. 6G - Roln i ochrona środ.'!M54</f>
        <v>0</v>
      </c>
      <c r="L15" s="4321">
        <f>+'Tab. 6G - Roln i ochrona środ.'!N35+'Tab. 6G - Roln i ochrona środ.'!N54</f>
        <v>0</v>
      </c>
      <c r="M15" s="4321">
        <f>+'Tab. 6G - Roln i ochrona środ.'!O35+'Tab. 6G - Roln i ochrona środ.'!O54</f>
        <v>0</v>
      </c>
      <c r="N15" s="4321">
        <f>+'Tab. 6G - Roln i ochrona środ.'!P35+'Tab. 6G - Roln i ochrona środ.'!P54</f>
        <v>0</v>
      </c>
      <c r="O15" s="4321">
        <f>+'Tab. 6G - Roln i ochrona środ.'!Q35+'Tab. 6G - Roln i ochrona środ.'!Q54</f>
        <v>0</v>
      </c>
      <c r="P15" s="4321">
        <f>+'Tab. 6G - Roln i ochrona środ.'!R35+'Tab. 6G - Roln i ochrona środ.'!R54</f>
        <v>0</v>
      </c>
      <c r="Q15" s="4321">
        <f>+'Tab. 6G - Roln i ochrona środ.'!S35+'Tab. 6G - Roln i ochrona środ.'!S54</f>
        <v>0</v>
      </c>
      <c r="R15" s="4321">
        <f>+'Tab. 6G - Roln i ochrona środ.'!T35+'Tab. 6G - Roln i ochrona środ.'!T54</f>
        <v>0</v>
      </c>
      <c r="S15" s="4321">
        <f>+'Tab. 6G - Roln i ochrona środ.'!U35+'Tab. 6G - Roln i ochrona środ.'!U54</f>
        <v>0</v>
      </c>
      <c r="T15" s="4321">
        <f>+'Tab. 6G - Roln i ochrona środ.'!V35+'Tab. 6G - Roln i ochrona środ.'!V54</f>
        <v>0</v>
      </c>
      <c r="U15" s="4321">
        <f>+'Tab. 6G - Roln i ochrona środ.'!W35+'Tab. 6G - Roln i ochrona środ.'!W54</f>
        <v>0</v>
      </c>
      <c r="V15" s="4321">
        <f t="shared" si="1"/>
        <v>0</v>
      </c>
      <c r="W15" s="4322">
        <f>N15+O15+P15+Q15+R15+S15+T15+U15</f>
        <v>0</v>
      </c>
      <c r="X15" s="4323"/>
      <c r="Y15" s="4324"/>
      <c r="Z15" s="4324"/>
    </row>
    <row r="16" spans="1:27" s="4325" customFormat="1" ht="24.75" hidden="1" customHeight="1" thickBot="1">
      <c r="A16" s="4326" t="s">
        <v>244</v>
      </c>
      <c r="B16" s="4327"/>
      <c r="C16" s="4328">
        <f>+'Tab. 6G - Roln i ochrona środ.'!E44+'Tab. 6G - Roln i ochrona środ.'!E61</f>
        <v>0</v>
      </c>
      <c r="D16" s="4328">
        <f>+'Tab. 6G - Roln i ochrona środ.'!F44+'Tab. 6G - Roln i ochrona środ.'!F61</f>
        <v>0</v>
      </c>
      <c r="E16" s="4328">
        <f>+'Tab. 6G - Roln i ochrona środ.'!G44+'Tab. 6G - Roln i ochrona środ.'!G61</f>
        <v>0</v>
      </c>
      <c r="F16" s="4328">
        <f>+'Tab. 6G - Roln i ochrona środ.'!H44+'Tab. 6G - Roln i ochrona środ.'!H61</f>
        <v>0</v>
      </c>
      <c r="G16" s="4328">
        <f>+'Tab. 6G - Roln i ochrona środ.'!I44+'Tab. 6G - Roln i ochrona środ.'!I61</f>
        <v>0</v>
      </c>
      <c r="H16" s="4328">
        <f>+'Tab. 6G - Roln i ochrona środ.'!J44+'Tab. 6G - Roln i ochrona środ.'!J61</f>
        <v>0</v>
      </c>
      <c r="I16" s="4328">
        <f>+'Tab. 6G - Roln i ochrona środ.'!K44+'Tab. 6G - Roln i ochrona środ.'!K61</f>
        <v>0</v>
      </c>
      <c r="J16" s="4328">
        <f>+'Tab. 6G - Roln i ochrona środ.'!L44+'Tab. 6G - Roln i ochrona środ.'!L61</f>
        <v>0</v>
      </c>
      <c r="K16" s="4328">
        <f>+'Tab. 6G - Roln i ochrona środ.'!M44+'Tab. 6G - Roln i ochrona środ.'!M61</f>
        <v>0</v>
      </c>
      <c r="L16" s="4328">
        <f>+'Tab. 6G - Roln i ochrona środ.'!N44+'Tab. 6G - Roln i ochrona środ.'!N61</f>
        <v>0</v>
      </c>
      <c r="M16" s="4328">
        <f>+'Tab. 6G - Roln i ochrona środ.'!O44+'Tab. 6G - Roln i ochrona środ.'!O61</f>
        <v>0</v>
      </c>
      <c r="N16" s="4328">
        <f>+'Tab. 6G - Roln i ochrona środ.'!P44+'Tab. 6G - Roln i ochrona środ.'!P61</f>
        <v>0</v>
      </c>
      <c r="O16" s="4328">
        <f>+'Tab. 6G - Roln i ochrona środ.'!Q44+'Tab. 6G - Roln i ochrona środ.'!Q61</f>
        <v>0</v>
      </c>
      <c r="P16" s="4328">
        <f>+'Tab. 6G - Roln i ochrona środ.'!R44+'Tab. 6G - Roln i ochrona środ.'!R61</f>
        <v>0</v>
      </c>
      <c r="Q16" s="4328">
        <f>+'Tab. 6G - Roln i ochrona środ.'!S44+'Tab. 6G - Roln i ochrona środ.'!S61</f>
        <v>0</v>
      </c>
      <c r="R16" s="4328">
        <f>+'Tab. 6G - Roln i ochrona środ.'!T44+'Tab. 6G - Roln i ochrona środ.'!T61</f>
        <v>0</v>
      </c>
      <c r="S16" s="4328">
        <f>+'Tab. 6G - Roln i ochrona środ.'!U44+'Tab. 6G - Roln i ochrona środ.'!U61</f>
        <v>0</v>
      </c>
      <c r="T16" s="4328">
        <f>+'Tab. 6G - Roln i ochrona środ.'!V44+'Tab. 6G - Roln i ochrona środ.'!V61</f>
        <v>0</v>
      </c>
      <c r="U16" s="4328">
        <f>+'Tab. 6G - Roln i ochrona środ.'!W44+'Tab. 6G - Roln i ochrona środ.'!W61</f>
        <v>0</v>
      </c>
      <c r="V16" s="4328">
        <f t="shared" si="1"/>
        <v>0</v>
      </c>
      <c r="W16" s="4329" t="s">
        <v>77</v>
      </c>
      <c r="X16" s="4323"/>
      <c r="Y16" s="4324"/>
      <c r="Z16" s="4324"/>
    </row>
    <row r="17" spans="1:26" s="4325" customFormat="1" ht="24.75" customHeight="1" thickBot="1">
      <c r="A17" s="4332" t="s">
        <v>245</v>
      </c>
      <c r="B17" s="4333"/>
      <c r="C17" s="4321">
        <f>+'Tab. 6G - Roln i ochrona środ.'!E69+'Tab. 6G - Roln i ochrona środ.'!E80</f>
        <v>0</v>
      </c>
      <c r="D17" s="4321">
        <f>+'Tab. 6G - Roln i ochrona środ.'!F69+'Tab. 6G - Roln i ochrona środ.'!F80</f>
        <v>0</v>
      </c>
      <c r="E17" s="4321">
        <f>+'Tab. 6G - Roln i ochrona środ.'!G69+'Tab. 6G - Roln i ochrona środ.'!G80</f>
        <v>0</v>
      </c>
      <c r="F17" s="4321">
        <f>+'Tab. 6G - Roln i ochrona środ.'!H69+'Tab. 6G - Roln i ochrona środ.'!H80</f>
        <v>0</v>
      </c>
      <c r="G17" s="4321">
        <f>+'Tab. 6G - Roln i ochrona środ.'!I69+'Tab. 6G - Roln i ochrona środ.'!I80</f>
        <v>0</v>
      </c>
      <c r="H17" s="4321">
        <f>+'Tab. 6G - Roln i ochrona środ.'!J69+'Tab. 6G - Roln i ochrona środ.'!J80</f>
        <v>629249</v>
      </c>
      <c r="I17" s="4321">
        <f>+'Tab. 6G - Roln i ochrona środ.'!K69+'Tab. 6G - Roln i ochrona środ.'!K80</f>
        <v>5990094</v>
      </c>
      <c r="J17" s="4321">
        <f>+'Tab. 6G - Roln i ochrona środ.'!L69+'Tab. 6G - Roln i ochrona środ.'!L80</f>
        <v>4311439</v>
      </c>
      <c r="K17" s="4321">
        <f>+'Tab. 6G - Roln i ochrona środ.'!M69+'Tab. 6G - Roln i ochrona środ.'!M80</f>
        <v>14035549</v>
      </c>
      <c r="L17" s="4321">
        <f>+'Tab. 6G - Roln i ochrona środ.'!N69+'Tab. 6G - Roln i ochrona środ.'!N80</f>
        <v>3104767</v>
      </c>
      <c r="M17" s="4321">
        <f>+'Tab. 6G - Roln i ochrona środ.'!O69+'Tab. 6G - Roln i ochrona środ.'!O80</f>
        <v>4958231</v>
      </c>
      <c r="N17" s="4321">
        <f>+'Tab. 6G - Roln i ochrona środ.'!P69+'Tab. 6G - Roln i ochrona środ.'!P80</f>
        <v>5368088</v>
      </c>
      <c r="O17" s="4321">
        <f>+'Tab. 6G - Roln i ochrona środ.'!Q69+'Tab. 6G - Roln i ochrona środ.'!Q80</f>
        <v>6133675</v>
      </c>
      <c r="P17" s="4321">
        <f>+'Tab. 6G - Roln i ochrona środ.'!R69+'Tab. 6G - Roln i ochrona środ.'!R80</f>
        <v>3219061</v>
      </c>
      <c r="Q17" s="4321">
        <f>+'Tab. 6G - Roln i ochrona środ.'!S69+'Tab. 6G - Roln i ochrona środ.'!S80</f>
        <v>1229040</v>
      </c>
      <c r="R17" s="4321">
        <f>+'Tab. 6G - Roln i ochrona środ.'!T69+'Tab. 6G - Roln i ochrona środ.'!T80</f>
        <v>0</v>
      </c>
      <c r="S17" s="4321">
        <f>+'Tab. 6G - Roln i ochrona środ.'!U69+'Tab. 6G - Roln i ochrona środ.'!U80</f>
        <v>0</v>
      </c>
      <c r="T17" s="4321">
        <f>+'Tab. 6G - Roln i ochrona środ.'!V69+'Tab. 6G - Roln i ochrona środ.'!V80</f>
        <v>0</v>
      </c>
      <c r="U17" s="4321">
        <f>+'Tab. 6G - Roln i ochrona środ.'!W69+'Tab. 6G - Roln i ochrona środ.'!W80</f>
        <v>0</v>
      </c>
      <c r="V17" s="4321">
        <f t="shared" si="1"/>
        <v>34943644</v>
      </c>
      <c r="W17" s="4322">
        <f>N17+O17+P17+Q17+R17+S17+T17+U17</f>
        <v>15949864</v>
      </c>
      <c r="X17" s="4323"/>
      <c r="Y17" s="4324"/>
      <c r="Z17" s="4324"/>
    </row>
    <row r="18" spans="1:26" s="4325" customFormat="1" ht="24.75" customHeight="1" thickBot="1">
      <c r="A18" s="4326" t="s">
        <v>246</v>
      </c>
      <c r="B18" s="4327"/>
      <c r="C18" s="4328">
        <f>+'Tab. 6G - Roln i ochrona środ.'!E74+'Tab. 6G - Roln i ochrona środ.'!E85</f>
        <v>0</v>
      </c>
      <c r="D18" s="4328">
        <f>+'Tab. 6G - Roln i ochrona środ.'!F74+'Tab. 6G - Roln i ochrona środ.'!F85</f>
        <v>0</v>
      </c>
      <c r="E18" s="4328">
        <f>+'Tab. 6G - Roln i ochrona środ.'!G74+'Tab. 6G - Roln i ochrona środ.'!G85</f>
        <v>0</v>
      </c>
      <c r="F18" s="4328">
        <f>+'Tab. 6G - Roln i ochrona środ.'!H74+'Tab. 6G - Roln i ochrona środ.'!H85</f>
        <v>0</v>
      </c>
      <c r="G18" s="4328">
        <f>+'Tab. 6G - Roln i ochrona środ.'!I74+'Tab. 6G - Roln i ochrona środ.'!I85</f>
        <v>0</v>
      </c>
      <c r="H18" s="4328">
        <f>+'Tab. 6G - Roln i ochrona środ.'!J74+'Tab. 6G - Roln i ochrona środ.'!J85</f>
        <v>3544011</v>
      </c>
      <c r="I18" s="4328">
        <f>+'Tab. 6G - Roln i ochrona środ.'!K74+'Tab. 6G - Roln i ochrona środ.'!K85</f>
        <v>8207133</v>
      </c>
      <c r="J18" s="4328">
        <f>+'Tab. 6G - Roln i ochrona środ.'!L74+'Tab. 6G - Roln i ochrona środ.'!L85</f>
        <v>6670133</v>
      </c>
      <c r="K18" s="4328">
        <f>+'Tab. 6G - Roln i ochrona środ.'!M74+'Tab. 6G - Roln i ochrona środ.'!M85</f>
        <v>18421277</v>
      </c>
      <c r="L18" s="4328">
        <f>+'Tab. 6G - Roln i ochrona środ.'!N74+'Tab. 6G - Roln i ochrona środ.'!N85</f>
        <v>0</v>
      </c>
      <c r="M18" s="4328">
        <f>+'Tab. 6G - Roln i ochrona środ.'!O74+'Tab. 6G - Roln i ochrona środ.'!O85</f>
        <v>303250</v>
      </c>
      <c r="N18" s="4328">
        <f>+'Tab. 6G - Roln i ochrona środ.'!P74+'Tab. 6G - Roln i ochrona środ.'!P85</f>
        <v>6735102</v>
      </c>
      <c r="O18" s="4328">
        <f>+'Tab. 6G - Roln i ochrona środ.'!Q74+'Tab. 6G - Roln i ochrona środ.'!Q85</f>
        <v>4500484</v>
      </c>
      <c r="P18" s="4328">
        <f>+'Tab. 6G - Roln i ochrona środ.'!R74+'Tab. 6G - Roln i ochrona środ.'!R85</f>
        <v>0</v>
      </c>
      <c r="Q18" s="4328">
        <f>+'Tab. 6G - Roln i ochrona środ.'!S74+'Tab. 6G - Roln i ochrona środ.'!S85</f>
        <v>4983531</v>
      </c>
      <c r="R18" s="4328">
        <f>+'Tab. 6G - Roln i ochrona środ.'!T74+'Tab. 6G - Roln i ochrona środ.'!T85</f>
        <v>0</v>
      </c>
      <c r="S18" s="4328">
        <f>+'Tab. 6G - Roln i ochrona środ.'!U74+'Tab. 6G - Roln i ochrona środ.'!U85</f>
        <v>0</v>
      </c>
      <c r="T18" s="4328">
        <f>+'Tab. 6G - Roln i ochrona środ.'!V74+'Tab. 6G - Roln i ochrona środ.'!V85</f>
        <v>0</v>
      </c>
      <c r="U18" s="4328">
        <f>+'Tab. 6G - Roln i ochrona środ.'!W74+'Tab. 6G - Roln i ochrona środ.'!W85</f>
        <v>0</v>
      </c>
      <c r="V18" s="4328">
        <f t="shared" si="1"/>
        <v>34943644</v>
      </c>
      <c r="W18" s="4329" t="s">
        <v>77</v>
      </c>
      <c r="X18" s="4323"/>
      <c r="Y18" s="4324"/>
      <c r="Z18" s="4324"/>
    </row>
    <row r="19" spans="1:26" s="4325" customFormat="1" ht="24.75" customHeight="1" thickBot="1">
      <c r="A19" s="4334" t="s">
        <v>247</v>
      </c>
      <c r="B19" s="4335"/>
      <c r="C19" s="4321">
        <f>+'Tab. 6E - Administracja'!E28+'Tab. 6E - Administracja'!E39</f>
        <v>0</v>
      </c>
      <c r="D19" s="4321">
        <f>+'Tab. 6E - Administracja'!F28+'Tab. 6E - Administracja'!F39</f>
        <v>0</v>
      </c>
      <c r="E19" s="4321">
        <f>+'Tab. 6E - Administracja'!G28+'Tab. 6E - Administracja'!G39</f>
        <v>0</v>
      </c>
      <c r="F19" s="4321">
        <f>+'Tab. 6E - Administracja'!H28+'Tab. 6E - Administracja'!H39</f>
        <v>0</v>
      </c>
      <c r="G19" s="4321">
        <f>+'Tab. 6E - Administracja'!I28+'Tab. 6E - Administracja'!I39</f>
        <v>0</v>
      </c>
      <c r="H19" s="4321">
        <f>+'Tab. 6E - Administracja'!J28+'Tab. 6E - Administracja'!J39</f>
        <v>0</v>
      </c>
      <c r="I19" s="4321">
        <f>+'Tab. 6E - Administracja'!K28+'Tab. 6E - Administracja'!K39</f>
        <v>0</v>
      </c>
      <c r="J19" s="4321">
        <f>+'Tab. 6E - Administracja'!L28+'Tab. 6E - Administracja'!L39</f>
        <v>0</v>
      </c>
      <c r="K19" s="4321">
        <f>+'Tab. 6E - Administracja'!M28+'Tab. 6E - Administracja'!M39+'Tab. 6E - Administracja'!M50+'Tab. 6E - Administracja'!M61+'Tab. 6E - Administracja'!M211+'Tab. 6E - Administracja'!M212+'Tab. 6E - Administracja'!M215</f>
        <v>0</v>
      </c>
      <c r="L19" s="4321">
        <f>+'Tab. 6E - Administracja'!N28+'Tab. 6E - Administracja'!N39+'Tab. 6E - Administracja'!N50+'Tab. 6E - Administracja'!N61</f>
        <v>309477</v>
      </c>
      <c r="M19" s="4321">
        <f>+'Tab. 6E - Administracja'!O28+'Tab. 6E - Administracja'!O39+'Tab. 6E - Administracja'!O50+'Tab. 6E - Administracja'!O61+'Tab. 6E - Administracja'!O211+'Tab. 6E - Administracja'!O212+'Tab. 6E - Administracja'!O215</f>
        <v>1230114</v>
      </c>
      <c r="N19" s="4321">
        <f>+'Tab. 6E - Administracja'!P28+'Tab. 6E - Administracja'!P39+'Tab. 6E - Administracja'!P50+'Tab. 6E - Administracja'!P61+'Tab. 6E - Administracja'!P211+'Tab. 6E - Administracja'!P212+'Tab. 6E - Administracja'!P215</f>
        <v>3442432</v>
      </c>
      <c r="O19" s="4321">
        <f>+'Tab. 6E - Administracja'!Q28+'Tab. 6E - Administracja'!Q39+'Tab. 6E - Administracja'!Q50+'Tab. 6E - Administracja'!Q61+'Tab. 6E - Administracja'!Q211+'Tab. 6E - Administracja'!Q212+'Tab. 6E - Administracja'!Q215</f>
        <v>4998676</v>
      </c>
      <c r="P19" s="4321">
        <f>+'Tab. 6E - Administracja'!R28+'Tab. 6E - Administracja'!R39+'Tab. 6E - Administracja'!R50+'Tab. 6E - Administracja'!R61+'Tab. 6E - Administracja'!R211+'Tab. 6E - Administracja'!R212+'Tab. 6E - Administracja'!R215</f>
        <v>3300892</v>
      </c>
      <c r="Q19" s="4321">
        <f>+'Tab. 6E - Administracja'!S28+'Tab. 6E - Administracja'!S39+'Tab. 6E - Administracja'!S50+'Tab. 6E - Administracja'!S61</f>
        <v>1500000</v>
      </c>
      <c r="R19" s="4321">
        <f>+'Tab. 6E - Administracja'!T28+'Tab. 6E - Administracja'!T39+'Tab. 6E - Administracja'!T50+'Tab. 6E - Administracja'!T61</f>
        <v>1400000</v>
      </c>
      <c r="S19" s="4321">
        <f>+'Tab. 6E - Administracja'!U28+'Tab. 6E - Administracja'!U39+'Tab. 6E - Administracja'!U50+'Tab. 6E - Administracja'!U61</f>
        <v>0</v>
      </c>
      <c r="T19" s="4321">
        <f>+'Tab. 6E - Administracja'!V28+'Tab. 6E - Administracja'!V39+'Tab. 6E - Administracja'!V50+'Tab. 6E - Administracja'!V61</f>
        <v>0</v>
      </c>
      <c r="U19" s="4321">
        <f>+'Tab. 6E - Administracja'!W28+'Tab. 6E - Administracja'!W39+'Tab. 6E - Administracja'!W50+'Tab. 6E - Administracja'!W61</f>
        <v>0</v>
      </c>
      <c r="V19" s="4321">
        <f t="shared" si="1"/>
        <v>15872114</v>
      </c>
      <c r="W19" s="4322">
        <f>N19+O19+P19+Q19+R19+S19+T19+U19</f>
        <v>14642000</v>
      </c>
      <c r="X19" s="4323">
        <f>'Tab. 6E - Administracja'!O28+'Tab. 6E - Administracja'!O39+'Tab. 6E - Administracja'!O50+'Tab. 6E - Administracja'!O61</f>
        <v>1230114</v>
      </c>
      <c r="Y19" s="4324"/>
      <c r="Z19" s="4324"/>
    </row>
    <row r="20" spans="1:26" s="4325" customFormat="1" ht="24.75" customHeight="1" thickBot="1">
      <c r="A20" s="4326" t="s">
        <v>248</v>
      </c>
      <c r="B20" s="4327"/>
      <c r="C20" s="4328">
        <f>+'Tab. 6E - Administracja'!E33+'Tab. 6E - Administracja'!E44</f>
        <v>0</v>
      </c>
      <c r="D20" s="4328">
        <f>+'Tab. 6E - Administracja'!F33+'Tab. 6E - Administracja'!F44</f>
        <v>0</v>
      </c>
      <c r="E20" s="4328">
        <f>+'Tab. 6E - Administracja'!G33+'Tab. 6E - Administracja'!G44</f>
        <v>0</v>
      </c>
      <c r="F20" s="4328">
        <f>+'Tab. 6E - Administracja'!H33+'Tab. 6E - Administracja'!H44</f>
        <v>0</v>
      </c>
      <c r="G20" s="4328">
        <f>+'Tab. 6E - Administracja'!I33+'Tab. 6E - Administracja'!I44</f>
        <v>0</v>
      </c>
      <c r="H20" s="4328">
        <f>+'Tab. 6E - Administracja'!J33+'Tab. 6E - Administracja'!J44</f>
        <v>0</v>
      </c>
      <c r="I20" s="4328">
        <f>+'Tab. 6E - Administracja'!K33+'Tab. 6E - Administracja'!K44</f>
        <v>0</v>
      </c>
      <c r="J20" s="4328">
        <f>+'Tab. 6E - Administracja'!L33+'Tab. 6E - Administracja'!L44</f>
        <v>0</v>
      </c>
      <c r="K20" s="4328">
        <f>+'Tab. 6E - Administracja'!M33+'Tab. 6E - Administracja'!M44</f>
        <v>0</v>
      </c>
      <c r="L20" s="4328">
        <f>+'Tab. 6E - Administracja'!N33+'Tab. 6E - Administracja'!N44</f>
        <v>309477</v>
      </c>
      <c r="M20" s="4328">
        <f>+'Tab. 6E - Administracja'!O33+'Tab. 6E - Administracja'!O44+'Tab. 6E - Administracja'!O55+'Tab. 6E - Administracja'!O66+'Tab. 6E - Administracja'!O216</f>
        <v>1230114</v>
      </c>
      <c r="N20" s="4328">
        <f>+'Tab. 6E - Administracja'!P33+'Tab. 6E - Administracja'!P44+'Tab. 6E - Administracja'!P55+'Tab. 6E - Administracja'!P66+'Tab. 6E - Administracja'!P216</f>
        <v>3404932</v>
      </c>
      <c r="O20" s="4328">
        <f>+'Tab. 6E - Administracja'!Q33+'Tab. 6E - Administracja'!Q44+'Tab. 6E - Administracja'!Q55+'Tab. 6E - Administracja'!Q66+'Tab. 6E - Administracja'!Q216</f>
        <v>4948676</v>
      </c>
      <c r="P20" s="4328">
        <f>+'Tab. 6E - Administracja'!R33+'Tab. 6E - Administracja'!R44+'Tab. 6E - Administracja'!R55+'Tab. 6E - Administracja'!R66+'Tab. 6E - Administracja'!R216</f>
        <v>3288392</v>
      </c>
      <c r="Q20" s="4328">
        <f>+'Tab. 6E - Administracja'!S33+'Tab. 6E - Administracja'!S44+'Tab. 6E - Administracja'!S55+'Tab. 6E - Administracja'!S66</f>
        <v>1500000</v>
      </c>
      <c r="R20" s="4328">
        <f>+'Tab. 6E - Administracja'!T33+'Tab. 6E - Administracja'!T44+'Tab. 6E - Administracja'!T55+'Tab. 6E - Administracja'!T66</f>
        <v>1400000</v>
      </c>
      <c r="S20" s="4328">
        <f>+'Tab. 6E - Administracja'!U33+'Tab. 6E - Administracja'!U44+'Tab. 6E - Administracja'!U55+'Tab. 6E - Administracja'!U66</f>
        <v>0</v>
      </c>
      <c r="T20" s="4328">
        <f>+'Tab. 6E - Administracja'!V33+'Tab. 6E - Administracja'!V44+'Tab. 6E - Administracja'!V55+'Tab. 6E - Administracja'!V66</f>
        <v>0</v>
      </c>
      <c r="U20" s="4328">
        <f>+'Tab. 6E - Administracja'!W33+'Tab. 6E - Administracja'!W44+'Tab. 6E - Administracja'!W55+'Tab. 6E - Administracja'!W66</f>
        <v>0</v>
      </c>
      <c r="V20" s="4328">
        <f t="shared" si="1"/>
        <v>15772114</v>
      </c>
      <c r="W20" s="4329" t="s">
        <v>77</v>
      </c>
      <c r="X20" s="4323"/>
      <c r="Y20" s="4324"/>
      <c r="Z20" s="4324"/>
    </row>
    <row r="21" spans="1:26" s="4325" customFormat="1" ht="24.75" hidden="1" customHeight="1" thickBot="1">
      <c r="A21" s="4334" t="s">
        <v>249</v>
      </c>
      <c r="B21" s="4335"/>
      <c r="C21" s="4321">
        <f>+'Tab. 6B Polit społ i rozwój prz'!E173</f>
        <v>0</v>
      </c>
      <c r="D21" s="4321">
        <f>+'Tab. 6B Polit społ i rozwój prz'!F173</f>
        <v>0</v>
      </c>
      <c r="E21" s="4321">
        <f>+'Tab. 6B Polit społ i rozwój prz'!G173</f>
        <v>0</v>
      </c>
      <c r="F21" s="4321">
        <f>+'Tab. 6B Polit społ i rozwój prz'!H173</f>
        <v>0</v>
      </c>
      <c r="G21" s="4321">
        <f>+'Tab. 6B Polit społ i rozwój prz'!I173</f>
        <v>0</v>
      </c>
      <c r="H21" s="4321">
        <f>+'Tab. 6B Polit społ i rozwój prz'!J173</f>
        <v>0</v>
      </c>
      <c r="I21" s="4321">
        <f>+'Tab. 6B Polit społ i rozwój prz'!K173</f>
        <v>0</v>
      </c>
      <c r="J21" s="4321">
        <f>+'Tab. 6B Polit społ i rozwój prz'!L173</f>
        <v>0</v>
      </c>
      <c r="K21" s="4321">
        <f>+'Tab. 6B Polit społ i rozwój prz'!M173</f>
        <v>0</v>
      </c>
      <c r="L21" s="4321">
        <f>+'Tab. 6B Polit społ i rozwój prz'!N173</f>
        <v>0</v>
      </c>
      <c r="M21" s="4321">
        <f>+'Tab. 6B Polit społ i rozwój prz'!O173</f>
        <v>0</v>
      </c>
      <c r="N21" s="4321">
        <f>+'Tab. 6B Polit społ i rozwój prz'!P173</f>
        <v>0</v>
      </c>
      <c r="O21" s="4321">
        <f>+'Tab. 6B Polit społ i rozwój prz'!Q173</f>
        <v>0</v>
      </c>
      <c r="P21" s="4321">
        <f>+'Tab. 6B Polit społ i rozwój prz'!R173</f>
        <v>0</v>
      </c>
      <c r="Q21" s="4321">
        <f>+'Tab. 6B Polit społ i rozwój prz'!S173</f>
        <v>0</v>
      </c>
      <c r="R21" s="4321">
        <f>+'Tab. 6B Polit społ i rozwój prz'!T173</f>
        <v>0</v>
      </c>
      <c r="S21" s="4321">
        <f>+'Tab. 6B Polit społ i rozwój prz'!U173</f>
        <v>0</v>
      </c>
      <c r="T21" s="4321">
        <f>+'Tab. 6B Polit społ i rozwój prz'!V173</f>
        <v>0</v>
      </c>
      <c r="U21" s="4321">
        <f>+'Tab. 6B Polit społ i rozwój prz'!W173</f>
        <v>0</v>
      </c>
      <c r="V21" s="4321">
        <f t="shared" si="1"/>
        <v>0</v>
      </c>
      <c r="W21" s="4322">
        <f>N21+O21+P21+Q21+R21+S21+T21+U21</f>
        <v>0</v>
      </c>
      <c r="X21" s="4323"/>
      <c r="Y21" s="4324"/>
      <c r="Z21" s="4324"/>
    </row>
    <row r="22" spans="1:26" s="4325" customFormat="1" ht="22.5" hidden="1" customHeight="1" thickBot="1">
      <c r="A22" s="4336" t="s">
        <v>250</v>
      </c>
      <c r="B22" s="4337"/>
      <c r="C22" s="4328">
        <f>+'Tab. 6B Polit społ i rozwój prz'!E179</f>
        <v>0</v>
      </c>
      <c r="D22" s="4328">
        <f>+'Tab. 6B Polit społ i rozwój prz'!F179</f>
        <v>0</v>
      </c>
      <c r="E22" s="4328">
        <f>+'Tab. 6B Polit społ i rozwój prz'!G179</f>
        <v>0</v>
      </c>
      <c r="F22" s="4328">
        <f>+'Tab. 6B Polit społ i rozwój prz'!H179</f>
        <v>0</v>
      </c>
      <c r="G22" s="4328">
        <f>+'Tab. 6B Polit społ i rozwój prz'!I179</f>
        <v>0</v>
      </c>
      <c r="H22" s="4328">
        <f>+'Tab. 6B Polit społ i rozwój prz'!J179</f>
        <v>0</v>
      </c>
      <c r="I22" s="4328">
        <f>+'Tab. 6B Polit społ i rozwój prz'!K179</f>
        <v>0</v>
      </c>
      <c r="J22" s="4328">
        <f>+'Tab. 6B Polit społ i rozwój prz'!L179</f>
        <v>0</v>
      </c>
      <c r="K22" s="4328">
        <f>+'Tab. 6B Polit społ i rozwój prz'!M179</f>
        <v>0</v>
      </c>
      <c r="L22" s="4328">
        <f>+'Tab. 6B Polit społ i rozwój prz'!N179</f>
        <v>0</v>
      </c>
      <c r="M22" s="4328">
        <f>+'Tab. 6B Polit społ i rozwój prz'!O179</f>
        <v>0</v>
      </c>
      <c r="N22" s="4328">
        <f>+'Tab. 6B Polit społ i rozwój prz'!P179</f>
        <v>0</v>
      </c>
      <c r="O22" s="4328">
        <f>+'Tab. 6B Polit społ i rozwój prz'!Q179</f>
        <v>0</v>
      </c>
      <c r="P22" s="4328">
        <f>+'Tab. 6B Polit społ i rozwój prz'!R179</f>
        <v>0</v>
      </c>
      <c r="Q22" s="4328">
        <f>+'Tab. 6B Polit społ i rozwój prz'!S179</f>
        <v>0</v>
      </c>
      <c r="R22" s="4328">
        <f>+'Tab. 6B Polit społ i rozwój prz'!T179</f>
        <v>0</v>
      </c>
      <c r="S22" s="4328">
        <f>+'Tab. 6B Polit społ i rozwój prz'!U179</f>
        <v>0</v>
      </c>
      <c r="T22" s="4328">
        <f>+'Tab. 6B Polit społ i rozwój prz'!V179</f>
        <v>0</v>
      </c>
      <c r="U22" s="4328">
        <f>+'Tab. 6B Polit społ i rozwój prz'!W179</f>
        <v>0</v>
      </c>
      <c r="V22" s="4328">
        <f t="shared" si="1"/>
        <v>0</v>
      </c>
      <c r="W22" s="4329" t="s">
        <v>77</v>
      </c>
      <c r="X22" s="4323"/>
      <c r="Y22" s="4324"/>
      <c r="Z22" s="4324"/>
    </row>
    <row r="23" spans="1:26" s="4325" customFormat="1" ht="23.25" customHeight="1" thickBot="1">
      <c r="A23" s="4334" t="s">
        <v>304</v>
      </c>
      <c r="B23" s="4335"/>
      <c r="C23" s="4321"/>
      <c r="D23" s="4321"/>
      <c r="E23" s="4321"/>
      <c r="F23" s="4321"/>
      <c r="G23" s="4321"/>
      <c r="H23" s="4321"/>
      <c r="I23" s="4321"/>
      <c r="J23" s="4321"/>
      <c r="K23" s="4321">
        <f>'Tab. 6B Polit społ i rozwój prz'!M149</f>
        <v>0</v>
      </c>
      <c r="L23" s="4321">
        <f>'Tab. 6B Polit społ i rozwój prz'!N149</f>
        <v>0</v>
      </c>
      <c r="M23" s="4321">
        <f>'Tab. 6B Polit społ i rozwój prz'!O149+'Tab. 6B Polit społ i rozwój prz'!O161</f>
        <v>448847</v>
      </c>
      <c r="N23" s="4321">
        <f>'Tab. 6B Polit społ i rozwój prz'!P149+'Tab. 6B Polit społ i rozwój prz'!P161</f>
        <v>1738192</v>
      </c>
      <c r="O23" s="4321">
        <f>'Tab. 6B Polit społ i rozwój prz'!Q149+'Tab. 6B Polit społ i rozwój prz'!Q161</f>
        <v>1394000</v>
      </c>
      <c r="P23" s="4321">
        <f>'Tab. 6B Polit społ i rozwój prz'!R149+'Tab. 6B Polit społ i rozwój prz'!R161</f>
        <v>1394000</v>
      </c>
      <c r="Q23" s="4321">
        <f>'Tab. 6B Polit społ i rozwój prz'!S149</f>
        <v>0</v>
      </c>
      <c r="R23" s="4321">
        <f>'Tab. 6B Polit społ i rozwój prz'!T149</f>
        <v>0</v>
      </c>
      <c r="S23" s="4321">
        <f>'Tab. 6B Polit społ i rozwój prz'!U149</f>
        <v>0</v>
      </c>
      <c r="T23" s="4321">
        <f>'Tab. 6B Polit społ i rozwój prz'!V149</f>
        <v>0</v>
      </c>
      <c r="U23" s="4321">
        <f>'Tab. 6B Polit społ i rozwój prz'!W149</f>
        <v>0</v>
      </c>
      <c r="V23" s="4321">
        <f t="shared" si="1"/>
        <v>4975039</v>
      </c>
      <c r="W23" s="4322">
        <f>N23+O23+P23+Q23+R23+S23+T23+U23</f>
        <v>4526192</v>
      </c>
      <c r="X23" s="4323"/>
      <c r="Y23" s="4324"/>
      <c r="Z23" s="4324"/>
    </row>
    <row r="24" spans="1:26" s="4325" customFormat="1" ht="25.5" customHeight="1" thickBot="1">
      <c r="A24" s="4326" t="s">
        <v>305</v>
      </c>
      <c r="B24" s="4327"/>
      <c r="C24" s="4328"/>
      <c r="D24" s="4328"/>
      <c r="E24" s="4328"/>
      <c r="F24" s="4328"/>
      <c r="G24" s="4328"/>
      <c r="H24" s="4328"/>
      <c r="I24" s="4328"/>
      <c r="J24" s="4328"/>
      <c r="K24" s="4328">
        <f>'Tab. 6B Polit społ i rozwój prz'!M155</f>
        <v>0</v>
      </c>
      <c r="L24" s="4328">
        <f>'Tab. 6B Polit społ i rozwój prz'!N155</f>
        <v>0</v>
      </c>
      <c r="M24" s="4328">
        <f>'Tab. 6B Polit społ i rozwój prz'!O155+'Tab. 6B Polit społ i rozwój prz'!O167</f>
        <v>378288</v>
      </c>
      <c r="N24" s="4328">
        <f>'Tab. 6B Polit społ i rozwój prz'!P155+'Tab. 6B Polit społ i rozwój prz'!P167</f>
        <v>1464948</v>
      </c>
      <c r="O24" s="4328">
        <f>'Tab. 6B Polit społ i rozwój prz'!Q155+'Tab. 6B Polit społ i rozwój prz'!Q167</f>
        <v>1174863</v>
      </c>
      <c r="P24" s="4328">
        <f>'Tab. 6B Polit społ i rozwój prz'!R155+'Tab. 6B Polit społ i rozwój prz'!R167</f>
        <v>1174863</v>
      </c>
      <c r="Q24" s="4328">
        <f>'Tab. 6B Polit społ i rozwój prz'!S155</f>
        <v>0</v>
      </c>
      <c r="R24" s="4328">
        <f>'Tab. 6B Polit społ i rozwój prz'!T155</f>
        <v>0</v>
      </c>
      <c r="S24" s="4328">
        <f>'Tab. 6B Polit społ i rozwój prz'!U155</f>
        <v>0</v>
      </c>
      <c r="T24" s="4328">
        <f>'Tab. 6B Polit społ i rozwój prz'!V155</f>
        <v>0</v>
      </c>
      <c r="U24" s="4328">
        <f>'Tab. 6B Polit społ i rozwój prz'!W155</f>
        <v>0</v>
      </c>
      <c r="V24" s="4328">
        <f t="shared" si="1"/>
        <v>4192962</v>
      </c>
      <c r="W24" s="4329" t="s">
        <v>77</v>
      </c>
      <c r="X24" s="4323"/>
      <c r="Y24" s="4324"/>
      <c r="Z24" s="4324"/>
    </row>
    <row r="25" spans="1:26" s="4340" customFormat="1" ht="24" customHeight="1" thickBot="1">
      <c r="A25" s="4334" t="s">
        <v>251</v>
      </c>
      <c r="B25" s="4335"/>
      <c r="C25" s="4321">
        <f>C28+C30+C32+C34</f>
        <v>441028</v>
      </c>
      <c r="D25" s="4321" t="e">
        <f t="shared" ref="D25:P26" si="2">D28+D30+D32+D34</f>
        <v>#REF!</v>
      </c>
      <c r="E25" s="4321" t="e">
        <f t="shared" si="2"/>
        <v>#REF!</v>
      </c>
      <c r="F25" s="4321" t="e">
        <f t="shared" si="2"/>
        <v>#REF!</v>
      </c>
      <c r="G25" s="4321">
        <f t="shared" si="2"/>
        <v>593171</v>
      </c>
      <c r="H25" s="4321">
        <f t="shared" si="2"/>
        <v>378013</v>
      </c>
      <c r="I25" s="4321">
        <f t="shared" si="2"/>
        <v>371670</v>
      </c>
      <c r="J25" s="4321">
        <f t="shared" si="2"/>
        <v>515365</v>
      </c>
      <c r="K25" s="4321">
        <f>K28+K30+K32+K34</f>
        <v>2522246</v>
      </c>
      <c r="L25" s="4321">
        <f t="shared" si="2"/>
        <v>222999</v>
      </c>
      <c r="M25" s="4321">
        <f t="shared" si="2"/>
        <v>250952</v>
      </c>
      <c r="N25" s="4321">
        <f t="shared" si="2"/>
        <v>6617804</v>
      </c>
      <c r="O25" s="4321">
        <f t="shared" si="2"/>
        <v>25681305</v>
      </c>
      <c r="P25" s="4321">
        <f t="shared" si="2"/>
        <v>5476484</v>
      </c>
      <c r="Q25" s="4321">
        <f t="shared" ref="Q25:U25" si="3">Q28+Q30+Q32+Q34</f>
        <v>7938952</v>
      </c>
      <c r="R25" s="4321">
        <f t="shared" si="3"/>
        <v>143077</v>
      </c>
      <c r="S25" s="4321">
        <f t="shared" si="3"/>
        <v>0</v>
      </c>
      <c r="T25" s="4321">
        <f t="shared" si="3"/>
        <v>0</v>
      </c>
      <c r="U25" s="4321">
        <f t="shared" si="3"/>
        <v>0</v>
      </c>
      <c r="V25" s="4321">
        <f t="shared" si="1"/>
        <v>48630820</v>
      </c>
      <c r="W25" s="4322">
        <f>N25+O25+P25+Q25+R25+S25+T25+U25</f>
        <v>45857622</v>
      </c>
      <c r="X25" s="4338"/>
      <c r="Y25" s="4339"/>
      <c r="Z25" s="4339"/>
    </row>
    <row r="26" spans="1:26" s="4340" customFormat="1" ht="24" customHeight="1" thickBot="1">
      <c r="A26" s="4336" t="s">
        <v>252</v>
      </c>
      <c r="B26" s="4337"/>
      <c r="C26" s="4328">
        <f>C29+C31+C33+C35</f>
        <v>3874</v>
      </c>
      <c r="D26" s="4328" t="e">
        <f t="shared" si="2"/>
        <v>#REF!</v>
      </c>
      <c r="E26" s="4328" t="e">
        <f t="shared" si="2"/>
        <v>#REF!</v>
      </c>
      <c r="F26" s="4328" t="e">
        <f t="shared" si="2"/>
        <v>#REF!</v>
      </c>
      <c r="G26" s="4328">
        <f t="shared" si="2"/>
        <v>480461</v>
      </c>
      <c r="H26" s="4328">
        <f t="shared" si="2"/>
        <v>496759</v>
      </c>
      <c r="I26" s="4328">
        <f t="shared" si="2"/>
        <v>367095</v>
      </c>
      <c r="J26" s="4328">
        <f t="shared" si="2"/>
        <v>323542</v>
      </c>
      <c r="K26" s="4328">
        <f>K29+K31+K33+K35</f>
        <v>1949109</v>
      </c>
      <c r="L26" s="4328">
        <f t="shared" si="2"/>
        <v>277378</v>
      </c>
      <c r="M26" s="4328">
        <f t="shared" si="2"/>
        <v>342136</v>
      </c>
      <c r="N26" s="4328">
        <f t="shared" si="2"/>
        <v>93910</v>
      </c>
      <c r="O26" s="4328">
        <f t="shared" si="2"/>
        <v>14308387</v>
      </c>
      <c r="P26" s="4328">
        <f t="shared" si="2"/>
        <v>10404207</v>
      </c>
      <c r="Q26" s="4328">
        <f t="shared" ref="Q26:U26" si="4">Q29+Q31+Q33+Q35</f>
        <v>7281593</v>
      </c>
      <c r="R26" s="4328">
        <f t="shared" si="4"/>
        <v>3175980</v>
      </c>
      <c r="S26" s="4328">
        <f t="shared" si="4"/>
        <v>131157</v>
      </c>
      <c r="T26" s="4328">
        <f t="shared" si="4"/>
        <v>0</v>
      </c>
      <c r="U26" s="4328">
        <f t="shared" si="4"/>
        <v>0</v>
      </c>
      <c r="V26" s="4328">
        <f t="shared" si="1"/>
        <v>37686479</v>
      </c>
      <c r="W26" s="4329" t="s">
        <v>77</v>
      </c>
      <c r="X26" s="4338"/>
      <c r="Y26" s="4339"/>
      <c r="Z26" s="4339"/>
    </row>
    <row r="27" spans="1:26" s="4340" customFormat="1" ht="15" hidden="1">
      <c r="A27" s="4341" t="s">
        <v>188</v>
      </c>
      <c r="B27" s="4342"/>
      <c r="C27" s="4343"/>
      <c r="D27" s="4343"/>
      <c r="E27" s="4343"/>
      <c r="F27" s="4343"/>
      <c r="G27" s="4343"/>
      <c r="H27" s="4343"/>
      <c r="I27" s="4343"/>
      <c r="J27" s="4343"/>
      <c r="K27" s="4343"/>
      <c r="L27" s="4343"/>
      <c r="M27" s="4343"/>
      <c r="N27" s="4343"/>
      <c r="O27" s="4343"/>
      <c r="P27" s="4343"/>
      <c r="Q27" s="4343"/>
      <c r="R27" s="4343"/>
      <c r="S27" s="4343"/>
      <c r="T27" s="4343"/>
      <c r="U27" s="4343"/>
      <c r="V27" s="4343">
        <f t="shared" si="1"/>
        <v>0</v>
      </c>
      <c r="W27" s="4344"/>
      <c r="X27" s="4338"/>
      <c r="Y27" s="4339"/>
      <c r="Z27" s="4339"/>
    </row>
    <row r="28" spans="1:26" s="4340" customFormat="1" ht="17.25" hidden="1" customHeight="1">
      <c r="A28" s="4345" t="s">
        <v>489</v>
      </c>
      <c r="B28" s="4346"/>
      <c r="C28" s="4347">
        <f>+'Tab. 6A -Drogi'!E378</f>
        <v>0</v>
      </c>
      <c r="D28" s="4347">
        <f>+'Tab. 6A -Drogi'!F378</f>
        <v>0</v>
      </c>
      <c r="E28" s="4347">
        <f>+'Tab. 6A -Drogi'!G378</f>
        <v>0</v>
      </c>
      <c r="F28" s="4347">
        <f>+'Tab. 6A -Drogi'!H378</f>
        <v>0</v>
      </c>
      <c r="G28" s="4347">
        <f>+'Tab. 6A -Drogi'!I378</f>
        <v>228400</v>
      </c>
      <c r="H28" s="4347">
        <f>+'Tab. 6A -Drogi'!J378</f>
        <v>3000</v>
      </c>
      <c r="I28" s="4347">
        <f>+'Tab. 6A -Drogi'!K378</f>
        <v>22878</v>
      </c>
      <c r="J28" s="4347">
        <f>+'Tab. 6A -Drogi'!L378</f>
        <v>137917</v>
      </c>
      <c r="K28" s="4347">
        <f>+'Tab. 6A -Drogi'!M378</f>
        <v>395660</v>
      </c>
      <c r="L28" s="4347">
        <f>+'Tab. 6A -Drogi'!N378</f>
        <v>3465</v>
      </c>
      <c r="M28" s="4347">
        <f>+'Tab. 6A -Drogi'!O378</f>
        <v>0</v>
      </c>
      <c r="N28" s="4347">
        <f>+'Tab. 6A -Drogi'!P378</f>
        <v>6096546</v>
      </c>
      <c r="O28" s="4347">
        <f>+'Tab. 6A -Drogi'!Q378</f>
        <v>24692764</v>
      </c>
      <c r="P28" s="4347">
        <f>+'Tab. 6A -Drogi'!R378</f>
        <v>4637525</v>
      </c>
      <c r="Q28" s="4347">
        <f>+'Tab. 6A -Drogi'!S378</f>
        <v>7721445</v>
      </c>
      <c r="R28" s="4347">
        <f>+'Tab. 6A -Drogi'!T378</f>
        <v>0</v>
      </c>
      <c r="S28" s="4347">
        <f>+'Tab. 6A -Drogi'!U378</f>
        <v>0</v>
      </c>
      <c r="T28" s="4347">
        <f>+'Tab. 6A -Drogi'!V378</f>
        <v>0</v>
      </c>
      <c r="U28" s="4347">
        <f>+'Tab. 6A -Drogi'!W378</f>
        <v>0</v>
      </c>
      <c r="V28" s="4347">
        <f t="shared" si="1"/>
        <v>43543940</v>
      </c>
      <c r="W28" s="4348">
        <f>+N28+O28+P28+Q28+R28+S28+T28+U28</f>
        <v>43148280</v>
      </c>
      <c r="X28" s="4338"/>
      <c r="Y28" s="4339"/>
      <c r="Z28" s="4339"/>
    </row>
    <row r="29" spans="1:26" s="4340" customFormat="1" ht="17.25" hidden="1" customHeight="1">
      <c r="A29" s="4349" t="s">
        <v>490</v>
      </c>
      <c r="B29" s="4350"/>
      <c r="C29" s="4351">
        <f>+'Tab. 6A -Drogi'!E384</f>
        <v>0</v>
      </c>
      <c r="D29" s="4351">
        <f>+'Tab. 6A -Drogi'!F384</f>
        <v>0</v>
      </c>
      <c r="E29" s="4351">
        <f>+'Tab. 6A -Drogi'!G384</f>
        <v>0</v>
      </c>
      <c r="F29" s="4351">
        <f>+'Tab. 6A -Drogi'!H384</f>
        <v>0</v>
      </c>
      <c r="G29" s="4351">
        <f>+'Tab. 6A -Drogi'!I384</f>
        <v>0</v>
      </c>
      <c r="H29" s="4351">
        <f>+'Tab. 6A -Drogi'!J384</f>
        <v>0</v>
      </c>
      <c r="I29" s="4351">
        <f>+'Tab. 6A -Drogi'!K384</f>
        <v>22878</v>
      </c>
      <c r="J29" s="4351">
        <f>+'Tab. 6A -Drogi'!L384</f>
        <v>34125</v>
      </c>
      <c r="K29" s="4351">
        <f>+'Tab. 6A -Drogi'!M384</f>
        <v>57003</v>
      </c>
      <c r="L29" s="4351">
        <f>+'Tab. 6A -Drogi'!N384</f>
        <v>0</v>
      </c>
      <c r="M29" s="4351">
        <f>+'Tab. 6A -Drogi'!O384</f>
        <v>0</v>
      </c>
      <c r="N29" s="4351">
        <f>+'Tab. 6A -Drogi'!P384</f>
        <v>0</v>
      </c>
      <c r="O29" s="4351">
        <f>+'Tab. 6A -Drogi'!Q384</f>
        <v>13806204</v>
      </c>
      <c r="P29" s="4351">
        <f>+'Tab. 6A -Drogi'!R384</f>
        <v>9554405</v>
      </c>
      <c r="Q29" s="4351">
        <f>+'Tab. 6A -Drogi'!S384</f>
        <v>6558936</v>
      </c>
      <c r="R29" s="4351">
        <f>+'Tab. 6A -Drogi'!T384</f>
        <v>2981558</v>
      </c>
      <c r="S29" s="4351">
        <f>+'Tab. 6A -Drogi'!U384</f>
        <v>0</v>
      </c>
      <c r="T29" s="4351">
        <f>+'Tab. 6A -Drogi'!V384</f>
        <v>0</v>
      </c>
      <c r="U29" s="4351">
        <f>+'Tab. 6A -Drogi'!W384</f>
        <v>0</v>
      </c>
      <c r="V29" s="4351">
        <f t="shared" si="1"/>
        <v>32958106</v>
      </c>
      <c r="W29" s="4352" t="s">
        <v>77</v>
      </c>
      <c r="X29" s="4338"/>
      <c r="Y29" s="4339"/>
      <c r="Z29" s="4339"/>
    </row>
    <row r="30" spans="1:26" s="4340" customFormat="1" ht="17.25" hidden="1" customHeight="1">
      <c r="A30" s="4353" t="s">
        <v>253</v>
      </c>
      <c r="B30" s="4354"/>
      <c r="C30" s="4355">
        <f>'Tab. 6E - Administracja'!E72</f>
        <v>441028</v>
      </c>
      <c r="D30" s="4355">
        <f>'Tab. 6E - Administracja'!F72</f>
        <v>0</v>
      </c>
      <c r="E30" s="4355">
        <f>'Tab. 6E - Administracja'!G72</f>
        <v>0</v>
      </c>
      <c r="F30" s="4355">
        <f>'Tab. 6E - Administracja'!H72</f>
        <v>0</v>
      </c>
      <c r="G30" s="4355">
        <f>'Tab. 6E - Administracja'!I72</f>
        <v>364771</v>
      </c>
      <c r="H30" s="4355">
        <f>'Tab. 6E - Administracja'!J72</f>
        <v>375013</v>
      </c>
      <c r="I30" s="4355">
        <f>'Tab. 6E - Administracja'!K72</f>
        <v>348792</v>
      </c>
      <c r="J30" s="4355">
        <f>'Tab. 6E - Administracja'!L72</f>
        <v>377448</v>
      </c>
      <c r="K30" s="4355">
        <f>'Tab. 6E - Administracja'!M72</f>
        <v>2126586</v>
      </c>
      <c r="L30" s="4355">
        <f>'Tab. 6E - Administracja'!N72</f>
        <v>219534</v>
      </c>
      <c r="M30" s="4355">
        <f>'Tab. 6E - Administracja'!O72</f>
        <v>201566</v>
      </c>
      <c r="N30" s="4355">
        <f>'Tab. 6E - Administracja'!P72</f>
        <v>0</v>
      </c>
      <c r="O30" s="4355">
        <f>'Tab. 6E - Administracja'!Q72</f>
        <v>0</v>
      </c>
      <c r="P30" s="4355">
        <f>'Tab. 6E - Administracja'!R72</f>
        <v>0</v>
      </c>
      <c r="Q30" s="4355">
        <f>'Tab. 6E - Administracja'!S72</f>
        <v>0</v>
      </c>
      <c r="R30" s="4355">
        <f>'Tab. 6E - Administracja'!T72</f>
        <v>0</v>
      </c>
      <c r="S30" s="4355">
        <f>'Tab. 6E - Administracja'!U72</f>
        <v>0</v>
      </c>
      <c r="T30" s="4355">
        <f>'Tab. 6E - Administracja'!V72</f>
        <v>0</v>
      </c>
      <c r="U30" s="4355">
        <f>'Tab. 6E - Administracja'!W72</f>
        <v>0</v>
      </c>
      <c r="V30" s="4355">
        <f t="shared" si="1"/>
        <v>2328152</v>
      </c>
      <c r="W30" s="4348">
        <f>+N30+O30+P30+Q30+R30+S30+T30+U30</f>
        <v>0</v>
      </c>
      <c r="X30" s="4338">
        <f>'Tab. 6E - Administracja'!O72</f>
        <v>201566</v>
      </c>
      <c r="Y30" s="4339"/>
      <c r="Z30" s="4339"/>
    </row>
    <row r="31" spans="1:26" s="4340" customFormat="1" ht="17.25" hidden="1" customHeight="1">
      <c r="A31" s="4349" t="s">
        <v>254</v>
      </c>
      <c r="B31" s="4350"/>
      <c r="C31" s="4351">
        <f>'Tab. 6E - Administracja'!E77</f>
        <v>3874</v>
      </c>
      <c r="D31" s="4351">
        <f>'Tab. 6E - Administracja'!F77</f>
        <v>0</v>
      </c>
      <c r="E31" s="4351">
        <f>'Tab. 6E - Administracja'!G77</f>
        <v>0</v>
      </c>
      <c r="F31" s="4351">
        <f>'Tab. 6E - Administracja'!H77</f>
        <v>0</v>
      </c>
      <c r="G31" s="4351">
        <f>'Tab. 6E - Administracja'!I77</f>
        <v>480461</v>
      </c>
      <c r="H31" s="4351">
        <f>'Tab. 6E - Administracja'!J77</f>
        <v>496759</v>
      </c>
      <c r="I31" s="4351">
        <f>'Tab. 6E - Administracja'!K77</f>
        <v>344217</v>
      </c>
      <c r="J31" s="4351">
        <f>'Tab. 6E - Administracja'!L77</f>
        <v>289417</v>
      </c>
      <c r="K31" s="4351">
        <f>'Tab. 6E - Administracja'!M77</f>
        <v>1892106</v>
      </c>
      <c r="L31" s="4351">
        <f>'Tab. 6E - Administracja'!N77</f>
        <v>277378</v>
      </c>
      <c r="M31" s="4351">
        <f>'Tab. 6E - Administracja'!O77</f>
        <v>342136</v>
      </c>
      <c r="N31" s="4351">
        <f>'Tab. 6E - Administracja'!P77</f>
        <v>93910</v>
      </c>
      <c r="O31" s="4351">
        <f>'Tab. 6E - Administracja'!Q77</f>
        <v>0</v>
      </c>
      <c r="P31" s="4351">
        <f>'Tab. 6E - Administracja'!R77</f>
        <v>0</v>
      </c>
      <c r="Q31" s="4351">
        <f>'Tab. 6E - Administracja'!S77</f>
        <v>0</v>
      </c>
      <c r="R31" s="4351">
        <f>'Tab. 6E - Administracja'!T77</f>
        <v>0</v>
      </c>
      <c r="S31" s="4351">
        <f>'Tab. 6E - Administracja'!U77</f>
        <v>0</v>
      </c>
      <c r="T31" s="4351">
        <f>'Tab. 6E - Administracja'!V77</f>
        <v>0</v>
      </c>
      <c r="U31" s="4351">
        <f>'Tab. 6E - Administracja'!W77</f>
        <v>0</v>
      </c>
      <c r="V31" s="4351">
        <f t="shared" si="1"/>
        <v>2328152</v>
      </c>
      <c r="W31" s="4352" t="s">
        <v>77</v>
      </c>
      <c r="X31" s="4338"/>
      <c r="Y31" s="4339"/>
      <c r="Z31" s="4339"/>
    </row>
    <row r="32" spans="1:26" s="4340" customFormat="1" ht="17.25" hidden="1" customHeight="1">
      <c r="A32" s="4353" t="s">
        <v>534</v>
      </c>
      <c r="B32" s="4354"/>
      <c r="C32" s="4355">
        <f>'Tab.6I - Planow. przestrz.'!E26</f>
        <v>0</v>
      </c>
      <c r="D32" s="4355">
        <f>'Tab.6I - Planow. przestrz.'!F26</f>
        <v>0</v>
      </c>
      <c r="E32" s="4355">
        <f>'Tab.6I - Planow. przestrz.'!G26</f>
        <v>0</v>
      </c>
      <c r="F32" s="4355">
        <f>'Tab.6I - Planow. przestrz.'!H26</f>
        <v>0</v>
      </c>
      <c r="G32" s="4355">
        <f>'Tab.6I - Planow. przestrz.'!I26</f>
        <v>0</v>
      </c>
      <c r="H32" s="4355">
        <f>'Tab.6I - Planow. przestrz.'!J26</f>
        <v>0</v>
      </c>
      <c r="I32" s="4355">
        <f>'Tab.6I - Planow. przestrz.'!K26</f>
        <v>0</v>
      </c>
      <c r="J32" s="4355">
        <f>'Tab.6I - Planow. przestrz.'!L26</f>
        <v>0</v>
      </c>
      <c r="K32" s="4355">
        <f>'Tab.6I - Planow. przestrz.'!O26</f>
        <v>0</v>
      </c>
      <c r="L32" s="4355">
        <f>'Tab.6I - Planow. przestrz.'!N26</f>
        <v>0</v>
      </c>
      <c r="M32" s="4355">
        <f>'Tab. 6B Polit społ i rozwój prz'!O32</f>
        <v>0</v>
      </c>
      <c r="N32" s="4355">
        <f>'Tab. 6B Polit społ i rozwój prz'!P32</f>
        <v>105231</v>
      </c>
      <c r="O32" s="4355">
        <f>'Tab. 6B Polit społ i rozwój prz'!Q32</f>
        <v>182795</v>
      </c>
      <c r="P32" s="4355">
        <f>'Tab. 6B Polit społ i rozwój prz'!R32</f>
        <v>122559</v>
      </c>
      <c r="Q32" s="4355">
        <f>'Tab. 6B Polit społ i rozwój prz'!S32</f>
        <v>72320</v>
      </c>
      <c r="R32" s="4355">
        <f>'Tab. 6B Polit społ i rozwój prz'!T32</f>
        <v>16174</v>
      </c>
      <c r="S32" s="4355">
        <f>'Tab. 6B Polit społ i rozwój prz'!U32</f>
        <v>0</v>
      </c>
      <c r="T32" s="4355">
        <f>'Tab. 6B Polit społ i rozwój prz'!V32</f>
        <v>0</v>
      </c>
      <c r="U32" s="4355">
        <f>'Tab. 6B Polit społ i rozwój prz'!W32</f>
        <v>0</v>
      </c>
      <c r="V32" s="4355">
        <f t="shared" si="1"/>
        <v>499079</v>
      </c>
      <c r="W32" s="4348">
        <f>+N32+O32+P32+Q32+R32+S32+T32+U32</f>
        <v>499079</v>
      </c>
      <c r="X32" s="4338"/>
      <c r="Y32" s="4339"/>
      <c r="Z32" s="4339"/>
    </row>
    <row r="33" spans="1:26" s="4340" customFormat="1" ht="17.25" hidden="1" customHeight="1">
      <c r="A33" s="4349" t="s">
        <v>535</v>
      </c>
      <c r="B33" s="4350"/>
      <c r="C33" s="4351">
        <f>'Tab.6I - Planow. przestrz.'!E31</f>
        <v>0</v>
      </c>
      <c r="D33" s="4351">
        <f>'[6]Tab.6I - Planow. przestrz.'!F26</f>
        <v>0</v>
      </c>
      <c r="E33" s="4351">
        <f>'[6]Tab.6I - Planow. przestrz.'!G26</f>
        <v>0</v>
      </c>
      <c r="F33" s="4351">
        <f>'[6]Tab.6I - Planow. przestrz.'!H26</f>
        <v>0</v>
      </c>
      <c r="G33" s="4351">
        <f>'Tab.6I - Planow. przestrz.'!I31</f>
        <v>0</v>
      </c>
      <c r="H33" s="4351">
        <f>'Tab.6I - Planow. przestrz.'!J31</f>
        <v>0</v>
      </c>
      <c r="I33" s="4351">
        <f>'Tab.6I - Planow. przestrz.'!K31</f>
        <v>0</v>
      </c>
      <c r="J33" s="4351">
        <f>'Tab.6I - Planow. przestrz.'!L31</f>
        <v>0</v>
      </c>
      <c r="K33" s="4351">
        <f>'Tab.6I - Planow. przestrz.'!M39</f>
        <v>0</v>
      </c>
      <c r="L33" s="4351">
        <f>'Tab.6I - Planow. przestrz.'!N31</f>
        <v>0</v>
      </c>
      <c r="M33" s="4351">
        <f>'Tab. 6B Polit społ i rozwój prz'!O42</f>
        <v>0</v>
      </c>
      <c r="N33" s="4351">
        <f>'Tab. 6B Polit społ i rozwój prz'!P42</f>
        <v>0</v>
      </c>
      <c r="O33" s="4351">
        <f>'Tab. 6B Polit społ i rozwój prz'!Q42</f>
        <v>88766</v>
      </c>
      <c r="P33" s="4351">
        <f>'Tab. 6B Polit społ i rozwój prz'!R42</f>
        <v>154696</v>
      </c>
      <c r="Q33" s="4351">
        <f>'Tab. 6B Polit społ i rozwój prz'!S42</f>
        <v>103495</v>
      </c>
      <c r="R33" s="4351">
        <f>'Tab. 6B Polit społ i rozwój prz'!T42</f>
        <v>60792</v>
      </c>
      <c r="S33" s="4351">
        <f>'Tab. 6B Polit społ i rozwój prz'!U42</f>
        <v>13068</v>
      </c>
      <c r="T33" s="4351">
        <f>'Tab. 6B Polit społ i rozwój prz'!V42</f>
        <v>0</v>
      </c>
      <c r="U33" s="4351">
        <f>'Tab. 6B Polit społ i rozwój prz'!W42</f>
        <v>0</v>
      </c>
      <c r="V33" s="4351">
        <f>K33+M33+N33+O33+P33+Q33+R33+S33+T33+U33</f>
        <v>420817</v>
      </c>
      <c r="W33" s="4352" t="s">
        <v>77</v>
      </c>
      <c r="X33" s="4338"/>
      <c r="Y33" s="4339"/>
      <c r="Z33" s="4339"/>
    </row>
    <row r="34" spans="1:26" s="4340" customFormat="1" ht="17.25" hidden="1" customHeight="1">
      <c r="A34" s="4353" t="s">
        <v>255</v>
      </c>
      <c r="B34" s="4354"/>
      <c r="C34" s="4355">
        <f>'Tab. 6H - Kultura fiz. i turyst'!E22+'Tab. 6H - Kultura fiz. i turyst'!E40+'Tab. 6H - Kultura fiz. i turyst'!E31</f>
        <v>0</v>
      </c>
      <c r="D34" s="4355" t="e">
        <f>'Tab. 6H - Kultura fiz. i turyst'!F22+'Tab. 6H - Kultura fiz. i turyst'!F40+'Tab. 6G - Roln i ochrona środ.'!#REF!</f>
        <v>#REF!</v>
      </c>
      <c r="E34" s="4355" t="e">
        <f>'Tab. 6H - Kultura fiz. i turyst'!G22+'Tab. 6H - Kultura fiz. i turyst'!G40+'Tab. 6G - Roln i ochrona środ.'!#REF!</f>
        <v>#REF!</v>
      </c>
      <c r="F34" s="4355" t="e">
        <f>'Tab. 6H - Kultura fiz. i turyst'!H22+'Tab. 6H - Kultura fiz. i turyst'!H40+'Tab. 6G - Roln i ochrona środ.'!#REF!</f>
        <v>#REF!</v>
      </c>
      <c r="G34" s="4355">
        <f>'Tab. 6H - Kultura fiz. i turyst'!I22+'Tab. 6H - Kultura fiz. i turyst'!I40+'Tab. 6H - Kultura fiz. i turyst'!I31</f>
        <v>0</v>
      </c>
      <c r="H34" s="4355">
        <f>'Tab. 6H - Kultura fiz. i turyst'!J22+'Tab. 6H - Kultura fiz. i turyst'!J40+'Tab. 6H - Kultura fiz. i turyst'!J31</f>
        <v>0</v>
      </c>
      <c r="I34" s="4355">
        <f>'Tab. 6H - Kultura fiz. i turyst'!K22+'Tab. 6H - Kultura fiz. i turyst'!K40+'Tab. 6H - Kultura fiz. i turyst'!K31</f>
        <v>0</v>
      </c>
      <c r="J34" s="4355">
        <f>'Tab. 6H - Kultura fiz. i turyst'!L22+'Tab. 6H - Kultura fiz. i turyst'!L40+'Tab. 6H - Kultura fiz. i turyst'!L31</f>
        <v>0</v>
      </c>
      <c r="K34" s="4355">
        <f>'Tab. 6H - Kultura fiz. i turyst'!M22+'Tab. 6H - Kultura fiz. i turyst'!M40+'Tab. 6H - Kultura fiz. i turyst'!M31+'Tab.6I - Planow. przestrz.'!M55</f>
        <v>0</v>
      </c>
      <c r="L34" s="4355">
        <f>'Tab. 6H - Kultura fiz. i turyst'!N22+'Tab. 6H - Kultura fiz. i turyst'!N40+'Tab. 6H - Kultura fiz. i turyst'!N31+'Tab.6I - Planow. przestrz.'!N55</f>
        <v>0</v>
      </c>
      <c r="M34" s="4355">
        <f>'Tab. 6H - Kultura fiz. i turyst'!O22+'Tab. 6H - Kultura fiz. i turyst'!O40+'Tab. 6H - Kultura fiz. i turyst'!O31+'Tab.6I - Planow. przestrz.'!O55</f>
        <v>49386</v>
      </c>
      <c r="N34" s="4355">
        <f>'Tab. 6H - Kultura fiz. i turyst'!P22+'Tab. 6H - Kultura fiz. i turyst'!P40+'Tab. 6H - Kultura fiz. i turyst'!P31+'Tab.6I - Planow. przestrz.'!P55+'Tab.6I - Planow. przestrz.'!P26+'Tab.6I - Planow. przestrz.'!P35</f>
        <v>416027</v>
      </c>
      <c r="O34" s="4355">
        <f>'Tab. 6H - Kultura fiz. i turyst'!Q22+'Tab. 6H - Kultura fiz. i turyst'!Q40+'Tab. 6H - Kultura fiz. i turyst'!Q31+'Tab.6I - Planow. przestrz.'!Q55+'Tab.6I - Planow. przestrz.'!Q26+'Tab.6I - Planow. przestrz.'!Q35</f>
        <v>805746</v>
      </c>
      <c r="P34" s="4355">
        <f>'Tab. 6H - Kultura fiz. i turyst'!R22+'Tab. 6H - Kultura fiz. i turyst'!R40+'Tab. 6H - Kultura fiz. i turyst'!R31+'Tab.6I - Planow. przestrz.'!R55+'Tab.6I - Planow. przestrz.'!R26+'Tab.6I - Planow. przestrz.'!R35</f>
        <v>716400</v>
      </c>
      <c r="Q34" s="4355">
        <f>'Tab. 6H - Kultura fiz. i turyst'!S22+'Tab. 6H - Kultura fiz. i turyst'!S40+'Tab. 6H - Kultura fiz. i turyst'!S31+'Tab.6I - Planow. przestrz.'!S55+'Tab.6I - Planow. przestrz.'!S26+'Tab.6I - Planow. przestrz.'!S35</f>
        <v>145187</v>
      </c>
      <c r="R34" s="4355">
        <f>'Tab. 6H - Kultura fiz. i turyst'!T22+'Tab. 6H - Kultura fiz. i turyst'!T40+'Tab. 6H - Kultura fiz. i turyst'!T31+'Tab.6I - Planow. przestrz.'!T55+'Tab.6I - Planow. przestrz.'!T26+'Tab.6I - Planow. przestrz.'!T35</f>
        <v>126903</v>
      </c>
      <c r="S34" s="4355">
        <f>'Tab. 6H - Kultura fiz. i turyst'!U22+'Tab. 6H - Kultura fiz. i turyst'!U40+'Tab. 6H - Kultura fiz. i turyst'!U31+'Tab.6I - Planow. przestrz.'!U55+'Tab.6I - Planow. przestrz.'!U26+'Tab.6I - Planow. przestrz.'!U35</f>
        <v>0</v>
      </c>
      <c r="T34" s="4355">
        <f>'Tab. 6H - Kultura fiz. i turyst'!V22+'Tab. 6H - Kultura fiz. i turyst'!V40+'Tab. 6H - Kultura fiz. i turyst'!V31+'Tab.6I - Planow. przestrz.'!V55+'Tab.6I - Planow. przestrz.'!V26+'Tab.6I - Planow. przestrz.'!V35</f>
        <v>0</v>
      </c>
      <c r="U34" s="4355">
        <f>'Tab. 6H - Kultura fiz. i turyst'!W22+'Tab. 6H - Kultura fiz. i turyst'!W40+'Tab. 6H - Kultura fiz. i turyst'!W31+'Tab.6I - Planow. przestrz.'!W55+'Tab.6I - Planow. przestrz.'!W26+'Tab.6I - Planow. przestrz.'!W35</f>
        <v>0</v>
      </c>
      <c r="V34" s="4355">
        <f t="shared" si="1"/>
        <v>2259649</v>
      </c>
      <c r="W34" s="4348">
        <f>+N34+O34+P34+Q34+R34+S34+T34+U34</f>
        <v>2210263</v>
      </c>
      <c r="X34" s="4338"/>
      <c r="Y34" s="4339"/>
      <c r="Z34" s="4339"/>
    </row>
    <row r="35" spans="1:26" s="4340" customFormat="1" ht="17.25" hidden="1" customHeight="1" thickBot="1">
      <c r="A35" s="4349" t="s">
        <v>256</v>
      </c>
      <c r="B35" s="4350"/>
      <c r="C35" s="4351">
        <f>'Tab. 6H - Kultura fiz. i turyst'!E27+'Tab. 6H - Kultura fiz. i turyst'!E45+'Tab. 6H - Kultura fiz. i turyst'!E36</f>
        <v>0</v>
      </c>
      <c r="D35" s="4351" t="e">
        <f>'Tab. 6H - Kultura fiz. i turyst'!F27+'Tab. 6H - Kultura fiz. i turyst'!F45+'Tab. 6G - Roln i ochrona środ.'!#REF!</f>
        <v>#REF!</v>
      </c>
      <c r="E35" s="4351" t="e">
        <f>'Tab. 6H - Kultura fiz. i turyst'!G27+'Tab. 6H - Kultura fiz. i turyst'!G45+'Tab. 6G - Roln i ochrona środ.'!#REF!</f>
        <v>#REF!</v>
      </c>
      <c r="F35" s="4351" t="e">
        <f>'Tab. 6H - Kultura fiz. i turyst'!H27+'Tab. 6H - Kultura fiz. i turyst'!H45+'Tab. 6G - Roln i ochrona środ.'!#REF!</f>
        <v>#REF!</v>
      </c>
      <c r="G35" s="4351">
        <f>'Tab. 6H - Kultura fiz. i turyst'!I27+'Tab. 6H - Kultura fiz. i turyst'!I45+'Tab. 6H - Kultura fiz. i turyst'!I36</f>
        <v>0</v>
      </c>
      <c r="H35" s="4351">
        <f>'Tab. 6H - Kultura fiz. i turyst'!J27+'Tab. 6H - Kultura fiz. i turyst'!J45+'Tab. 6H - Kultura fiz. i turyst'!J36</f>
        <v>0</v>
      </c>
      <c r="I35" s="4351">
        <f>'Tab. 6H - Kultura fiz. i turyst'!K27+'Tab. 6H - Kultura fiz. i turyst'!K45+'Tab. 6H - Kultura fiz. i turyst'!K36</f>
        <v>0</v>
      </c>
      <c r="J35" s="4351">
        <f>'Tab. 6H - Kultura fiz. i turyst'!L27+'Tab. 6H - Kultura fiz. i turyst'!L45+'Tab. 6H - Kultura fiz. i turyst'!L36</f>
        <v>0</v>
      </c>
      <c r="K35" s="4351">
        <f>'Tab. 6H - Kultura fiz. i turyst'!M27+'Tab. 6H - Kultura fiz. i turyst'!M45+'Tab. 6H - Kultura fiz. i turyst'!M36+'Tab.6I - Planow. przestrz.'!M61</f>
        <v>0</v>
      </c>
      <c r="L35" s="4351">
        <f>'Tab. 6H - Kultura fiz. i turyst'!N27+'Tab. 6H - Kultura fiz. i turyst'!N45+'Tab. 6H - Kultura fiz. i turyst'!N36+'Tab.6I - Planow. przestrz.'!N61</f>
        <v>0</v>
      </c>
      <c r="M35" s="4351">
        <f>'Tab. 6H - Kultura fiz. i turyst'!O27+'Tab. 6H - Kultura fiz. i turyst'!O45+'Tab. 6H - Kultura fiz. i turyst'!O36+'Tab.6I - Planow. przestrz.'!O61</f>
        <v>0</v>
      </c>
      <c r="N35" s="4351">
        <f>'Tab. 6H - Kultura fiz. i turyst'!P27+'Tab. 6H - Kultura fiz. i turyst'!P45+'Tab. 6H - Kultura fiz. i turyst'!P36+'Tab.6I - Planow. przestrz.'!P61+'Tab.6I - Planow. przestrz.'!P31+'Tab.6I - Planow. przestrz.'!P40</f>
        <v>0</v>
      </c>
      <c r="O35" s="4351">
        <f>'Tab. 6H - Kultura fiz. i turyst'!Q27+'Tab. 6H - Kultura fiz. i turyst'!Q45+'Tab. 6H - Kultura fiz. i turyst'!Q36+'Tab.6I - Planow. przestrz.'!Q61+'Tab.6I - Planow. przestrz.'!Q31+'Tab.6I - Planow. przestrz.'!Q40</f>
        <v>413417</v>
      </c>
      <c r="P35" s="4351">
        <f>'Tab. 6H - Kultura fiz. i turyst'!R27+'Tab. 6H - Kultura fiz. i turyst'!R45+'Tab. 6H - Kultura fiz. i turyst'!R36+'Tab.6I - Planow. przestrz.'!R61+'Tab.6I - Planow. przestrz.'!R31+'Tab.6I - Planow. przestrz.'!R40</f>
        <v>695106</v>
      </c>
      <c r="Q35" s="4351">
        <f>'Tab. 6H - Kultura fiz. i turyst'!S27+'Tab. 6H - Kultura fiz. i turyst'!S45+'Tab. 6H - Kultura fiz. i turyst'!S36+'Tab.6I - Planow. przestrz.'!S61+'Tab.6I - Planow. przestrz.'!S31+'Tab.6I - Planow. przestrz.'!S40</f>
        <v>619162</v>
      </c>
      <c r="R35" s="4351">
        <f>'Tab. 6H - Kultura fiz. i turyst'!T27+'Tab. 6H - Kultura fiz. i turyst'!T45+'Tab. 6H - Kultura fiz. i turyst'!T36+'Tab.6I - Planow. przestrz.'!T61+'Tab.6I - Planow. przestrz.'!T31+'Tab.6I - Planow. przestrz.'!T40</f>
        <v>133630</v>
      </c>
      <c r="S35" s="4351">
        <f>'Tab. 6H - Kultura fiz. i turyst'!U27+'Tab. 6H - Kultura fiz. i turyst'!U45+'Tab. 6H - Kultura fiz. i turyst'!U36+'Tab.6I - Planow. przestrz.'!U61+'Tab.6I - Planow. przestrz.'!U31+'Tab.6I - Planow. przestrz.'!U40</f>
        <v>118089</v>
      </c>
      <c r="T35" s="4351">
        <f>'Tab. 6H - Kultura fiz. i turyst'!V27+'Tab. 6H - Kultura fiz. i turyst'!V45+'Tab. 6H - Kultura fiz. i turyst'!V36+'Tab.6I - Planow. przestrz.'!V61+'Tab.6I - Planow. przestrz.'!V31+'Tab.6I - Planow. przestrz.'!V40</f>
        <v>0</v>
      </c>
      <c r="U35" s="4351">
        <f>'Tab. 6H - Kultura fiz. i turyst'!W27+'Tab. 6H - Kultura fiz. i turyst'!W45+'Tab. 6H - Kultura fiz. i turyst'!W36+'Tab.6I - Planow. przestrz.'!W61+'Tab.6I - Planow. przestrz.'!W31+'Tab.6I - Planow. przestrz.'!W40</f>
        <v>0</v>
      </c>
      <c r="V35" s="4351">
        <f>K35+M35+N35+O35+P35+Q35+R35+S35+T35+U35</f>
        <v>1979404</v>
      </c>
      <c r="W35" s="4352" t="s">
        <v>77</v>
      </c>
      <c r="X35" s="4338"/>
      <c r="Y35" s="4339"/>
      <c r="Z35" s="4339"/>
    </row>
    <row r="36" spans="1:26" s="4325" customFormat="1" ht="48" customHeight="1" thickBot="1">
      <c r="A36" s="4356" t="s">
        <v>672</v>
      </c>
      <c r="B36" s="4357"/>
      <c r="C36" s="4358">
        <f>+'Tab. 6D - Oświata'!E22+'Tab. 6D - Oświata'!E33+'Tab. 6D - Oświata'!E44</f>
        <v>0</v>
      </c>
      <c r="D36" s="4358">
        <f>+'Tab. 6D - Oświata'!F22+'Tab. 6D - Oświata'!F33+'Tab. 6D - Oświata'!F44</f>
        <v>0</v>
      </c>
      <c r="E36" s="4358">
        <f>+'Tab. 6D - Oświata'!G22+'Tab. 6D - Oświata'!G33+'Tab. 6D - Oświata'!G44</f>
        <v>0</v>
      </c>
      <c r="F36" s="4358">
        <f>+'Tab. 6D - Oświata'!H22+'Tab. 6D - Oświata'!H33+'Tab. 6D - Oświata'!H44</f>
        <v>0</v>
      </c>
      <c r="G36" s="4358">
        <f>+'Tab. 6D - Oświata'!I22+'Tab. 6D - Oświata'!I33+'Tab. 6D - Oświata'!I44</f>
        <v>0</v>
      </c>
      <c r="H36" s="4358">
        <f>+'Tab. 6D - Oświata'!J22+'Tab. 6D - Oświata'!J33+'Tab. 6D - Oświata'!J44</f>
        <v>0</v>
      </c>
      <c r="I36" s="4358">
        <f>+'Tab. 6D - Oświata'!K22+'Tab. 6D - Oświata'!K33+'Tab. 6D - Oświata'!K44</f>
        <v>0</v>
      </c>
      <c r="J36" s="4358">
        <f>+'Tab. 6D - Oświata'!L22+'Tab. 6D - Oświata'!L33+'Tab. 6D - Oświata'!L44</f>
        <v>131442</v>
      </c>
      <c r="K36" s="4358">
        <f>+'Tab. 6D - Oświata'!M22+'Tab. 6D - Oświata'!M33+'Tab. 6D - Oświata'!M44+'Tab. 6G - Roln i ochrona środ.'!M131</f>
        <v>286572</v>
      </c>
      <c r="L36" s="4358">
        <f>+'Tab. 6D - Oświata'!N22+'Tab. 6D - Oświata'!N33+'Tab. 6D - Oświata'!N44+'Tab. 6G - Roln i ochrona środ.'!N131</f>
        <v>175457</v>
      </c>
      <c r="M36" s="4358">
        <f>+'Tab. 6D - Oświata'!O22+'Tab. 6D - Oświata'!O33+'Tab. 6D - Oświata'!O44+'Tab. 6G - Roln i ochrona środ.'!O131</f>
        <v>151572</v>
      </c>
      <c r="N36" s="4358">
        <f>+'Tab. 6D - Oświata'!P22+'Tab. 6D - Oświata'!P33+'Tab. 6D - Oświata'!P44+'Tab. 6G - Roln i ochrona środ.'!P131</f>
        <v>160793</v>
      </c>
      <c r="O36" s="4358">
        <f>+'Tab. 6D - Oświata'!Q22+'Tab. 6D - Oświata'!Q33+'Tab. 6D - Oświata'!Q44+'Tab. 6G - Roln i ochrona środ.'!Q131</f>
        <v>145590</v>
      </c>
      <c r="P36" s="4358">
        <f>+'Tab. 6D - Oświata'!R22+'Tab. 6D - Oświata'!R33+'Tab. 6D - Oświata'!R44+'Tab. 6G - Roln i ochrona środ.'!R131</f>
        <v>0</v>
      </c>
      <c r="Q36" s="4358">
        <f>+'Tab. 6D - Oświata'!S22+'Tab. 6D - Oświata'!S33+'Tab. 6D - Oświata'!S44+'Tab. 6G - Roln i ochrona środ.'!S131</f>
        <v>0</v>
      </c>
      <c r="R36" s="4358">
        <f>+'Tab. 6D - Oświata'!T22+'Tab. 6D - Oświata'!T33+'Tab. 6D - Oświata'!T44+'Tab. 6G - Roln i ochrona środ.'!T131</f>
        <v>0</v>
      </c>
      <c r="S36" s="4358">
        <f>+'Tab. 6D - Oświata'!U22+'Tab. 6D - Oświata'!U33+'Tab. 6D - Oświata'!U44+'Tab. 6G - Roln i ochrona środ.'!U131</f>
        <v>0</v>
      </c>
      <c r="T36" s="4358">
        <f>+'Tab. 6D - Oświata'!V22+'Tab. 6D - Oświata'!V33+'Tab. 6D - Oświata'!V44+'Tab. 6G - Roln i ochrona środ.'!V131</f>
        <v>0</v>
      </c>
      <c r="U36" s="4358">
        <f>+'Tab. 6D - Oświata'!W22+'Tab. 6D - Oświata'!W33+'Tab. 6D - Oświata'!W44+'Tab. 6G - Roln i ochrona środ.'!W131</f>
        <v>0</v>
      </c>
      <c r="V36" s="4358">
        <f t="shared" si="1"/>
        <v>744527</v>
      </c>
      <c r="W36" s="4322">
        <f>N36+O36+P36+Q36+R36+S36+T36+U36</f>
        <v>306383</v>
      </c>
      <c r="X36" s="4323"/>
      <c r="Y36" s="4324"/>
      <c r="Z36" s="4324"/>
    </row>
    <row r="37" spans="1:26" s="4325" customFormat="1" ht="48" customHeight="1" thickBot="1">
      <c r="A37" s="4336" t="s">
        <v>673</v>
      </c>
      <c r="B37" s="4337"/>
      <c r="C37" s="4328">
        <f>+'Tab. 6D - Oświata'!E27+'Tab. 6D - Oświata'!E38+'Tab. 6D - Oświata'!E47</f>
        <v>0</v>
      </c>
      <c r="D37" s="4328">
        <f>+'Tab. 6D - Oświata'!F27+'Tab. 6D - Oświata'!F38+'Tab. 6D - Oświata'!F47</f>
        <v>0</v>
      </c>
      <c r="E37" s="4328">
        <f>+'Tab. 6D - Oświata'!G27+'Tab. 6D - Oświata'!G38+'Tab. 6D - Oświata'!G47</f>
        <v>0</v>
      </c>
      <c r="F37" s="4328">
        <f>+'Tab. 6D - Oświata'!H27+'Tab. 6D - Oświata'!H38+'Tab. 6D - Oświata'!H47</f>
        <v>0</v>
      </c>
      <c r="G37" s="4328">
        <f>+'Tab. 6D - Oświata'!I27+'Tab. 6D - Oświata'!I38+'Tab. 6D - Oświata'!I47</f>
        <v>0</v>
      </c>
      <c r="H37" s="4328">
        <f>+'Tab. 6D - Oświata'!J27+'Tab. 6D - Oświata'!J38+'Tab. 6D - Oświata'!J47</f>
        <v>0</v>
      </c>
      <c r="I37" s="4328">
        <f>+'Tab. 6D - Oświata'!K27+'Tab. 6D - Oświata'!K38+'Tab. 6D - Oświata'!K47</f>
        <v>0</v>
      </c>
      <c r="J37" s="4328">
        <f>+'Tab. 6D - Oświata'!L27+'Tab. 6D - Oświata'!L38+'Tab. 6D - Oświata'!L47+'Tab. 6G - Roln i ochrona środ.'!L134</f>
        <v>53066</v>
      </c>
      <c r="K37" s="4328">
        <f>+'Tab. 6D - Oświata'!M27+'Tab. 6D - Oświata'!M38+'Tab. 6D - Oświata'!M47+'Tab. 6G - Roln i ochrona środ.'!M134</f>
        <v>128928</v>
      </c>
      <c r="L37" s="4328">
        <f>+'Tab. 6D - Oświata'!N27+'Tab. 6D - Oświata'!N38+'Tab. 6D - Oświata'!N47+'Tab. 6G - Roln i ochrona środ.'!N134</f>
        <v>75862</v>
      </c>
      <c r="M37" s="4328">
        <f>+'Tab. 6D - Oświata'!O27+'Tab. 6D - Oświata'!O38+'Tab. 6D - Oświata'!O47+'Tab. 6G - Roln i ochrona środ.'!O134</f>
        <v>78483</v>
      </c>
      <c r="N37" s="4328">
        <f>+'Tab. 6D - Oświata'!P27+'Tab. 6D - Oświata'!P38+'Tab. 6D - Oświata'!P47+'Tab. 6G - Roln i ochrona środ.'!P134</f>
        <v>85319</v>
      </c>
      <c r="O37" s="4328">
        <f>+'Tab. 6D - Oświata'!Q27+'Tab. 6D - Oświata'!Q38+'Tab. 6D - Oświata'!Q47+'Tab. 6G - Roln i ochrona środ.'!Q134</f>
        <v>79186</v>
      </c>
      <c r="P37" s="4328">
        <f>+'Tab. 6D - Oświata'!R27+'Tab. 6D - Oświata'!R38+'Tab. 6D - Oświata'!R47+'Tab. 6G - Roln i ochrona środ.'!R134</f>
        <v>23196</v>
      </c>
      <c r="Q37" s="4328">
        <f>+'Tab. 6D - Oświata'!S27+'Tab. 6D - Oświata'!S38+'Tab. 6D - Oświata'!S47+'Tab. 6G - Roln i ochrona środ.'!S134</f>
        <v>0</v>
      </c>
      <c r="R37" s="4328">
        <f>+'Tab. 6D - Oświata'!T27+'Tab. 6D - Oświata'!T38+'Tab. 6D - Oświata'!T47+'Tab. 6G - Roln i ochrona środ.'!T134</f>
        <v>0</v>
      </c>
      <c r="S37" s="4328">
        <f>+'Tab. 6D - Oświata'!U27+'Tab. 6D - Oświata'!U38+'Tab. 6D - Oświata'!U47+'Tab. 6G - Roln i ochrona środ.'!U134</f>
        <v>0</v>
      </c>
      <c r="T37" s="4328">
        <f>+'Tab. 6D - Oświata'!V27+'Tab. 6D - Oświata'!V38+'Tab. 6D - Oświata'!V47+'Tab. 6G - Roln i ochrona środ.'!V134</f>
        <v>0</v>
      </c>
      <c r="U37" s="4328">
        <f>+'Tab. 6D - Oświata'!W27+'Tab. 6D - Oświata'!W38+'Tab. 6D - Oświata'!W47+'Tab. 6G - Roln i ochrona środ.'!W134</f>
        <v>0</v>
      </c>
      <c r="V37" s="4328">
        <f t="shared" si="1"/>
        <v>395112</v>
      </c>
      <c r="W37" s="4329" t="s">
        <v>77</v>
      </c>
      <c r="X37" s="4323">
        <f>'Tab. 6D - Oświata'!O44</f>
        <v>0</v>
      </c>
      <c r="Y37" s="4324"/>
      <c r="Z37" s="4324"/>
    </row>
    <row r="38" spans="1:26" s="4325" customFormat="1" ht="35.25" customHeight="1" thickBot="1">
      <c r="A38" s="4356" t="s">
        <v>310</v>
      </c>
      <c r="B38" s="4357"/>
      <c r="C38" s="4358"/>
      <c r="D38" s="4358"/>
      <c r="E38" s="4358"/>
      <c r="F38" s="4358"/>
      <c r="G38" s="4358"/>
      <c r="H38" s="4358"/>
      <c r="I38" s="4358"/>
      <c r="J38" s="4358"/>
      <c r="K38" s="4358">
        <f>'Tab. 6D - Oświata'!M51+'Tab. 6A -Drogi'!M515+'Tab. 6D - Oświata'!M65+'Tab. 6D - Oświata'!M60</f>
        <v>0</v>
      </c>
      <c r="L38" s="4358">
        <f>'Tab. 6D - Oświata'!N51+'Tab. 6A -Drogi'!N515+'Tab. 6D - Oświata'!N65+'Tab. 6D - Oświata'!N60</f>
        <v>0</v>
      </c>
      <c r="M38" s="4358">
        <f>'Tab. 6D - Oświata'!O51+'Tab. 6A -Drogi'!O515+'Tab. 6D - Oświata'!O65+'Tab. 6D - Oświata'!O60</f>
        <v>218855</v>
      </c>
      <c r="N38" s="4358">
        <f>'Tab. 6D - Oświata'!P51+'Tab. 6A -Drogi'!P515+'Tab. 6D - Oświata'!P65+'Tab. 6D - Oświata'!P60</f>
        <v>77833</v>
      </c>
      <c r="O38" s="4358">
        <f>'Tab. 6D - Oświata'!Q51+'Tab. 6A -Drogi'!Q515+'Tab. 6D - Oświata'!Q65+'Tab. 6D - Oświata'!Q60</f>
        <v>8200</v>
      </c>
      <c r="P38" s="4358">
        <f>'Tab. 6D - Oświata'!R51+'Tab. 6A -Drogi'!R515+'Tab. 6D - Oświata'!R65+'Tab. 6D - Oświata'!R60</f>
        <v>0</v>
      </c>
      <c r="Q38" s="4358">
        <f>'Tab. 6D - Oświata'!S51+'Tab. 6A -Drogi'!S515+'Tab. 6D - Oświata'!S65+'Tab. 6D - Oświata'!S60</f>
        <v>0</v>
      </c>
      <c r="R38" s="4358">
        <f>'Tab. 6D - Oświata'!T51+'Tab. 6A -Drogi'!T515+'Tab. 6D - Oświata'!T65+'Tab. 6D - Oświata'!T60</f>
        <v>0</v>
      </c>
      <c r="S38" s="4358">
        <f>'Tab. 6D - Oświata'!U51+'Tab. 6A -Drogi'!U515+'Tab. 6D - Oświata'!U65+'Tab. 6D - Oświata'!U60</f>
        <v>0</v>
      </c>
      <c r="T38" s="4358">
        <f>'Tab. 6D - Oświata'!V51+'Tab. 6A -Drogi'!V515+'Tab. 6D - Oświata'!V65+'Tab. 6D - Oświata'!V60</f>
        <v>0</v>
      </c>
      <c r="U38" s="4358">
        <f>'Tab. 6D - Oświata'!W51+'Tab. 6A -Drogi'!W515+'Tab. 6D - Oświata'!W65+'Tab. 6D - Oświata'!W60</f>
        <v>0</v>
      </c>
      <c r="V38" s="4358">
        <f t="shared" si="1"/>
        <v>304888</v>
      </c>
      <c r="W38" s="4322">
        <f>N38+O38+P38+Q38+R38+S38+T38+U38</f>
        <v>86033</v>
      </c>
      <c r="X38" s="4323"/>
      <c r="Y38" s="4324"/>
      <c r="Z38" s="4324"/>
    </row>
    <row r="39" spans="1:26" s="4325" customFormat="1" ht="35.25" customHeight="1" thickBot="1">
      <c r="A39" s="4336" t="s">
        <v>311</v>
      </c>
      <c r="B39" s="4337"/>
      <c r="C39" s="4328"/>
      <c r="D39" s="4328"/>
      <c r="E39" s="4328"/>
      <c r="F39" s="4328"/>
      <c r="G39" s="4328"/>
      <c r="H39" s="4328"/>
      <c r="I39" s="4328"/>
      <c r="J39" s="4328"/>
      <c r="K39" s="4328">
        <f>'Tab. 6D - Oświata'!M54+'Tab. 6A -Drogi'!M520+'Tab. 6D - Oświata'!M68+'Tab. 6D - Oświata'!M61</f>
        <v>160044</v>
      </c>
      <c r="L39" s="4328">
        <f>'Tab. 6D - Oświata'!N54+'Tab. 6A -Drogi'!N520+'Tab. 6D - Oświata'!N68+'Tab. 6D - Oświata'!N61</f>
        <v>160044</v>
      </c>
      <c r="M39" s="4328">
        <f>'Tab. 6D - Oświata'!O54+'Tab. 6A -Drogi'!O520+'Tab. 6D - Oświata'!O68+'Tab. 6D - Oświata'!O61</f>
        <v>59097</v>
      </c>
      <c r="N39" s="4328">
        <f>'Tab. 6D - Oświata'!P54+'Tab. 6A -Drogi'!P520+'Tab. 6D - Oświata'!P68+'Tab. 6D - Oświata'!P61</f>
        <v>77549</v>
      </c>
      <c r="O39" s="4328">
        <f>'Tab. 6D - Oświata'!Q54+'Tab. 6A -Drogi'!Q520+'Tab. 6D - Oświata'!Q68+'Tab. 6D - Oświata'!Q61</f>
        <v>8200</v>
      </c>
      <c r="P39" s="4328">
        <f>'Tab. 6D - Oświata'!R54+'Tab. 6A -Drogi'!R520+'Tab. 6D - Oświata'!R68+'Tab. 6D - Oświata'!R61</f>
        <v>0</v>
      </c>
      <c r="Q39" s="4328">
        <f>'Tab. 6D - Oświata'!S54+'Tab. 6A -Drogi'!S520+'Tab. 6D - Oświata'!S68+'Tab. 6D - Oświata'!S61</f>
        <v>0</v>
      </c>
      <c r="R39" s="4328">
        <f>'Tab. 6D - Oświata'!T54+'Tab. 6A -Drogi'!T520+'Tab. 6D - Oświata'!T68+'Tab. 6D - Oświata'!T61</f>
        <v>0</v>
      </c>
      <c r="S39" s="4328">
        <f>'Tab. 6D - Oświata'!U54+'Tab. 6A -Drogi'!U520+'Tab. 6D - Oświata'!U68+'Tab. 6D - Oświata'!U61</f>
        <v>0</v>
      </c>
      <c r="T39" s="4328">
        <f>'Tab. 6D - Oświata'!V54+'Tab. 6A -Drogi'!V520+'Tab. 6D - Oświata'!V68+'Tab. 6D - Oświata'!V61</f>
        <v>0</v>
      </c>
      <c r="U39" s="4328">
        <f>'Tab. 6D - Oświata'!W54+'Tab. 6A -Drogi'!W520+'Tab. 6D - Oświata'!W68+'Tab. 6D - Oświata'!W61</f>
        <v>0</v>
      </c>
      <c r="V39" s="4328">
        <f t="shared" si="1"/>
        <v>304890</v>
      </c>
      <c r="W39" s="4329" t="s">
        <v>77</v>
      </c>
      <c r="X39" s="4323"/>
      <c r="Y39" s="4324"/>
      <c r="Z39" s="4324"/>
    </row>
    <row r="40" spans="1:26" s="4273" customFormat="1" ht="13.5" thickBot="1">
      <c r="A40" s="4359"/>
      <c r="B40" s="4360"/>
      <c r="C40" s="4360"/>
      <c r="D40" s="4360"/>
      <c r="E40" s="4360"/>
      <c r="F40" s="4360"/>
      <c r="G40" s="4360"/>
      <c r="H40" s="4360"/>
      <c r="I40" s="4360"/>
      <c r="J40" s="4360"/>
      <c r="K40" s="4361"/>
      <c r="L40" s="4361"/>
      <c r="M40" s="4360"/>
      <c r="N40" s="4360"/>
      <c r="O40" s="4360"/>
      <c r="P40" s="4360"/>
      <c r="Q40" s="4360"/>
      <c r="R40" s="4360"/>
      <c r="S40" s="4360"/>
      <c r="T40" s="4360"/>
      <c r="U40" s="4360"/>
      <c r="V40" s="4360"/>
      <c r="W40" s="4360"/>
      <c r="X40" s="4271"/>
      <c r="Y40" s="4272"/>
      <c r="Z40" s="4272"/>
    </row>
    <row r="41" spans="1:26" s="4325" customFormat="1" ht="21.75" customHeight="1" thickBot="1">
      <c r="A41" s="4334" t="s">
        <v>257</v>
      </c>
      <c r="B41" s="4335"/>
      <c r="C41" s="4321" t="e">
        <f t="shared" ref="C41:J42" si="5">C7+C9+C11+C13+C15+C17+C19+C21+C25+C36</f>
        <v>#REF!</v>
      </c>
      <c r="D41" s="4321" t="e">
        <f t="shared" si="5"/>
        <v>#REF!</v>
      </c>
      <c r="E41" s="4321" t="e">
        <f t="shared" si="5"/>
        <v>#REF!</v>
      </c>
      <c r="F41" s="4321" t="e">
        <f t="shared" si="5"/>
        <v>#REF!</v>
      </c>
      <c r="G41" s="4321" t="e">
        <f t="shared" si="5"/>
        <v>#REF!</v>
      </c>
      <c r="H41" s="4321" t="e">
        <f t="shared" si="5"/>
        <v>#REF!</v>
      </c>
      <c r="I41" s="4321" t="e">
        <f t="shared" si="5"/>
        <v>#REF!</v>
      </c>
      <c r="J41" s="4321" t="e">
        <f t="shared" si="5"/>
        <v>#REF!</v>
      </c>
      <c r="K41" s="4321">
        <f>K7+K9+K11+K13+K15+K17+K19+K21+K25+K36+K23+K38</f>
        <v>395208865</v>
      </c>
      <c r="L41" s="4321" t="e">
        <f t="shared" ref="L41:T41" si="6">L7+L9+L11+L13+L15+L17+L19+L21+L25+L36+L23+L38</f>
        <v>#REF!</v>
      </c>
      <c r="M41" s="4321">
        <f t="shared" si="6"/>
        <v>123867045</v>
      </c>
      <c r="N41" s="4321">
        <f t="shared" si="6"/>
        <v>160013303</v>
      </c>
      <c r="O41" s="4321">
        <f t="shared" si="6"/>
        <v>419573125</v>
      </c>
      <c r="P41" s="4321">
        <f t="shared" si="6"/>
        <v>276530751</v>
      </c>
      <c r="Q41" s="4321">
        <f t="shared" si="6"/>
        <v>83806653</v>
      </c>
      <c r="R41" s="4321">
        <f t="shared" si="6"/>
        <v>55615719</v>
      </c>
      <c r="S41" s="4321">
        <f t="shared" si="6"/>
        <v>39376544</v>
      </c>
      <c r="T41" s="4321">
        <f t="shared" si="6"/>
        <v>36843748</v>
      </c>
      <c r="U41" s="4321">
        <f>U7+U9+U11+U13+U15+U17+U19+U21+U25+U36+U23+U38</f>
        <v>35648428</v>
      </c>
      <c r="V41" s="4321">
        <f t="shared" ref="V41" si="7">V7+V9+V11+V13+V15+V17+V19+V21+V25+V36+V23+V38</f>
        <v>1626484181</v>
      </c>
      <c r="W41" s="4322">
        <f>N41+O41+P41+Q41+R41+S41+T41+U41</f>
        <v>1107408271</v>
      </c>
      <c r="X41" s="4362"/>
      <c r="Y41" s="4324"/>
      <c r="Z41" s="4324"/>
    </row>
    <row r="42" spans="1:26" s="4325" customFormat="1" ht="21.75" customHeight="1" thickBot="1">
      <c r="A42" s="4336" t="s">
        <v>258</v>
      </c>
      <c r="B42" s="4337"/>
      <c r="C42" s="4328" t="e">
        <f t="shared" si="5"/>
        <v>#REF!</v>
      </c>
      <c r="D42" s="4328" t="e">
        <f t="shared" si="5"/>
        <v>#REF!</v>
      </c>
      <c r="E42" s="4328" t="e">
        <f t="shared" si="5"/>
        <v>#REF!</v>
      </c>
      <c r="F42" s="4328" t="e">
        <f t="shared" si="5"/>
        <v>#REF!</v>
      </c>
      <c r="G42" s="4328" t="e">
        <f t="shared" si="5"/>
        <v>#REF!</v>
      </c>
      <c r="H42" s="4328" t="e">
        <f t="shared" si="5"/>
        <v>#REF!</v>
      </c>
      <c r="I42" s="4328" t="e">
        <f t="shared" si="5"/>
        <v>#REF!</v>
      </c>
      <c r="J42" s="4328" t="e">
        <f t="shared" si="5"/>
        <v>#REF!</v>
      </c>
      <c r="K42" s="4328">
        <f>K8+K10+K12+K14+K16+K18+K20+K22+K26+K37+K24+K39</f>
        <v>338925901</v>
      </c>
      <c r="L42" s="4328" t="e">
        <f t="shared" ref="L42:U42" si="8">L8+L10+L12+L14+L16+L18+L20+L22+L26+L37+L24+L39</f>
        <v>#REF!</v>
      </c>
      <c r="M42" s="4328">
        <f t="shared" si="8"/>
        <v>120648450</v>
      </c>
      <c r="N42" s="4328">
        <f t="shared" si="8"/>
        <v>174573791</v>
      </c>
      <c r="O42" s="4328">
        <f t="shared" si="8"/>
        <v>358993127</v>
      </c>
      <c r="P42" s="4328">
        <f t="shared" si="8"/>
        <v>247694651</v>
      </c>
      <c r="Q42" s="4328">
        <f t="shared" si="8"/>
        <v>81029324</v>
      </c>
      <c r="R42" s="4328">
        <f t="shared" si="8"/>
        <v>51431139</v>
      </c>
      <c r="S42" s="4328">
        <f t="shared" si="8"/>
        <v>33426087</v>
      </c>
      <c r="T42" s="4328">
        <f t="shared" si="8"/>
        <v>32960960</v>
      </c>
      <c r="U42" s="4328">
        <f t="shared" si="8"/>
        <v>31702952</v>
      </c>
      <c r="V42" s="4328">
        <f>V8+V10+V12+V14+V16+V18+V20+V22+V26+V37+V24+V39</f>
        <v>1471386382</v>
      </c>
      <c r="W42" s="4329" t="s">
        <v>77</v>
      </c>
      <c r="X42" s="4362"/>
      <c r="Y42" s="4324"/>
      <c r="Z42" s="4324"/>
    </row>
    <row r="43" spans="1:26" s="4273" customFormat="1">
      <c r="A43" s="4359"/>
      <c r="B43" s="4360"/>
      <c r="C43" s="4360"/>
      <c r="D43" s="4360"/>
      <c r="E43" s="4360"/>
      <c r="F43" s="4360"/>
      <c r="G43" s="4360"/>
      <c r="H43" s="4360"/>
      <c r="I43" s="4360"/>
      <c r="J43" s="4360"/>
      <c r="K43" s="4360"/>
      <c r="L43" s="4361"/>
      <c r="M43" s="4360"/>
      <c r="N43" s="4360"/>
      <c r="O43" s="4360"/>
      <c r="P43" s="4360"/>
      <c r="Q43" s="4360"/>
      <c r="R43" s="4360"/>
      <c r="S43" s="4360"/>
      <c r="T43" s="4360"/>
      <c r="U43" s="4360"/>
      <c r="V43" s="4360"/>
      <c r="W43" s="4360"/>
      <c r="X43" s="4271"/>
      <c r="Y43" s="4272"/>
      <c r="Z43" s="4272"/>
    </row>
    <row r="44" spans="1:26" s="4273" customFormat="1">
      <c r="A44" s="4360" t="s">
        <v>259</v>
      </c>
      <c r="C44" s="4363">
        <f>+'Tabela nr 6'!B48</f>
        <v>883781</v>
      </c>
      <c r="D44" s="4363">
        <f>+'Tabela nr 6'!C48</f>
        <v>49287</v>
      </c>
      <c r="E44" s="4363">
        <f>+'Tabela nr 6'!D48</f>
        <v>129117</v>
      </c>
      <c r="F44" s="4363">
        <f>+'Tabela nr 6'!E48</f>
        <v>8829</v>
      </c>
      <c r="G44" s="4363">
        <f>+'Tabela nr 6'!F48</f>
        <v>3000612</v>
      </c>
      <c r="H44" s="4363">
        <f>+'Tabela nr 6'!G48</f>
        <v>29859065</v>
      </c>
      <c r="I44" s="4363">
        <f>+'Tabela nr 6'!H48</f>
        <v>68438991</v>
      </c>
      <c r="J44" s="4363">
        <f>+'Tabela nr 6'!I48</f>
        <v>117327797.3</v>
      </c>
      <c r="K44" s="4363">
        <f>+'Tabela nr 6'!J48</f>
        <v>395208865.30000001</v>
      </c>
      <c r="L44" s="4364">
        <f>+'Tabela nr 6'!K48</f>
        <v>176028423</v>
      </c>
      <c r="M44" s="4363">
        <f>+'Tabela nr 6'!L48</f>
        <v>123867045</v>
      </c>
      <c r="N44" s="4363">
        <f>+'Tabela nr 6'!M48</f>
        <v>160013303</v>
      </c>
      <c r="O44" s="4363">
        <f>+'Tabela nr 6'!N48</f>
        <v>419573125</v>
      </c>
      <c r="P44" s="4363">
        <f>+'Tabela nr 6'!O48</f>
        <v>276530751</v>
      </c>
      <c r="Q44" s="4363">
        <f>+'Tabela nr 6'!P48</f>
        <v>83806653</v>
      </c>
      <c r="R44" s="4363">
        <f>+'Tabela nr 6'!Q48</f>
        <v>55615719</v>
      </c>
      <c r="S44" s="4363">
        <f>+'Tabela nr 6'!R48</f>
        <v>39376544</v>
      </c>
      <c r="T44" s="4363">
        <f>+'Tabela nr 6'!S48</f>
        <v>36843748</v>
      </c>
      <c r="U44" s="4363">
        <f>+'Tabela nr 6'!T48</f>
        <v>35648428</v>
      </c>
      <c r="V44" s="4363">
        <f>+'Tabela nr 6'!U48</f>
        <v>1626484181.3</v>
      </c>
      <c r="W44" s="4363">
        <f>'Tabela nr 6'!V12</f>
        <v>1107408271</v>
      </c>
      <c r="X44" s="4271"/>
      <c r="Y44" s="4272"/>
      <c r="Z44" s="4272"/>
    </row>
    <row r="45" spans="1:26" s="4273" customFormat="1">
      <c r="A45" s="4360" t="s">
        <v>260</v>
      </c>
      <c r="C45" s="4363">
        <f>+'Tabela nr 6'!B49</f>
        <v>3874</v>
      </c>
      <c r="D45" s="4363">
        <f>+'Tabela nr 6'!C49</f>
        <v>0</v>
      </c>
      <c r="E45" s="4363">
        <f>+'Tabela nr 6'!D49</f>
        <v>2563346</v>
      </c>
      <c r="F45" s="4363">
        <f>+'Tabela nr 6'!E49</f>
        <v>8310034</v>
      </c>
      <c r="G45" s="4363">
        <f>+'Tabela nr 6'!F49</f>
        <v>480461</v>
      </c>
      <c r="H45" s="4363">
        <f>+'Tabela nr 6'!G49</f>
        <v>25330919</v>
      </c>
      <c r="I45" s="4363">
        <f>+'Tabela nr 6'!H49</f>
        <v>68076191</v>
      </c>
      <c r="J45" s="4363">
        <f>+'Tabela nr 6'!I49</f>
        <v>87939545</v>
      </c>
      <c r="K45" s="4363">
        <f>+'Tabela nr 6'!J49</f>
        <v>338925901</v>
      </c>
      <c r="L45" s="4364">
        <f>+'Tabela nr 6'!K49</f>
        <v>157404388</v>
      </c>
      <c r="M45" s="4363">
        <f>+'Tabela nr 6'!L49</f>
        <v>120648450</v>
      </c>
      <c r="N45" s="4363">
        <f>+'Tabela nr 6'!M49</f>
        <v>174573791</v>
      </c>
      <c r="O45" s="4363">
        <f>+'Tabela nr 6'!N49</f>
        <v>358993127</v>
      </c>
      <c r="P45" s="4363">
        <f>+'Tabela nr 6'!O49</f>
        <v>247694651</v>
      </c>
      <c r="Q45" s="4363">
        <f>+'Tabela nr 6'!P49</f>
        <v>81029324</v>
      </c>
      <c r="R45" s="4363">
        <f>+'Tabela nr 6'!Q49</f>
        <v>51431139</v>
      </c>
      <c r="S45" s="4363">
        <f>+'Tabela nr 6'!R49</f>
        <v>33426087</v>
      </c>
      <c r="T45" s="4363">
        <f>+'Tabela nr 6'!S49</f>
        <v>32960960</v>
      </c>
      <c r="U45" s="4363">
        <f>+'Tabela nr 6'!T49</f>
        <v>31702952</v>
      </c>
      <c r="V45" s="4363">
        <f>+'Tabela nr 6'!U49</f>
        <v>1471386382</v>
      </c>
      <c r="W45" s="4363"/>
      <c r="X45" s="4271"/>
      <c r="Y45" s="4272"/>
      <c r="Z45" s="4272"/>
    </row>
    <row r="46" spans="1:26" s="4273" customFormat="1">
      <c r="A46" s="4359"/>
      <c r="B46" s="4360"/>
      <c r="C46" s="4360"/>
      <c r="D46" s="4360"/>
      <c r="E46" s="4360"/>
      <c r="F46" s="4360"/>
      <c r="G46" s="4360"/>
      <c r="H46" s="4360"/>
      <c r="I46" s="4360"/>
      <c r="J46" s="4360"/>
      <c r="K46" s="4360"/>
      <c r="L46" s="4361"/>
      <c r="M46" s="4360"/>
      <c r="N46" s="4360"/>
      <c r="O46" s="4360"/>
      <c r="P46" s="4360"/>
      <c r="Q46" s="4360"/>
      <c r="R46" s="4360"/>
      <c r="S46" s="4360"/>
      <c r="T46" s="4360"/>
      <c r="U46" s="4360"/>
      <c r="V46" s="4360"/>
      <c r="W46" s="4360"/>
      <c r="X46" s="4271"/>
      <c r="Y46" s="4272"/>
      <c r="Z46" s="4272"/>
    </row>
    <row r="47" spans="1:26" s="4273" customFormat="1">
      <c r="A47" s="4359"/>
      <c r="B47" s="4360" t="s">
        <v>261</v>
      </c>
      <c r="C47" s="4363" t="e">
        <f>+C42-C45</f>
        <v>#REF!</v>
      </c>
      <c r="D47" s="4363" t="e">
        <f t="shared" ref="D47:N48" si="9">+D41-D44</f>
        <v>#REF!</v>
      </c>
      <c r="E47" s="4363" t="e">
        <f t="shared" si="9"/>
        <v>#REF!</v>
      </c>
      <c r="F47" s="4363" t="e">
        <f t="shared" si="9"/>
        <v>#REF!</v>
      </c>
      <c r="G47" s="4363" t="e">
        <f>+G41-G44</f>
        <v>#REF!</v>
      </c>
      <c r="H47" s="4363" t="e">
        <f t="shared" si="9"/>
        <v>#REF!</v>
      </c>
      <c r="I47" s="4363" t="e">
        <f t="shared" si="9"/>
        <v>#REF!</v>
      </c>
      <c r="J47" s="4363" t="e">
        <f>+J41-J44</f>
        <v>#REF!</v>
      </c>
      <c r="K47" s="4363">
        <f>+K41-K44</f>
        <v>-0.30000001192092896</v>
      </c>
      <c r="L47" s="4364" t="e">
        <f>+L41-L44</f>
        <v>#REF!</v>
      </c>
      <c r="M47" s="4363">
        <f t="shared" si="9"/>
        <v>0</v>
      </c>
      <c r="N47" s="4363">
        <f>+N41-N44</f>
        <v>0</v>
      </c>
      <c r="O47" s="4363">
        <f>+O41-O44</f>
        <v>0</v>
      </c>
      <c r="P47" s="4363">
        <f>+P41-P44</f>
        <v>0</v>
      </c>
      <c r="Q47" s="4363">
        <f t="shared" ref="Q47:R47" si="10">+Q41-Q44</f>
        <v>0</v>
      </c>
      <c r="R47" s="4363">
        <f t="shared" si="10"/>
        <v>0</v>
      </c>
      <c r="S47" s="4363">
        <f t="shared" ref="S47:U47" si="11">+S41-S44</f>
        <v>0</v>
      </c>
      <c r="T47" s="4363">
        <f t="shared" si="11"/>
        <v>0</v>
      </c>
      <c r="U47" s="4363">
        <f t="shared" si="11"/>
        <v>0</v>
      </c>
      <c r="V47" s="4363">
        <f>+V41-V44</f>
        <v>-0.29999995231628418</v>
      </c>
      <c r="W47" s="4363">
        <f>+W41-W44</f>
        <v>0</v>
      </c>
      <c r="X47" s="4271"/>
      <c r="Y47" s="4272"/>
      <c r="Z47" s="4272"/>
    </row>
    <row r="48" spans="1:26" s="4273" customFormat="1">
      <c r="A48" s="4359"/>
      <c r="B48" s="4360"/>
      <c r="C48" s="4363" t="e">
        <f>+C42-C45</f>
        <v>#REF!</v>
      </c>
      <c r="D48" s="4363" t="e">
        <f t="shared" si="9"/>
        <v>#REF!</v>
      </c>
      <c r="E48" s="4363" t="e">
        <f t="shared" si="9"/>
        <v>#REF!</v>
      </c>
      <c r="F48" s="4363" t="e">
        <f t="shared" si="9"/>
        <v>#REF!</v>
      </c>
      <c r="G48" s="4363" t="e">
        <f t="shared" si="9"/>
        <v>#REF!</v>
      </c>
      <c r="H48" s="4363" t="e">
        <f t="shared" si="9"/>
        <v>#REF!</v>
      </c>
      <c r="I48" s="4363" t="e">
        <f t="shared" si="9"/>
        <v>#REF!</v>
      </c>
      <c r="J48" s="4363" t="e">
        <f t="shared" si="9"/>
        <v>#REF!</v>
      </c>
      <c r="K48" s="4363">
        <f>+K42-K45</f>
        <v>0</v>
      </c>
      <c r="L48" s="4364" t="e">
        <f t="shared" si="9"/>
        <v>#REF!</v>
      </c>
      <c r="M48" s="4363">
        <f t="shared" si="9"/>
        <v>0</v>
      </c>
      <c r="N48" s="4363">
        <f t="shared" si="9"/>
        <v>0</v>
      </c>
      <c r="O48" s="4363">
        <f>+O42-O45</f>
        <v>0</v>
      </c>
      <c r="P48" s="4363">
        <f>+P42-P45</f>
        <v>0</v>
      </c>
      <c r="Q48" s="4363">
        <f t="shared" ref="Q48:R48" si="12">+Q42-Q45</f>
        <v>0</v>
      </c>
      <c r="R48" s="4363">
        <f t="shared" si="12"/>
        <v>0</v>
      </c>
      <c r="S48" s="4363">
        <f t="shared" ref="S48:U48" si="13">+S42-S45</f>
        <v>0</v>
      </c>
      <c r="T48" s="4363">
        <f t="shared" si="13"/>
        <v>0</v>
      </c>
      <c r="U48" s="4363">
        <f t="shared" si="13"/>
        <v>0</v>
      </c>
      <c r="V48" s="4363">
        <f>+V42-V45</f>
        <v>0</v>
      </c>
      <c r="W48" s="4363">
        <v>0</v>
      </c>
      <c r="X48" s="4271"/>
      <c r="Y48" s="4272"/>
      <c r="Z48" s="4272"/>
    </row>
    <row r="49" spans="1:23" s="4273" customFormat="1">
      <c r="A49" s="4359"/>
      <c r="B49" s="4360"/>
      <c r="C49" s="4360"/>
      <c r="D49" s="4360"/>
      <c r="E49" s="4360"/>
      <c r="F49" s="4360"/>
      <c r="G49" s="4360"/>
      <c r="H49" s="4360"/>
      <c r="I49" s="4360"/>
      <c r="J49" s="4360"/>
      <c r="K49" s="4363"/>
      <c r="L49" s="4361"/>
      <c r="M49" s="4360"/>
      <c r="N49" s="4360"/>
      <c r="O49" s="4360"/>
      <c r="P49" s="4360"/>
      <c r="Q49" s="4360"/>
      <c r="R49" s="4360"/>
      <c r="S49" s="4360"/>
      <c r="T49" s="4360"/>
      <c r="U49" s="4360"/>
      <c r="V49" s="4360"/>
      <c r="W49" s="4360"/>
    </row>
    <row r="50" spans="1:23" s="4273" customFormat="1">
      <c r="A50" s="4359"/>
      <c r="B50" s="4360"/>
      <c r="C50" s="4360"/>
      <c r="D50" s="4360"/>
      <c r="E50" s="4360"/>
      <c r="F50" s="4360"/>
      <c r="G50" s="4360"/>
      <c r="H50" s="4360"/>
      <c r="I50" s="4360"/>
      <c r="J50" s="4360"/>
      <c r="K50" s="4363"/>
      <c r="L50" s="4361"/>
      <c r="M50" s="4360"/>
      <c r="N50" s="4360"/>
      <c r="O50" s="4360"/>
      <c r="P50" s="4360"/>
      <c r="Q50" s="4360"/>
      <c r="R50" s="4360"/>
      <c r="S50" s="4360"/>
      <c r="T50" s="4360"/>
      <c r="U50" s="4360"/>
      <c r="V50" s="4360"/>
      <c r="W50" s="4360"/>
    </row>
    <row r="51" spans="1:23" s="4273" customFormat="1">
      <c r="A51" s="4365"/>
      <c r="B51" s="4360"/>
      <c r="C51" s="4366"/>
      <c r="D51" s="4367"/>
      <c r="E51" s="4367"/>
      <c r="F51" s="4367"/>
      <c r="G51" s="4366"/>
      <c r="H51" s="4366"/>
      <c r="I51" s="4366"/>
      <c r="J51" s="4360"/>
      <c r="K51" s="4363"/>
      <c r="L51" s="4361"/>
      <c r="M51" s="4360"/>
      <c r="N51" s="4360"/>
      <c r="O51" s="4360"/>
      <c r="P51" s="4360"/>
      <c r="Q51" s="4363"/>
      <c r="R51" s="4360"/>
      <c r="S51" s="4360"/>
      <c r="T51" s="4360"/>
      <c r="U51" s="4360"/>
      <c r="V51" s="4360"/>
      <c r="W51" s="4360"/>
    </row>
    <row r="52" spans="1:23" s="4273" customFormat="1" ht="23.25" customHeight="1">
      <c r="A52" s="4359"/>
      <c r="B52" s="4368"/>
      <c r="C52" s="4363"/>
      <c r="D52" s="4360"/>
      <c r="E52" s="4360"/>
      <c r="F52" s="4360"/>
      <c r="G52" s="4363"/>
      <c r="H52" s="4363"/>
      <c r="I52" s="4363"/>
      <c r="J52" s="4360"/>
      <c r="K52" s="4363"/>
      <c r="L52" s="4361"/>
      <c r="M52" s="4360"/>
      <c r="N52" s="4360"/>
      <c r="O52" s="4360"/>
      <c r="P52" s="4363"/>
      <c r="Q52" s="4360"/>
      <c r="R52" s="4360"/>
      <c r="S52" s="4360"/>
      <c r="T52" s="4360"/>
      <c r="U52" s="4360"/>
      <c r="V52" s="4360"/>
      <c r="W52" s="4360"/>
    </row>
    <row r="53" spans="1:23" s="4273" customFormat="1">
      <c r="A53" s="4359"/>
      <c r="B53" s="4360"/>
      <c r="C53" s="4360"/>
      <c r="D53" s="4360"/>
      <c r="E53" s="4360"/>
      <c r="F53" s="4360"/>
      <c r="G53" s="4360"/>
      <c r="H53" s="4360"/>
      <c r="I53" s="4360"/>
      <c r="J53" s="4360"/>
      <c r="K53" s="4363"/>
      <c r="L53" s="4361"/>
      <c r="M53" s="4360"/>
      <c r="N53" s="4360"/>
      <c r="O53" s="4360"/>
      <c r="P53" s="4360"/>
      <c r="Q53" s="4360"/>
      <c r="R53" s="4360"/>
      <c r="S53" s="4360"/>
      <c r="T53" s="4360"/>
      <c r="U53" s="4360"/>
      <c r="V53" s="4360"/>
      <c r="W53" s="4360"/>
    </row>
    <row r="54" spans="1:23" s="4273" customFormat="1">
      <c r="A54" s="4369"/>
      <c r="B54" s="4360"/>
      <c r="C54" s="4360"/>
      <c r="D54" s="4360"/>
      <c r="E54" s="4360"/>
      <c r="F54" s="4360"/>
      <c r="G54" s="4360"/>
      <c r="H54" s="4360"/>
      <c r="I54" s="4360"/>
      <c r="J54" s="4360"/>
      <c r="K54" s="4363"/>
      <c r="L54" s="4361"/>
      <c r="M54" s="4360"/>
      <c r="N54" s="4360"/>
      <c r="O54" s="4360"/>
      <c r="P54" s="4360"/>
      <c r="Q54" s="4360"/>
      <c r="R54" s="4360"/>
      <c r="S54" s="4360"/>
      <c r="T54" s="4360"/>
      <c r="U54" s="4360"/>
      <c r="V54" s="4360"/>
      <c r="W54" s="4360"/>
    </row>
    <row r="55" spans="1:23" s="4273" customFormat="1">
      <c r="A55" s="4359"/>
      <c r="B55" s="4360"/>
      <c r="C55" s="4363"/>
      <c r="D55" s="4360"/>
      <c r="E55" s="4360"/>
      <c r="F55" s="4360"/>
      <c r="G55" s="4363"/>
      <c r="H55" s="4363"/>
      <c r="I55" s="4363"/>
      <c r="J55" s="4360"/>
      <c r="K55" s="4363"/>
      <c r="L55" s="4361"/>
      <c r="M55" s="4360"/>
      <c r="N55" s="4360"/>
      <c r="O55" s="4360"/>
      <c r="P55" s="4360"/>
      <c r="Q55" s="4360"/>
      <c r="R55" s="4360"/>
      <c r="S55" s="4360"/>
      <c r="T55" s="4360"/>
      <c r="U55" s="4360"/>
      <c r="V55" s="4360"/>
      <c r="W55" s="4360"/>
    </row>
    <row r="56" spans="1:23" s="4273" customFormat="1">
      <c r="A56" s="4359"/>
      <c r="B56" s="4360"/>
      <c r="C56" s="4363"/>
      <c r="D56" s="4360"/>
      <c r="E56" s="4360"/>
      <c r="F56" s="4360"/>
      <c r="G56" s="4363"/>
      <c r="H56" s="4363"/>
      <c r="I56" s="4363"/>
      <c r="J56" s="4360"/>
      <c r="K56" s="4360"/>
      <c r="L56" s="4361"/>
      <c r="M56" s="4360"/>
      <c r="N56" s="4360"/>
      <c r="O56" s="4360"/>
      <c r="P56" s="4360"/>
      <c r="Q56" s="4360"/>
      <c r="R56" s="4360"/>
      <c r="S56" s="4360"/>
      <c r="T56" s="4360"/>
      <c r="U56" s="4360"/>
      <c r="V56" s="4360"/>
      <c r="W56" s="4360"/>
    </row>
    <row r="57" spans="1:23" s="4273" customFormat="1">
      <c r="A57" s="4359"/>
      <c r="B57" s="4360"/>
      <c r="C57" s="4366"/>
      <c r="D57" s="4367"/>
      <c r="E57" s="4367"/>
      <c r="F57" s="4367"/>
      <c r="G57" s="4366"/>
      <c r="H57" s="4366"/>
      <c r="I57" s="4366"/>
      <c r="J57" s="4360"/>
      <c r="K57" s="4360"/>
      <c r="L57" s="4361"/>
      <c r="M57" s="4360"/>
      <c r="N57" s="4360"/>
      <c r="O57" s="4360"/>
      <c r="P57" s="4360"/>
      <c r="Q57" s="4360"/>
      <c r="R57" s="4360"/>
      <c r="S57" s="4360"/>
      <c r="T57" s="4360"/>
      <c r="U57" s="4360"/>
      <c r="V57" s="4360"/>
      <c r="W57" s="4360"/>
    </row>
    <row r="58" spans="1:23" s="4273" customFormat="1">
      <c r="A58" s="4359"/>
      <c r="B58" s="4360"/>
      <c r="C58" s="4360"/>
      <c r="D58" s="4360"/>
      <c r="E58" s="4360"/>
      <c r="F58" s="4360"/>
      <c r="G58" s="4360"/>
      <c r="H58" s="4360"/>
      <c r="I58" s="4360"/>
      <c r="J58" s="4360"/>
      <c r="K58" s="4360"/>
      <c r="L58" s="4361"/>
      <c r="M58" s="4360"/>
      <c r="N58" s="4360"/>
      <c r="O58" s="4360"/>
      <c r="P58" s="4360"/>
      <c r="Q58" s="4360"/>
      <c r="R58" s="4360"/>
      <c r="S58" s="4360"/>
      <c r="T58" s="4360"/>
      <c r="U58" s="4360"/>
      <c r="V58" s="4360"/>
      <c r="W58" s="4360"/>
    </row>
    <row r="59" spans="1:23" s="4273" customFormat="1">
      <c r="A59" s="4369"/>
      <c r="B59" s="4360"/>
      <c r="C59" s="4366"/>
      <c r="D59" s="4367"/>
      <c r="E59" s="4367"/>
      <c r="F59" s="4367"/>
      <c r="G59" s="4366"/>
      <c r="H59" s="4366"/>
      <c r="I59" s="4366"/>
      <c r="J59" s="4360"/>
      <c r="K59" s="4360"/>
      <c r="L59" s="4361"/>
      <c r="M59" s="4360"/>
      <c r="N59" s="4360"/>
      <c r="O59" s="4360"/>
      <c r="P59" s="4360"/>
      <c r="Q59" s="4360"/>
      <c r="R59" s="4360"/>
      <c r="S59" s="4360"/>
      <c r="T59" s="4360"/>
      <c r="U59" s="4360"/>
      <c r="V59" s="4360"/>
      <c r="W59" s="4360"/>
    </row>
    <row r="60" spans="1:23" s="4273" customFormat="1">
      <c r="A60" s="4359"/>
      <c r="B60" s="4368"/>
      <c r="C60" s="4363"/>
      <c r="D60" s="4360"/>
      <c r="E60" s="4360"/>
      <c r="F60" s="4360"/>
      <c r="G60" s="4363"/>
      <c r="H60" s="4360"/>
      <c r="I60" s="4360"/>
      <c r="J60" s="4360"/>
      <c r="K60" s="4360"/>
      <c r="L60" s="4361"/>
      <c r="M60" s="4360"/>
      <c r="N60" s="4360"/>
      <c r="O60" s="4360"/>
      <c r="P60" s="4360"/>
      <c r="Q60" s="4360"/>
      <c r="R60" s="4360"/>
      <c r="S60" s="4360"/>
      <c r="T60" s="4360"/>
      <c r="U60" s="4360"/>
      <c r="V60" s="4360"/>
      <c r="W60" s="4360"/>
    </row>
    <row r="61" spans="1:23" s="4273" customFormat="1">
      <c r="A61" s="4359"/>
      <c r="B61" s="4360"/>
      <c r="C61" s="4360"/>
      <c r="D61" s="4360"/>
      <c r="E61" s="4360"/>
      <c r="F61" s="4360"/>
      <c r="G61" s="4360"/>
      <c r="H61" s="4360"/>
      <c r="I61" s="4360"/>
      <c r="J61" s="4360"/>
      <c r="K61" s="4360"/>
      <c r="L61" s="4361"/>
      <c r="M61" s="4360"/>
      <c r="N61" s="4360"/>
      <c r="O61" s="4360"/>
      <c r="P61" s="4360"/>
      <c r="Q61" s="4360"/>
      <c r="R61" s="4360"/>
      <c r="S61" s="4360"/>
      <c r="T61" s="4360"/>
      <c r="U61" s="4360"/>
      <c r="V61" s="4360"/>
      <c r="W61" s="4360"/>
    </row>
    <row r="62" spans="1:23" s="4273" customFormat="1">
      <c r="A62" s="4359"/>
      <c r="B62" s="4360"/>
      <c r="C62" s="4360"/>
      <c r="D62" s="4360"/>
      <c r="E62" s="4360"/>
      <c r="F62" s="4360"/>
      <c r="G62" s="4360"/>
      <c r="H62" s="4360"/>
      <c r="I62" s="4360"/>
      <c r="J62" s="4360"/>
      <c r="K62" s="4360"/>
      <c r="L62" s="4361"/>
      <c r="M62" s="4360"/>
      <c r="N62" s="4360"/>
      <c r="O62" s="4360"/>
      <c r="P62" s="4360"/>
      <c r="Q62" s="4360"/>
      <c r="R62" s="4360"/>
      <c r="S62" s="4360"/>
      <c r="T62" s="4360"/>
      <c r="U62" s="4360"/>
      <c r="V62" s="4360"/>
      <c r="W62" s="4360"/>
    </row>
    <row r="63" spans="1:23" s="4273" customFormat="1">
      <c r="B63" s="4360"/>
      <c r="C63" s="4360"/>
      <c r="D63" s="4360"/>
      <c r="E63" s="4360"/>
      <c r="F63" s="4360"/>
      <c r="G63" s="4360"/>
      <c r="H63" s="4360"/>
      <c r="I63" s="4360"/>
      <c r="J63" s="4360"/>
      <c r="K63" s="4360"/>
      <c r="L63" s="4361"/>
      <c r="M63" s="4360"/>
      <c r="N63" s="4360"/>
      <c r="O63" s="4360"/>
      <c r="P63" s="4360"/>
      <c r="Q63" s="4360"/>
      <c r="R63" s="4360"/>
      <c r="S63" s="4360"/>
      <c r="T63" s="4360"/>
      <c r="U63" s="4360"/>
      <c r="V63" s="4360"/>
      <c r="W63" s="4360"/>
    </row>
    <row r="64" spans="1:23" s="4273" customFormat="1">
      <c r="B64" s="4360"/>
      <c r="C64" s="4360"/>
      <c r="D64" s="4360"/>
      <c r="E64" s="4360"/>
      <c r="F64" s="4360"/>
      <c r="G64" s="4360"/>
      <c r="H64" s="4360"/>
      <c r="I64" s="4360"/>
      <c r="J64" s="4360"/>
      <c r="K64" s="4360"/>
      <c r="L64" s="4361"/>
      <c r="M64" s="4360"/>
      <c r="N64" s="4360"/>
      <c r="O64" s="4360"/>
      <c r="P64" s="4360"/>
      <c r="Q64" s="4360"/>
      <c r="R64" s="4360"/>
      <c r="S64" s="4360"/>
      <c r="T64" s="4360"/>
      <c r="U64" s="4360"/>
      <c r="V64" s="4360"/>
      <c r="W64" s="4360"/>
    </row>
    <row r="65" spans="2:23" s="4273" customFormat="1">
      <c r="B65" s="4360"/>
      <c r="C65" s="4360"/>
      <c r="D65" s="4360"/>
      <c r="E65" s="4360"/>
      <c r="F65" s="4360"/>
      <c r="G65" s="4360"/>
      <c r="H65" s="4360"/>
      <c r="I65" s="4360"/>
      <c r="J65" s="4360"/>
      <c r="K65" s="4360"/>
      <c r="L65" s="4361"/>
      <c r="M65" s="4360"/>
      <c r="N65" s="4360"/>
      <c r="O65" s="4360"/>
      <c r="P65" s="4360"/>
      <c r="Q65" s="4360"/>
      <c r="R65" s="4360"/>
      <c r="S65" s="4360"/>
      <c r="T65" s="4360"/>
      <c r="U65" s="4360"/>
      <c r="V65" s="4360"/>
      <c r="W65" s="4360"/>
    </row>
    <row r="66" spans="2:23" s="4273" customFormat="1">
      <c r="B66" s="4360"/>
      <c r="C66" s="4360"/>
      <c r="D66" s="4360"/>
      <c r="E66" s="4360"/>
      <c r="F66" s="4360"/>
      <c r="G66" s="4360"/>
      <c r="H66" s="4360"/>
      <c r="I66" s="4360"/>
      <c r="J66" s="4360"/>
      <c r="K66" s="4360"/>
      <c r="L66" s="4361"/>
      <c r="M66" s="4360"/>
      <c r="N66" s="4360"/>
      <c r="O66" s="4360"/>
      <c r="P66" s="4360"/>
      <c r="Q66" s="4360"/>
      <c r="R66" s="4360"/>
      <c r="S66" s="4360"/>
      <c r="T66" s="4360"/>
      <c r="U66" s="4360"/>
      <c r="V66" s="4360"/>
      <c r="W66" s="4360"/>
    </row>
    <row r="67" spans="2:23" s="4273" customFormat="1">
      <c r="B67" s="4360"/>
      <c r="C67" s="4360"/>
      <c r="D67" s="4360"/>
      <c r="E67" s="4360"/>
      <c r="F67" s="4360"/>
      <c r="G67" s="4360"/>
      <c r="H67" s="4360"/>
      <c r="I67" s="4360"/>
      <c r="J67" s="4360"/>
      <c r="K67" s="4360"/>
      <c r="L67" s="4361"/>
      <c r="M67" s="4360"/>
      <c r="N67" s="4360"/>
      <c r="O67" s="4360"/>
      <c r="P67" s="4360"/>
      <c r="Q67" s="4360"/>
      <c r="R67" s="4360"/>
      <c r="S67" s="4360"/>
      <c r="T67" s="4360"/>
      <c r="U67" s="4360"/>
      <c r="V67" s="4360"/>
      <c r="W67" s="4360"/>
    </row>
    <row r="68" spans="2:23" s="4273" customFormat="1">
      <c r="B68" s="4360"/>
      <c r="C68" s="4360"/>
      <c r="D68" s="4360"/>
      <c r="E68" s="4360"/>
      <c r="F68" s="4360"/>
      <c r="G68" s="4360"/>
      <c r="H68" s="4360"/>
      <c r="I68" s="4360"/>
      <c r="J68" s="4360"/>
      <c r="K68" s="4360"/>
      <c r="L68" s="4361"/>
      <c r="M68" s="4360"/>
      <c r="N68" s="4360"/>
      <c r="O68" s="4360"/>
      <c r="P68" s="4360"/>
      <c r="Q68" s="4360"/>
      <c r="R68" s="4360"/>
      <c r="S68" s="4360"/>
      <c r="T68" s="4360"/>
      <c r="U68" s="4360"/>
      <c r="V68" s="4360"/>
      <c r="W68" s="4360"/>
    </row>
    <row r="69" spans="2:23" s="4273" customFormat="1">
      <c r="B69" s="4360"/>
      <c r="C69" s="4360"/>
      <c r="D69" s="4360"/>
      <c r="E69" s="4360"/>
      <c r="F69" s="4360"/>
      <c r="G69" s="4360"/>
      <c r="H69" s="4360"/>
      <c r="I69" s="4360"/>
      <c r="J69" s="4360"/>
      <c r="K69" s="4360"/>
      <c r="L69" s="4361"/>
      <c r="M69" s="4360"/>
      <c r="N69" s="4360"/>
      <c r="O69" s="4360"/>
      <c r="P69" s="4360"/>
      <c r="Q69" s="4360"/>
      <c r="R69" s="4360"/>
      <c r="S69" s="4360"/>
      <c r="T69" s="4360"/>
      <c r="U69" s="4360"/>
      <c r="V69" s="4360"/>
      <c r="W69" s="4360"/>
    </row>
    <row r="70" spans="2:23" s="4273" customFormat="1">
      <c r="B70" s="4360"/>
      <c r="C70" s="4360"/>
      <c r="D70" s="4360"/>
      <c r="E70" s="4360"/>
      <c r="F70" s="4360"/>
      <c r="G70" s="4360"/>
      <c r="H70" s="4360"/>
      <c r="I70" s="4360"/>
      <c r="J70" s="4360"/>
      <c r="K70" s="4360"/>
      <c r="L70" s="4361"/>
      <c r="M70" s="4360"/>
      <c r="N70" s="4360"/>
      <c r="O70" s="4360"/>
      <c r="P70" s="4360"/>
      <c r="Q70" s="4360"/>
      <c r="R70" s="4360"/>
      <c r="S70" s="4360"/>
      <c r="T70" s="4360"/>
      <c r="U70" s="4360"/>
      <c r="V70" s="4360"/>
      <c r="W70" s="4360"/>
    </row>
    <row r="71" spans="2:23" s="4273" customFormat="1">
      <c r="B71" s="4360"/>
      <c r="C71" s="4360"/>
      <c r="D71" s="4360"/>
      <c r="E71" s="4360"/>
      <c r="F71" s="4360"/>
      <c r="G71" s="4360"/>
      <c r="H71" s="4360"/>
      <c r="I71" s="4360"/>
      <c r="J71" s="4360"/>
      <c r="K71" s="4360"/>
      <c r="L71" s="4361"/>
      <c r="M71" s="4360"/>
      <c r="N71" s="4360"/>
      <c r="O71" s="4360"/>
      <c r="P71" s="4360"/>
      <c r="Q71" s="4360"/>
      <c r="R71" s="4360"/>
      <c r="S71" s="4360"/>
      <c r="T71" s="4360"/>
      <c r="U71" s="4360"/>
      <c r="V71" s="4360"/>
      <c r="W71" s="4360"/>
    </row>
    <row r="72" spans="2:23" s="4273" customFormat="1">
      <c r="B72" s="4360"/>
      <c r="C72" s="4360"/>
      <c r="D72" s="4360"/>
      <c r="E72" s="4360"/>
      <c r="F72" s="4360"/>
      <c r="G72" s="4360"/>
      <c r="H72" s="4360"/>
      <c r="I72" s="4360"/>
      <c r="J72" s="4360"/>
      <c r="K72" s="4360"/>
      <c r="L72" s="4361"/>
      <c r="M72" s="4360"/>
      <c r="N72" s="4360"/>
      <c r="O72" s="4360"/>
      <c r="P72" s="4360"/>
      <c r="Q72" s="4360"/>
      <c r="R72" s="4360"/>
      <c r="S72" s="4360"/>
      <c r="T72" s="4360"/>
      <c r="U72" s="4360"/>
      <c r="V72" s="4360"/>
      <c r="W72" s="4360"/>
    </row>
    <row r="73" spans="2:23" s="4273" customFormat="1">
      <c r="B73" s="4360"/>
      <c r="C73" s="4360"/>
      <c r="D73" s="4360"/>
      <c r="E73" s="4360"/>
      <c r="F73" s="4360"/>
      <c r="G73" s="4360"/>
      <c r="H73" s="4360"/>
      <c r="I73" s="4360"/>
      <c r="J73" s="4360"/>
      <c r="K73" s="4360"/>
      <c r="L73" s="4361"/>
      <c r="M73" s="4360"/>
      <c r="N73" s="4360"/>
      <c r="O73" s="4360"/>
      <c r="P73" s="4360"/>
      <c r="Q73" s="4360"/>
      <c r="R73" s="4360"/>
      <c r="S73" s="4360"/>
      <c r="T73" s="4360"/>
      <c r="U73" s="4360"/>
      <c r="V73" s="4360"/>
      <c r="W73" s="4360"/>
    </row>
    <row r="74" spans="2:23" s="4273" customFormat="1">
      <c r="B74" s="4360"/>
      <c r="C74" s="4360"/>
      <c r="D74" s="4360"/>
      <c r="E74" s="4360"/>
      <c r="F74" s="4360"/>
      <c r="G74" s="4360"/>
      <c r="H74" s="4360"/>
      <c r="I74" s="4360"/>
      <c r="J74" s="4360"/>
      <c r="K74" s="4360"/>
      <c r="L74" s="4361"/>
      <c r="M74" s="4360"/>
      <c r="N74" s="4360"/>
      <c r="O74" s="4360"/>
      <c r="P74" s="4360"/>
      <c r="Q74" s="4360"/>
      <c r="R74" s="4360"/>
      <c r="S74" s="4360"/>
      <c r="T74" s="4360"/>
      <c r="U74" s="4360"/>
      <c r="V74" s="4360"/>
      <c r="W74" s="4360"/>
    </row>
    <row r="75" spans="2:23" s="4273" customFormat="1">
      <c r="B75" s="4360"/>
      <c r="C75" s="4360"/>
      <c r="D75" s="4360"/>
      <c r="E75" s="4360"/>
      <c r="F75" s="4360"/>
      <c r="G75" s="4360"/>
      <c r="H75" s="4360"/>
      <c r="I75" s="4360"/>
      <c r="J75" s="4360"/>
      <c r="K75" s="4360"/>
      <c r="L75" s="4361"/>
      <c r="M75" s="4360"/>
      <c r="N75" s="4360"/>
      <c r="O75" s="4360"/>
      <c r="P75" s="4360"/>
      <c r="Q75" s="4360"/>
      <c r="R75" s="4360"/>
      <c r="S75" s="4360"/>
      <c r="T75" s="4360"/>
      <c r="U75" s="4360"/>
      <c r="V75" s="4360"/>
      <c r="W75" s="4360"/>
    </row>
    <row r="76" spans="2:23" s="4273" customFormat="1">
      <c r="B76" s="4360"/>
      <c r="C76" s="4360"/>
      <c r="D76" s="4360"/>
      <c r="E76" s="4360"/>
      <c r="F76" s="4360"/>
      <c r="G76" s="4360"/>
      <c r="H76" s="4360"/>
      <c r="I76" s="4360"/>
      <c r="J76" s="4360"/>
      <c r="K76" s="4360"/>
      <c r="L76" s="4361"/>
      <c r="M76" s="4360"/>
      <c r="N76" s="4360"/>
      <c r="O76" s="4360"/>
      <c r="P76" s="4360"/>
      <c r="Q76" s="4360"/>
      <c r="R76" s="4360"/>
      <c r="S76" s="4360"/>
      <c r="T76" s="4360"/>
      <c r="U76" s="4360"/>
      <c r="V76" s="4360"/>
      <c r="W76" s="4360"/>
    </row>
    <row r="77" spans="2:23" s="4273" customFormat="1">
      <c r="B77" s="4360"/>
      <c r="C77" s="4360"/>
      <c r="D77" s="4360"/>
      <c r="E77" s="4360"/>
      <c r="F77" s="4360"/>
      <c r="G77" s="4360"/>
      <c r="H77" s="4360"/>
      <c r="I77" s="4360"/>
      <c r="J77" s="4360"/>
      <c r="K77" s="4360"/>
      <c r="L77" s="4361"/>
      <c r="M77" s="4360"/>
      <c r="N77" s="4360"/>
      <c r="O77" s="4360"/>
      <c r="P77" s="4360"/>
      <c r="Q77" s="4360"/>
      <c r="R77" s="4360"/>
      <c r="S77" s="4360"/>
      <c r="T77" s="4360"/>
      <c r="U77" s="4360"/>
      <c r="V77" s="4360"/>
      <c r="W77" s="4360"/>
    </row>
    <row r="78" spans="2:23" s="4273" customFormat="1">
      <c r="B78" s="4360"/>
      <c r="C78" s="4360"/>
      <c r="D78" s="4360"/>
      <c r="E78" s="4360"/>
      <c r="F78" s="4360"/>
      <c r="G78" s="4360"/>
      <c r="H78" s="4360"/>
      <c r="I78" s="4360"/>
      <c r="J78" s="4360"/>
      <c r="K78" s="4360"/>
      <c r="L78" s="4361"/>
      <c r="M78" s="4360"/>
      <c r="N78" s="4360"/>
      <c r="O78" s="4360"/>
      <c r="P78" s="4360"/>
      <c r="Q78" s="4360"/>
      <c r="R78" s="4360"/>
      <c r="S78" s="4360"/>
      <c r="T78" s="4360"/>
      <c r="U78" s="4360"/>
      <c r="V78" s="4360"/>
      <c r="W78" s="4360"/>
    </row>
    <row r="79" spans="2:23" s="4273" customFormat="1">
      <c r="B79" s="4360"/>
      <c r="C79" s="4360"/>
      <c r="D79" s="4360"/>
      <c r="E79" s="4360"/>
      <c r="F79" s="4360"/>
      <c r="G79" s="4360"/>
      <c r="H79" s="4360"/>
      <c r="I79" s="4360"/>
      <c r="J79" s="4360"/>
      <c r="K79" s="4360"/>
      <c r="L79" s="4361"/>
      <c r="M79" s="4360"/>
      <c r="N79" s="4360"/>
      <c r="O79" s="4360"/>
      <c r="P79" s="4360"/>
      <c r="Q79" s="4360"/>
      <c r="R79" s="4360"/>
      <c r="S79" s="4360"/>
      <c r="T79" s="4360"/>
      <c r="U79" s="4360"/>
      <c r="V79" s="4360"/>
      <c r="W79" s="4360"/>
    </row>
    <row r="80" spans="2:23" s="4273" customFormat="1">
      <c r="B80" s="4360"/>
      <c r="C80" s="4360"/>
      <c r="D80" s="4360"/>
      <c r="E80" s="4360"/>
      <c r="F80" s="4360"/>
      <c r="G80" s="4360"/>
      <c r="H80" s="4360"/>
      <c r="I80" s="4360"/>
      <c r="J80" s="4360"/>
      <c r="K80" s="4360"/>
      <c r="L80" s="4361"/>
      <c r="M80" s="4360"/>
      <c r="N80" s="4360"/>
      <c r="O80" s="4360"/>
      <c r="P80" s="4360"/>
      <c r="Q80" s="4360"/>
      <c r="R80" s="4360"/>
      <c r="S80" s="4360"/>
      <c r="T80" s="4360"/>
      <c r="U80" s="4360"/>
      <c r="V80" s="4360"/>
      <c r="W80" s="4360"/>
    </row>
    <row r="81" spans="2:23" s="4273" customFormat="1">
      <c r="B81" s="4360"/>
      <c r="C81" s="4360"/>
      <c r="D81" s="4360"/>
      <c r="E81" s="4360"/>
      <c r="F81" s="4360"/>
      <c r="G81" s="4360"/>
      <c r="H81" s="4360"/>
      <c r="I81" s="4360"/>
      <c r="J81" s="4360"/>
      <c r="K81" s="4360"/>
      <c r="L81" s="4361"/>
      <c r="M81" s="4360"/>
      <c r="N81" s="4360"/>
      <c r="O81" s="4360"/>
      <c r="P81" s="4360"/>
      <c r="Q81" s="4360"/>
      <c r="R81" s="4360"/>
      <c r="S81" s="4360"/>
      <c r="T81" s="4360"/>
      <c r="U81" s="4360"/>
      <c r="V81" s="4360"/>
      <c r="W81" s="4360"/>
    </row>
    <row r="82" spans="2:23" s="4273" customFormat="1">
      <c r="B82" s="4360"/>
      <c r="C82" s="4360"/>
      <c r="D82" s="4360"/>
      <c r="E82" s="4360"/>
      <c r="F82" s="4360"/>
      <c r="G82" s="4360"/>
      <c r="H82" s="4360"/>
      <c r="I82" s="4360"/>
      <c r="J82" s="4360"/>
      <c r="K82" s="4360"/>
      <c r="L82" s="4361"/>
      <c r="M82" s="4360"/>
      <c r="N82" s="4360"/>
      <c r="O82" s="4360"/>
      <c r="P82" s="4360"/>
      <c r="Q82" s="4360"/>
      <c r="R82" s="4360"/>
      <c r="S82" s="4360"/>
      <c r="T82" s="4360"/>
      <c r="U82" s="4360"/>
      <c r="V82" s="4360"/>
      <c r="W82" s="4360"/>
    </row>
    <row r="83" spans="2:23" s="4273" customFormat="1">
      <c r="B83" s="4360"/>
      <c r="C83" s="4360"/>
      <c r="D83" s="4360"/>
      <c r="E83" s="4360"/>
      <c r="F83" s="4360"/>
      <c r="G83" s="4360"/>
      <c r="H83" s="4360"/>
      <c r="I83" s="4360"/>
      <c r="J83" s="4360"/>
      <c r="K83" s="4360"/>
      <c r="L83" s="4361"/>
      <c r="M83" s="4360"/>
      <c r="N83" s="4360"/>
      <c r="O83" s="4360"/>
      <c r="P83" s="4360"/>
      <c r="Q83" s="4360"/>
      <c r="R83" s="4360"/>
      <c r="S83" s="4360"/>
      <c r="T83" s="4360"/>
      <c r="U83" s="4360"/>
      <c r="V83" s="4360"/>
      <c r="W83" s="4360"/>
    </row>
    <row r="84" spans="2:23" s="4273" customFormat="1">
      <c r="B84" s="4360"/>
      <c r="C84" s="4360"/>
      <c r="D84" s="4360"/>
      <c r="E84" s="4360"/>
      <c r="F84" s="4360"/>
      <c r="G84" s="4360"/>
      <c r="H84" s="4360"/>
      <c r="I84" s="4360"/>
      <c r="J84" s="4360"/>
      <c r="K84" s="4360"/>
      <c r="L84" s="4361"/>
      <c r="M84" s="4360"/>
      <c r="N84" s="4360"/>
      <c r="O84" s="4360"/>
      <c r="P84" s="4360"/>
      <c r="Q84" s="4360"/>
      <c r="R84" s="4360"/>
      <c r="S84" s="4360"/>
      <c r="T84" s="4360"/>
      <c r="U84" s="4360"/>
      <c r="V84" s="4360"/>
      <c r="W84" s="4360"/>
    </row>
    <row r="85" spans="2:23" s="4273" customFormat="1">
      <c r="B85" s="4360"/>
      <c r="C85" s="4360"/>
      <c r="D85" s="4360"/>
      <c r="E85" s="4360"/>
      <c r="F85" s="4360"/>
      <c r="G85" s="4360"/>
      <c r="H85" s="4360"/>
      <c r="I85" s="4360"/>
      <c r="J85" s="4360"/>
      <c r="K85" s="4360"/>
      <c r="L85" s="4361"/>
      <c r="M85" s="4360"/>
      <c r="N85" s="4360"/>
      <c r="O85" s="4360"/>
      <c r="P85" s="4360"/>
      <c r="Q85" s="4360"/>
      <c r="R85" s="4360"/>
      <c r="S85" s="4360"/>
      <c r="T85" s="4360"/>
      <c r="U85" s="4360"/>
      <c r="V85" s="4360"/>
      <c r="W85" s="4360"/>
    </row>
    <row r="86" spans="2:23" s="4273" customFormat="1">
      <c r="B86" s="4360"/>
      <c r="C86" s="4360"/>
      <c r="D86" s="4360"/>
      <c r="E86" s="4360"/>
      <c r="F86" s="4360"/>
      <c r="G86" s="4360"/>
      <c r="H86" s="4360"/>
      <c r="I86" s="4360"/>
      <c r="J86" s="4360"/>
      <c r="K86" s="4360"/>
      <c r="L86" s="4361"/>
      <c r="M86" s="4360"/>
      <c r="N86" s="4360"/>
      <c r="O86" s="4360"/>
      <c r="P86" s="4360"/>
      <c r="Q86" s="4360"/>
      <c r="R86" s="4360"/>
      <c r="S86" s="4360"/>
      <c r="T86" s="4360"/>
      <c r="U86" s="4360"/>
      <c r="V86" s="4360"/>
      <c r="W86" s="4360"/>
    </row>
    <row r="87" spans="2:23" s="4273" customFormat="1">
      <c r="B87" s="4360"/>
      <c r="C87" s="4360"/>
      <c r="D87" s="4360"/>
      <c r="E87" s="4360"/>
      <c r="F87" s="4360"/>
      <c r="G87" s="4360"/>
      <c r="H87" s="4360"/>
      <c r="I87" s="4360"/>
      <c r="J87" s="4360"/>
      <c r="K87" s="4360"/>
      <c r="L87" s="4361"/>
      <c r="M87" s="4360"/>
      <c r="N87" s="4360"/>
      <c r="O87" s="4360"/>
      <c r="P87" s="4360"/>
      <c r="Q87" s="4360"/>
      <c r="R87" s="4360"/>
      <c r="S87" s="4360"/>
      <c r="T87" s="4360"/>
      <c r="U87" s="4360"/>
      <c r="V87" s="4360"/>
      <c r="W87" s="4360"/>
    </row>
    <row r="88" spans="2:23" s="4273" customFormat="1">
      <c r="B88" s="4360"/>
      <c r="C88" s="4360"/>
      <c r="D88" s="4360"/>
      <c r="E88" s="4360"/>
      <c r="F88" s="4360"/>
      <c r="G88" s="4360"/>
      <c r="H88" s="4360"/>
      <c r="I88" s="4360"/>
      <c r="J88" s="4360"/>
      <c r="K88" s="4360"/>
      <c r="L88" s="4361"/>
      <c r="M88" s="4360"/>
      <c r="N88" s="4360"/>
      <c r="O88" s="4360"/>
      <c r="P88" s="4360"/>
      <c r="Q88" s="4360"/>
      <c r="R88" s="4360"/>
      <c r="S88" s="4360"/>
      <c r="T88" s="4360"/>
      <c r="U88" s="4360"/>
      <c r="V88" s="4360"/>
      <c r="W88" s="4360"/>
    </row>
    <row r="89" spans="2:23" s="4273" customFormat="1">
      <c r="B89" s="4360"/>
      <c r="C89" s="4360"/>
      <c r="D89" s="4360"/>
      <c r="E89" s="4360"/>
      <c r="F89" s="4360"/>
      <c r="G89" s="4360"/>
      <c r="H89" s="4360"/>
      <c r="I89" s="4360"/>
      <c r="J89" s="4360"/>
      <c r="K89" s="4360"/>
      <c r="L89" s="4361"/>
      <c r="M89" s="4360"/>
      <c r="N89" s="4360"/>
      <c r="O89" s="4360"/>
      <c r="P89" s="4360"/>
      <c r="Q89" s="4360"/>
      <c r="R89" s="4360"/>
      <c r="S89" s="4360"/>
      <c r="T89" s="4360"/>
      <c r="U89" s="4360"/>
      <c r="V89" s="4360"/>
      <c r="W89" s="4360"/>
    </row>
    <row r="90" spans="2:23" s="4273" customFormat="1">
      <c r="B90" s="4360"/>
      <c r="C90" s="4360"/>
      <c r="D90" s="4360"/>
      <c r="E90" s="4360"/>
      <c r="F90" s="4360"/>
      <c r="G90" s="4360"/>
      <c r="H90" s="4360"/>
      <c r="I90" s="4360"/>
      <c r="J90" s="4360"/>
      <c r="K90" s="4360"/>
      <c r="L90" s="4361"/>
      <c r="M90" s="4360"/>
      <c r="N90" s="4360"/>
      <c r="O90" s="4360"/>
      <c r="P90" s="4360"/>
      <c r="Q90" s="4360"/>
      <c r="R90" s="4360"/>
      <c r="S90" s="4360"/>
      <c r="T90" s="4360"/>
      <c r="U90" s="4360"/>
      <c r="V90" s="4360"/>
      <c r="W90" s="4360"/>
    </row>
    <row r="91" spans="2:23" s="4273" customFormat="1">
      <c r="B91" s="4360"/>
      <c r="C91" s="4360"/>
      <c r="D91" s="4360"/>
      <c r="E91" s="4360"/>
      <c r="F91" s="4360"/>
      <c r="G91" s="4360"/>
      <c r="H91" s="4360"/>
      <c r="I91" s="4360"/>
      <c r="J91" s="4360"/>
      <c r="K91" s="4360"/>
      <c r="L91" s="4361"/>
      <c r="M91" s="4360"/>
      <c r="N91" s="4360"/>
      <c r="O91" s="4360"/>
      <c r="P91" s="4360"/>
      <c r="Q91" s="4360"/>
      <c r="R91" s="4360"/>
      <c r="S91" s="4360"/>
      <c r="T91" s="4360"/>
      <c r="U91" s="4360"/>
      <c r="V91" s="4360"/>
      <c r="W91" s="4360"/>
    </row>
    <row r="92" spans="2:23" s="4273" customFormat="1">
      <c r="B92" s="4360"/>
      <c r="C92" s="4360"/>
      <c r="D92" s="4360"/>
      <c r="E92" s="4360"/>
      <c r="F92" s="4360"/>
      <c r="G92" s="4360"/>
      <c r="H92" s="4360"/>
      <c r="I92" s="4360"/>
      <c r="J92" s="4360"/>
      <c r="K92" s="4360"/>
      <c r="L92" s="4361"/>
      <c r="M92" s="4360"/>
      <c r="N92" s="4360"/>
      <c r="O92" s="4360"/>
      <c r="P92" s="4360"/>
      <c r="Q92" s="4360"/>
      <c r="R92" s="4360"/>
      <c r="S92" s="4360"/>
      <c r="T92" s="4360"/>
      <c r="U92" s="4360"/>
      <c r="V92" s="4360"/>
      <c r="W92" s="4360"/>
    </row>
    <row r="93" spans="2:23" s="4273" customFormat="1">
      <c r="B93" s="4360"/>
      <c r="C93" s="4360"/>
      <c r="D93" s="4360"/>
      <c r="E93" s="4360"/>
      <c r="F93" s="4360"/>
      <c r="G93" s="4360"/>
      <c r="H93" s="4360"/>
      <c r="I93" s="4360"/>
      <c r="J93" s="4360"/>
      <c r="K93" s="4360"/>
      <c r="L93" s="4361"/>
      <c r="M93" s="4360"/>
      <c r="N93" s="4360"/>
      <c r="O93" s="4360"/>
      <c r="P93" s="4360"/>
      <c r="Q93" s="4360"/>
      <c r="R93" s="4360"/>
      <c r="S93" s="4360"/>
      <c r="T93" s="4360"/>
      <c r="U93" s="4360"/>
      <c r="V93" s="4360"/>
      <c r="W93" s="4360"/>
    </row>
    <row r="94" spans="2:23" s="4273" customFormat="1">
      <c r="B94" s="4360"/>
      <c r="C94" s="4360"/>
      <c r="D94" s="4360"/>
      <c r="E94" s="4360"/>
      <c r="F94" s="4360"/>
      <c r="G94" s="4360"/>
      <c r="H94" s="4360"/>
      <c r="I94" s="4360"/>
      <c r="J94" s="4360"/>
      <c r="K94" s="4360"/>
      <c r="L94" s="4361"/>
      <c r="M94" s="4360"/>
      <c r="N94" s="4360"/>
      <c r="O94" s="4360"/>
      <c r="P94" s="4360"/>
      <c r="Q94" s="4360"/>
      <c r="R94" s="4360"/>
      <c r="S94" s="4360"/>
      <c r="T94" s="4360"/>
      <c r="U94" s="4360"/>
      <c r="V94" s="4360"/>
      <c r="W94" s="4360"/>
    </row>
    <row r="95" spans="2:23" s="4273" customFormat="1">
      <c r="B95" s="4360"/>
      <c r="C95" s="4360"/>
      <c r="D95" s="4360"/>
      <c r="E95" s="4360"/>
      <c r="F95" s="4360"/>
      <c r="G95" s="4360"/>
      <c r="H95" s="4360"/>
      <c r="I95" s="4360"/>
      <c r="J95" s="4360"/>
      <c r="K95" s="4360"/>
      <c r="L95" s="4361"/>
      <c r="M95" s="4360"/>
      <c r="N95" s="4360"/>
      <c r="O95" s="4360"/>
      <c r="P95" s="4360"/>
      <c r="Q95" s="4360"/>
      <c r="R95" s="4360"/>
      <c r="S95" s="4360"/>
      <c r="T95" s="4360"/>
      <c r="U95" s="4360"/>
      <c r="V95" s="4360"/>
      <c r="W95" s="4360"/>
    </row>
    <row r="96" spans="2:23" s="4273" customFormat="1">
      <c r="B96" s="4360"/>
      <c r="C96" s="4360"/>
      <c r="D96" s="4360"/>
      <c r="E96" s="4360"/>
      <c r="F96" s="4360"/>
      <c r="G96" s="4360"/>
      <c r="H96" s="4360"/>
      <c r="I96" s="4360"/>
      <c r="J96" s="4360"/>
      <c r="K96" s="4360"/>
      <c r="L96" s="4361"/>
      <c r="M96" s="4360"/>
      <c r="N96" s="4360"/>
      <c r="O96" s="4360"/>
      <c r="P96" s="4360"/>
      <c r="Q96" s="4360"/>
      <c r="R96" s="4360"/>
      <c r="S96" s="4360"/>
      <c r="T96" s="4360"/>
      <c r="U96" s="4360"/>
      <c r="V96" s="4360"/>
      <c r="W96" s="4360"/>
    </row>
    <row r="97" spans="2:23" s="4273" customFormat="1">
      <c r="B97" s="4360"/>
      <c r="C97" s="4360"/>
      <c r="D97" s="4360"/>
      <c r="E97" s="4360"/>
      <c r="F97" s="4360"/>
      <c r="G97" s="4360"/>
      <c r="H97" s="4360"/>
      <c r="I97" s="4360"/>
      <c r="J97" s="4360"/>
      <c r="K97" s="4360"/>
      <c r="L97" s="4361"/>
      <c r="M97" s="4360"/>
      <c r="N97" s="4360"/>
      <c r="O97" s="4360"/>
      <c r="P97" s="4360"/>
      <c r="Q97" s="4360"/>
      <c r="R97" s="4360"/>
      <c r="S97" s="4360"/>
      <c r="T97" s="4360"/>
      <c r="U97" s="4360"/>
      <c r="V97" s="4360"/>
      <c r="W97" s="4360"/>
    </row>
    <row r="98" spans="2:23" s="4273" customFormat="1">
      <c r="B98" s="4360"/>
      <c r="C98" s="4360"/>
      <c r="D98" s="4360"/>
      <c r="E98" s="4360"/>
      <c r="F98" s="4360"/>
      <c r="G98" s="4360"/>
      <c r="H98" s="4360"/>
      <c r="I98" s="4360"/>
      <c r="J98" s="4360"/>
      <c r="K98" s="4360"/>
      <c r="L98" s="4361"/>
      <c r="M98" s="4360"/>
      <c r="N98" s="4360"/>
      <c r="O98" s="4360"/>
      <c r="P98" s="4360"/>
      <c r="Q98" s="4360"/>
      <c r="R98" s="4360"/>
      <c r="S98" s="4360"/>
      <c r="T98" s="4360"/>
      <c r="U98" s="4360"/>
      <c r="V98" s="4360"/>
      <c r="W98" s="4360"/>
    </row>
    <row r="99" spans="2:23" s="4273" customFormat="1">
      <c r="B99" s="4360"/>
      <c r="C99" s="4360"/>
      <c r="D99" s="4360"/>
      <c r="E99" s="4360"/>
      <c r="F99" s="4360"/>
      <c r="G99" s="4360"/>
      <c r="H99" s="4360"/>
      <c r="I99" s="4360"/>
      <c r="J99" s="4360"/>
      <c r="K99" s="4360"/>
      <c r="L99" s="4361"/>
      <c r="M99" s="4360"/>
      <c r="N99" s="4360"/>
      <c r="O99" s="4360"/>
      <c r="P99" s="4360"/>
      <c r="Q99" s="4360"/>
      <c r="R99" s="4360"/>
      <c r="S99" s="4360"/>
      <c r="T99" s="4360"/>
      <c r="U99" s="4360"/>
      <c r="V99" s="4360"/>
      <c r="W99" s="4360"/>
    </row>
    <row r="100" spans="2:23" s="4273" customFormat="1">
      <c r="B100" s="4360"/>
      <c r="C100" s="4360"/>
      <c r="D100" s="4360"/>
      <c r="E100" s="4360"/>
      <c r="F100" s="4360"/>
      <c r="G100" s="4360"/>
      <c r="H100" s="4360"/>
      <c r="I100" s="4360"/>
      <c r="J100" s="4360"/>
      <c r="K100" s="4360"/>
      <c r="L100" s="4361"/>
      <c r="M100" s="4360"/>
      <c r="N100" s="4360"/>
      <c r="O100" s="4360"/>
      <c r="P100" s="4360"/>
      <c r="Q100" s="4360"/>
      <c r="R100" s="4360"/>
      <c r="S100" s="4360"/>
      <c r="T100" s="4360"/>
      <c r="U100" s="4360"/>
      <c r="V100" s="4360"/>
      <c r="W100" s="4360"/>
    </row>
    <row r="101" spans="2:23" s="4273" customFormat="1">
      <c r="B101" s="4360"/>
      <c r="C101" s="4360"/>
      <c r="D101" s="4360"/>
      <c r="E101" s="4360"/>
      <c r="F101" s="4360"/>
      <c r="G101" s="4360"/>
      <c r="H101" s="4360"/>
      <c r="I101" s="4360"/>
      <c r="J101" s="4360"/>
      <c r="K101" s="4360"/>
      <c r="L101" s="4361"/>
      <c r="M101" s="4360"/>
      <c r="N101" s="4360"/>
      <c r="O101" s="4360"/>
      <c r="P101" s="4360"/>
      <c r="Q101" s="4360"/>
      <c r="R101" s="4360"/>
      <c r="S101" s="4360"/>
      <c r="T101" s="4360"/>
      <c r="U101" s="4360"/>
      <c r="V101" s="4360"/>
      <c r="W101" s="4360"/>
    </row>
    <row r="102" spans="2:23" s="4273" customFormat="1">
      <c r="B102" s="4360"/>
      <c r="C102" s="4360"/>
      <c r="D102" s="4360"/>
      <c r="E102" s="4360"/>
      <c r="F102" s="4360"/>
      <c r="G102" s="4360"/>
      <c r="H102" s="4360"/>
      <c r="I102" s="4360"/>
      <c r="J102" s="4360"/>
      <c r="K102" s="4360"/>
      <c r="L102" s="4361"/>
      <c r="M102" s="4360"/>
      <c r="N102" s="4360"/>
      <c r="O102" s="4360"/>
      <c r="P102" s="4360"/>
      <c r="Q102" s="4360"/>
      <c r="R102" s="4360"/>
      <c r="S102" s="4360"/>
      <c r="T102" s="4360"/>
      <c r="U102" s="4360"/>
      <c r="V102" s="4360"/>
      <c r="W102" s="4360"/>
    </row>
    <row r="103" spans="2:23" s="4273" customFormat="1">
      <c r="B103" s="4360"/>
      <c r="C103" s="4360"/>
      <c r="D103" s="4360"/>
      <c r="E103" s="4360"/>
      <c r="F103" s="4360"/>
      <c r="G103" s="4360"/>
      <c r="H103" s="4360"/>
      <c r="I103" s="4360"/>
      <c r="J103" s="4360"/>
      <c r="K103" s="4360"/>
      <c r="L103" s="4361"/>
      <c r="M103" s="4360"/>
      <c r="N103" s="4360"/>
      <c r="O103" s="4360"/>
      <c r="P103" s="4360"/>
      <c r="Q103" s="4360"/>
      <c r="R103" s="4360"/>
      <c r="S103" s="4360"/>
      <c r="T103" s="4360"/>
      <c r="U103" s="4360"/>
      <c r="V103" s="4360"/>
      <c r="W103" s="4360"/>
    </row>
    <row r="104" spans="2:23" s="4273" customFormat="1">
      <c r="B104" s="4360"/>
      <c r="C104" s="4360"/>
      <c r="D104" s="4360"/>
      <c r="E104" s="4360"/>
      <c r="F104" s="4360"/>
      <c r="G104" s="4360"/>
      <c r="H104" s="4360"/>
      <c r="I104" s="4360"/>
      <c r="J104" s="4360"/>
      <c r="K104" s="4360"/>
      <c r="L104" s="4361"/>
      <c r="M104" s="4360"/>
      <c r="N104" s="4360"/>
      <c r="O104" s="4360"/>
      <c r="P104" s="4360"/>
      <c r="Q104" s="4360"/>
      <c r="R104" s="4360"/>
      <c r="S104" s="4360"/>
      <c r="T104" s="4360"/>
      <c r="U104" s="4360"/>
      <c r="V104" s="4360"/>
      <c r="W104" s="4360"/>
    </row>
    <row r="105" spans="2:23" s="4273" customFormat="1">
      <c r="B105" s="4360"/>
      <c r="C105" s="4360"/>
      <c r="D105" s="4360"/>
      <c r="E105" s="4360"/>
      <c r="F105" s="4360"/>
      <c r="G105" s="4360"/>
      <c r="H105" s="4360"/>
      <c r="I105" s="4360"/>
      <c r="J105" s="4360"/>
      <c r="K105" s="4360"/>
      <c r="L105" s="4361"/>
      <c r="M105" s="4360"/>
      <c r="N105" s="4360"/>
      <c r="O105" s="4360"/>
      <c r="P105" s="4360"/>
      <c r="Q105" s="4360"/>
      <c r="R105" s="4360"/>
      <c r="S105" s="4360"/>
      <c r="T105" s="4360"/>
      <c r="U105" s="4360"/>
      <c r="V105" s="4360"/>
      <c r="W105" s="4360"/>
    </row>
    <row r="106" spans="2:23" s="4273" customFormat="1">
      <c r="B106" s="4360"/>
      <c r="C106" s="4360"/>
      <c r="D106" s="4360"/>
      <c r="E106" s="4360"/>
      <c r="F106" s="4360"/>
      <c r="G106" s="4360"/>
      <c r="H106" s="4360"/>
      <c r="I106" s="4360"/>
      <c r="J106" s="4360"/>
      <c r="K106" s="4360"/>
      <c r="L106" s="4361"/>
      <c r="M106" s="4360"/>
      <c r="N106" s="4360"/>
      <c r="O106" s="4360"/>
      <c r="P106" s="4360"/>
      <c r="Q106" s="4360"/>
      <c r="R106" s="4360"/>
      <c r="S106" s="4360"/>
      <c r="T106" s="4360"/>
      <c r="U106" s="4360"/>
      <c r="V106" s="4360"/>
      <c r="W106" s="4360"/>
    </row>
    <row r="107" spans="2:23" s="4273" customFormat="1">
      <c r="B107" s="4360"/>
      <c r="C107" s="4360"/>
      <c r="D107" s="4360"/>
      <c r="E107" s="4360"/>
      <c r="F107" s="4360"/>
      <c r="G107" s="4360"/>
      <c r="H107" s="4360"/>
      <c r="I107" s="4360"/>
      <c r="J107" s="4360"/>
      <c r="K107" s="4360"/>
      <c r="L107" s="4361"/>
      <c r="M107" s="4360"/>
      <c r="N107" s="4360"/>
      <c r="O107" s="4360"/>
      <c r="P107" s="4360"/>
      <c r="Q107" s="4360"/>
      <c r="R107" s="4360"/>
      <c r="S107" s="4360"/>
      <c r="T107" s="4360"/>
      <c r="U107" s="4360"/>
      <c r="V107" s="4360"/>
      <c r="W107" s="4360"/>
    </row>
    <row r="108" spans="2:23" s="4273" customFormat="1">
      <c r="B108" s="4360"/>
      <c r="C108" s="4360"/>
      <c r="D108" s="4360"/>
      <c r="E108" s="4360"/>
      <c r="F108" s="4360"/>
      <c r="G108" s="4360"/>
      <c r="H108" s="4360"/>
      <c r="I108" s="4360"/>
      <c r="J108" s="4360"/>
      <c r="K108" s="4360"/>
      <c r="L108" s="4361"/>
      <c r="M108" s="4360"/>
      <c r="N108" s="4360"/>
      <c r="O108" s="4360"/>
      <c r="P108" s="4360"/>
      <c r="Q108" s="4360"/>
      <c r="R108" s="4360"/>
      <c r="S108" s="4360"/>
      <c r="T108" s="4360"/>
      <c r="U108" s="4360"/>
      <c r="V108" s="4360"/>
      <c r="W108" s="4360"/>
    </row>
    <row r="109" spans="2:23" s="4273" customFormat="1">
      <c r="B109" s="4360"/>
      <c r="C109" s="4360"/>
      <c r="D109" s="4360"/>
      <c r="E109" s="4360"/>
      <c r="F109" s="4360"/>
      <c r="G109" s="4360"/>
      <c r="H109" s="4360"/>
      <c r="I109" s="4360"/>
      <c r="J109" s="4360"/>
      <c r="K109" s="4360"/>
      <c r="L109" s="4361"/>
      <c r="M109" s="4360"/>
      <c r="N109" s="4360"/>
      <c r="O109" s="4360"/>
      <c r="P109" s="4360"/>
      <c r="Q109" s="4360"/>
      <c r="R109" s="4360"/>
      <c r="S109" s="4360"/>
      <c r="T109" s="4360"/>
      <c r="U109" s="4360"/>
      <c r="V109" s="4360"/>
      <c r="W109" s="4360"/>
    </row>
    <row r="110" spans="2:23" s="4273" customFormat="1">
      <c r="B110" s="4360"/>
      <c r="C110" s="4360"/>
      <c r="D110" s="4360"/>
      <c r="E110" s="4360"/>
      <c r="F110" s="4360"/>
      <c r="G110" s="4360"/>
      <c r="H110" s="4360"/>
      <c r="I110" s="4360"/>
      <c r="J110" s="4360"/>
      <c r="K110" s="4360"/>
      <c r="L110" s="4361"/>
      <c r="M110" s="4360"/>
      <c r="N110" s="4360"/>
      <c r="O110" s="4360"/>
      <c r="P110" s="4360"/>
      <c r="Q110" s="4360"/>
      <c r="R110" s="4360"/>
      <c r="S110" s="4360"/>
      <c r="T110" s="4360"/>
      <c r="U110" s="4360"/>
      <c r="V110" s="4360"/>
      <c r="W110" s="4360"/>
    </row>
    <row r="111" spans="2:23" s="4273" customFormat="1">
      <c r="B111" s="4360"/>
      <c r="C111" s="4360"/>
      <c r="D111" s="4360"/>
      <c r="E111" s="4360"/>
      <c r="F111" s="4360"/>
      <c r="G111" s="4360"/>
      <c r="H111" s="4360"/>
      <c r="I111" s="4360"/>
      <c r="J111" s="4360"/>
      <c r="K111" s="4360"/>
      <c r="L111" s="4361"/>
      <c r="M111" s="4360"/>
      <c r="N111" s="4360"/>
      <c r="O111" s="4360"/>
      <c r="P111" s="4360"/>
      <c r="Q111" s="4360"/>
      <c r="R111" s="4360"/>
      <c r="S111" s="4360"/>
      <c r="T111" s="4360"/>
      <c r="U111" s="4360"/>
      <c r="V111" s="4360"/>
      <c r="W111" s="4360"/>
    </row>
    <row r="112" spans="2:23" s="4273" customFormat="1">
      <c r="B112" s="4360"/>
      <c r="C112" s="4360"/>
      <c r="D112" s="4360"/>
      <c r="E112" s="4360"/>
      <c r="F112" s="4360"/>
      <c r="G112" s="4360"/>
      <c r="H112" s="4360"/>
      <c r="I112" s="4360"/>
      <c r="J112" s="4360"/>
      <c r="K112" s="4360"/>
      <c r="L112" s="4361"/>
      <c r="M112" s="4360"/>
      <c r="N112" s="4360"/>
      <c r="O112" s="4360"/>
      <c r="P112" s="4360"/>
      <c r="Q112" s="4360"/>
      <c r="R112" s="4360"/>
      <c r="S112" s="4360"/>
      <c r="T112" s="4360"/>
      <c r="U112" s="4360"/>
      <c r="V112" s="4360"/>
      <c r="W112" s="4360"/>
    </row>
    <row r="113" spans="2:23" s="4273" customFormat="1">
      <c r="B113" s="4360"/>
      <c r="C113" s="4360"/>
      <c r="D113" s="4360"/>
      <c r="E113" s="4360"/>
      <c r="F113" s="4360"/>
      <c r="G113" s="4360"/>
      <c r="H113" s="4360"/>
      <c r="I113" s="4360"/>
      <c r="J113" s="4360"/>
      <c r="K113" s="4360"/>
      <c r="L113" s="4361"/>
      <c r="M113" s="4360"/>
      <c r="N113" s="4360"/>
      <c r="O113" s="4360"/>
      <c r="P113" s="4360"/>
      <c r="Q113" s="4360"/>
      <c r="R113" s="4360"/>
      <c r="S113" s="4360"/>
      <c r="T113" s="4360"/>
      <c r="U113" s="4360"/>
      <c r="V113" s="4360"/>
      <c r="W113" s="4360"/>
    </row>
    <row r="114" spans="2:23" s="4273" customFormat="1">
      <c r="B114" s="4360"/>
      <c r="C114" s="4360"/>
      <c r="D114" s="4360"/>
      <c r="E114" s="4360"/>
      <c r="F114" s="4360"/>
      <c r="G114" s="4360"/>
      <c r="H114" s="4360"/>
      <c r="I114" s="4360"/>
      <c r="J114" s="4360"/>
      <c r="K114" s="4360"/>
      <c r="L114" s="4361"/>
      <c r="M114" s="4360"/>
      <c r="N114" s="4360"/>
      <c r="O114" s="4360"/>
      <c r="P114" s="4360"/>
      <c r="Q114" s="4360"/>
      <c r="R114" s="4360"/>
      <c r="S114" s="4360"/>
      <c r="T114" s="4360"/>
      <c r="U114" s="4360"/>
      <c r="V114" s="4360"/>
      <c r="W114" s="4360"/>
    </row>
    <row r="115" spans="2:23" s="4273" customFormat="1">
      <c r="B115" s="4360"/>
      <c r="C115" s="4360"/>
      <c r="D115" s="4360"/>
      <c r="E115" s="4360"/>
      <c r="F115" s="4360"/>
      <c r="G115" s="4360"/>
      <c r="H115" s="4360"/>
      <c r="I115" s="4360"/>
      <c r="J115" s="4360"/>
      <c r="K115" s="4360"/>
      <c r="L115" s="4361"/>
      <c r="M115" s="4360"/>
      <c r="N115" s="4360"/>
      <c r="O115" s="4360"/>
      <c r="P115" s="4360"/>
      <c r="Q115" s="4360"/>
      <c r="R115" s="4360"/>
      <c r="S115" s="4360"/>
      <c r="T115" s="4360"/>
      <c r="U115" s="4360"/>
      <c r="V115" s="4360"/>
      <c r="W115" s="4360"/>
    </row>
    <row r="116" spans="2:23" s="4273" customFormat="1">
      <c r="B116" s="4360"/>
      <c r="C116" s="4360"/>
      <c r="D116" s="4360"/>
      <c r="E116" s="4360"/>
      <c r="F116" s="4360"/>
      <c r="G116" s="4360"/>
      <c r="H116" s="4360"/>
      <c r="I116" s="4360"/>
      <c r="J116" s="4360"/>
      <c r="K116" s="4360"/>
      <c r="L116" s="4361"/>
      <c r="M116" s="4360"/>
      <c r="N116" s="4360"/>
      <c r="O116" s="4360"/>
      <c r="P116" s="4360"/>
      <c r="Q116" s="4360"/>
      <c r="R116" s="4360"/>
      <c r="S116" s="4360"/>
      <c r="T116" s="4360"/>
      <c r="U116" s="4360"/>
      <c r="V116" s="4360"/>
      <c r="W116" s="4360"/>
    </row>
    <row r="117" spans="2:23" s="4273" customFormat="1">
      <c r="B117" s="4360"/>
      <c r="C117" s="4360"/>
      <c r="D117" s="4360"/>
      <c r="E117" s="4360"/>
      <c r="F117" s="4360"/>
      <c r="G117" s="4360"/>
      <c r="H117" s="4360"/>
      <c r="I117" s="4360"/>
      <c r="J117" s="4360"/>
      <c r="K117" s="4360"/>
      <c r="L117" s="4361"/>
      <c r="M117" s="4360"/>
      <c r="N117" s="4360"/>
      <c r="O117" s="4360"/>
      <c r="P117" s="4360"/>
      <c r="Q117" s="4360"/>
      <c r="R117" s="4360"/>
      <c r="S117" s="4360"/>
      <c r="T117" s="4360"/>
      <c r="U117" s="4360"/>
      <c r="V117" s="4360"/>
      <c r="W117" s="4360"/>
    </row>
    <row r="118" spans="2:23" s="4273" customFormat="1">
      <c r="B118" s="4360"/>
      <c r="C118" s="4360"/>
      <c r="D118" s="4360"/>
      <c r="E118" s="4360"/>
      <c r="F118" s="4360"/>
      <c r="G118" s="4360"/>
      <c r="H118" s="4360"/>
      <c r="I118" s="4360"/>
      <c r="J118" s="4360"/>
      <c r="K118" s="4360"/>
      <c r="L118" s="4361"/>
      <c r="M118" s="4360"/>
      <c r="N118" s="4360"/>
      <c r="O118" s="4360"/>
      <c r="P118" s="4360"/>
      <c r="Q118" s="4360"/>
      <c r="R118" s="4360"/>
      <c r="S118" s="4360"/>
      <c r="T118" s="4360"/>
      <c r="U118" s="4360"/>
      <c r="V118" s="4360"/>
      <c r="W118" s="4360"/>
    </row>
    <row r="119" spans="2:23" s="4273" customFormat="1">
      <c r="B119" s="4360"/>
      <c r="C119" s="4360"/>
      <c r="D119" s="4360"/>
      <c r="E119" s="4360"/>
      <c r="F119" s="4360"/>
      <c r="G119" s="4360"/>
      <c r="H119" s="4360"/>
      <c r="I119" s="4360"/>
      <c r="J119" s="4360"/>
      <c r="K119" s="4360"/>
      <c r="L119" s="4361"/>
      <c r="M119" s="4360"/>
      <c r="N119" s="4360"/>
      <c r="O119" s="4360"/>
      <c r="P119" s="4360"/>
      <c r="Q119" s="4360"/>
      <c r="R119" s="4360"/>
      <c r="S119" s="4360"/>
      <c r="T119" s="4360"/>
      <c r="U119" s="4360"/>
      <c r="V119" s="4360"/>
      <c r="W119" s="4360"/>
    </row>
    <row r="120" spans="2:23" s="4273" customFormat="1">
      <c r="B120" s="4360"/>
      <c r="C120" s="4360"/>
      <c r="D120" s="4360"/>
      <c r="E120" s="4360"/>
      <c r="F120" s="4360"/>
      <c r="G120" s="4360"/>
      <c r="H120" s="4360"/>
      <c r="I120" s="4360"/>
      <c r="J120" s="4360"/>
      <c r="K120" s="4360"/>
      <c r="L120" s="4361"/>
      <c r="M120" s="4360"/>
      <c r="N120" s="4360"/>
      <c r="O120" s="4360"/>
      <c r="P120" s="4360"/>
      <c r="Q120" s="4360"/>
      <c r="R120" s="4360"/>
      <c r="S120" s="4360"/>
      <c r="T120" s="4360"/>
      <c r="U120" s="4360"/>
      <c r="V120" s="4360"/>
      <c r="W120" s="4360"/>
    </row>
    <row r="121" spans="2:23" s="4273" customFormat="1">
      <c r="B121" s="4360"/>
      <c r="C121" s="4360"/>
      <c r="D121" s="4360"/>
      <c r="E121" s="4360"/>
      <c r="F121" s="4360"/>
      <c r="G121" s="4360"/>
      <c r="H121" s="4360"/>
      <c r="I121" s="4360"/>
      <c r="J121" s="4360"/>
      <c r="K121" s="4360"/>
      <c r="L121" s="4361"/>
      <c r="M121" s="4360"/>
      <c r="N121" s="4360"/>
      <c r="O121" s="4360"/>
      <c r="P121" s="4360"/>
      <c r="Q121" s="4360"/>
      <c r="R121" s="4360"/>
      <c r="S121" s="4360"/>
      <c r="T121" s="4360"/>
      <c r="U121" s="4360"/>
      <c r="V121" s="4360"/>
      <c r="W121" s="4360"/>
    </row>
    <row r="122" spans="2:23" s="4273" customFormat="1">
      <c r="B122" s="4360"/>
      <c r="C122" s="4360"/>
      <c r="D122" s="4360"/>
      <c r="E122" s="4360"/>
      <c r="F122" s="4360"/>
      <c r="G122" s="4360"/>
      <c r="H122" s="4360"/>
      <c r="I122" s="4360"/>
      <c r="J122" s="4360"/>
      <c r="K122" s="4360"/>
      <c r="L122" s="4361"/>
      <c r="M122" s="4360"/>
      <c r="N122" s="4360"/>
      <c r="O122" s="4360"/>
      <c r="P122" s="4360"/>
      <c r="Q122" s="4360"/>
      <c r="R122" s="4360"/>
      <c r="S122" s="4360"/>
      <c r="T122" s="4360"/>
      <c r="U122" s="4360"/>
      <c r="V122" s="4360"/>
      <c r="W122" s="4360"/>
    </row>
    <row r="123" spans="2:23" s="4273" customFormat="1">
      <c r="B123" s="4360"/>
      <c r="C123" s="4360"/>
      <c r="D123" s="4360"/>
      <c r="E123" s="4360"/>
      <c r="F123" s="4360"/>
      <c r="G123" s="4360"/>
      <c r="H123" s="4360"/>
      <c r="I123" s="4360"/>
      <c r="J123" s="4360"/>
      <c r="K123" s="4360"/>
      <c r="L123" s="4361"/>
      <c r="M123" s="4360"/>
      <c r="N123" s="4360"/>
      <c r="O123" s="4360"/>
      <c r="P123" s="4360"/>
      <c r="Q123" s="4360"/>
      <c r="R123" s="4360"/>
      <c r="S123" s="4360"/>
      <c r="T123" s="4360"/>
      <c r="U123" s="4360"/>
      <c r="V123" s="4360"/>
      <c r="W123" s="4360"/>
    </row>
    <row r="124" spans="2:23" s="4273" customFormat="1">
      <c r="B124" s="4360"/>
      <c r="C124" s="4360"/>
      <c r="D124" s="4360"/>
      <c r="E124" s="4360"/>
      <c r="F124" s="4360"/>
      <c r="G124" s="4360"/>
      <c r="H124" s="4360"/>
      <c r="I124" s="4360"/>
      <c r="J124" s="4360"/>
      <c r="K124" s="4360"/>
      <c r="L124" s="4361"/>
      <c r="M124" s="4360"/>
      <c r="N124" s="4360"/>
      <c r="O124" s="4360"/>
      <c r="P124" s="4360"/>
      <c r="Q124" s="4360"/>
      <c r="R124" s="4360"/>
      <c r="S124" s="4360"/>
      <c r="T124" s="4360"/>
      <c r="U124" s="4360"/>
      <c r="V124" s="4360"/>
      <c r="W124" s="4360"/>
    </row>
    <row r="125" spans="2:23" s="4273" customFormat="1">
      <c r="B125" s="4360"/>
      <c r="C125" s="4360"/>
      <c r="D125" s="4360"/>
      <c r="E125" s="4360"/>
      <c r="F125" s="4360"/>
      <c r="G125" s="4360"/>
      <c r="H125" s="4360"/>
      <c r="I125" s="4360"/>
      <c r="J125" s="4360"/>
      <c r="K125" s="4360"/>
      <c r="L125" s="4361"/>
      <c r="M125" s="4360"/>
      <c r="N125" s="4360"/>
      <c r="O125" s="4360"/>
      <c r="P125" s="4360"/>
      <c r="Q125" s="4360"/>
      <c r="R125" s="4360"/>
      <c r="S125" s="4360"/>
      <c r="T125" s="4360"/>
      <c r="U125" s="4360"/>
      <c r="V125" s="4360"/>
      <c r="W125" s="4360"/>
    </row>
    <row r="126" spans="2:23" s="4273" customFormat="1">
      <c r="B126" s="4360"/>
      <c r="C126" s="4360"/>
      <c r="D126" s="4360"/>
      <c r="E126" s="4360"/>
      <c r="F126" s="4360"/>
      <c r="G126" s="4360"/>
      <c r="H126" s="4360"/>
      <c r="I126" s="4360"/>
      <c r="J126" s="4360"/>
      <c r="K126" s="4360"/>
      <c r="L126" s="4361"/>
      <c r="M126" s="4360"/>
      <c r="N126" s="4360"/>
      <c r="O126" s="4360"/>
      <c r="P126" s="4360"/>
      <c r="Q126" s="4360"/>
      <c r="R126" s="4360"/>
      <c r="S126" s="4360"/>
      <c r="T126" s="4360"/>
      <c r="U126" s="4360"/>
      <c r="V126" s="4360"/>
      <c r="W126" s="4360"/>
    </row>
    <row r="127" spans="2:23" s="4273" customFormat="1">
      <c r="B127" s="4360"/>
      <c r="C127" s="4360"/>
      <c r="D127" s="4360"/>
      <c r="E127" s="4360"/>
      <c r="F127" s="4360"/>
      <c r="G127" s="4360"/>
      <c r="H127" s="4360"/>
      <c r="I127" s="4360"/>
      <c r="J127" s="4360"/>
      <c r="K127" s="4360"/>
      <c r="L127" s="4361"/>
      <c r="M127" s="4360"/>
      <c r="N127" s="4360"/>
      <c r="O127" s="4360"/>
      <c r="P127" s="4360"/>
      <c r="Q127" s="4360"/>
      <c r="R127" s="4360"/>
      <c r="S127" s="4360"/>
      <c r="T127" s="4360"/>
      <c r="U127" s="4360"/>
      <c r="V127" s="4360"/>
      <c r="W127" s="4360"/>
    </row>
    <row r="128" spans="2:23" s="4273" customFormat="1">
      <c r="B128" s="4360"/>
      <c r="C128" s="4360"/>
      <c r="D128" s="4360"/>
      <c r="E128" s="4360"/>
      <c r="F128" s="4360"/>
      <c r="G128" s="4360"/>
      <c r="H128" s="4360"/>
      <c r="I128" s="4360"/>
      <c r="J128" s="4360"/>
      <c r="K128" s="4360"/>
      <c r="L128" s="4361"/>
      <c r="M128" s="4360"/>
      <c r="N128" s="4360"/>
      <c r="O128" s="4360"/>
      <c r="P128" s="4360"/>
      <c r="Q128" s="4360"/>
      <c r="R128" s="4360"/>
      <c r="S128" s="4360"/>
      <c r="T128" s="4360"/>
      <c r="U128" s="4360"/>
      <c r="V128" s="4360"/>
      <c r="W128" s="4360"/>
    </row>
    <row r="129" spans="2:23" s="4273" customFormat="1">
      <c r="B129" s="4360"/>
      <c r="C129" s="4360"/>
      <c r="D129" s="4360"/>
      <c r="E129" s="4360"/>
      <c r="F129" s="4360"/>
      <c r="G129" s="4360"/>
      <c r="H129" s="4360"/>
      <c r="I129" s="4360"/>
      <c r="J129" s="4360"/>
      <c r="K129" s="4360"/>
      <c r="L129" s="4361"/>
      <c r="M129" s="4360"/>
      <c r="N129" s="4360"/>
      <c r="O129" s="4360"/>
      <c r="P129" s="4360"/>
      <c r="Q129" s="4360"/>
      <c r="R129" s="4360"/>
      <c r="S129" s="4360"/>
      <c r="T129" s="4360"/>
      <c r="U129" s="4360"/>
      <c r="V129" s="4360"/>
      <c r="W129" s="4360"/>
    </row>
    <row r="130" spans="2:23" s="4273" customFormat="1">
      <c r="B130" s="4360"/>
      <c r="C130" s="4360"/>
      <c r="D130" s="4360"/>
      <c r="E130" s="4360"/>
      <c r="F130" s="4360"/>
      <c r="G130" s="4360"/>
      <c r="H130" s="4360"/>
      <c r="I130" s="4360"/>
      <c r="J130" s="4360"/>
      <c r="K130" s="4360"/>
      <c r="L130" s="4361"/>
      <c r="M130" s="4360"/>
      <c r="N130" s="4360"/>
      <c r="O130" s="4360"/>
      <c r="P130" s="4360"/>
      <c r="Q130" s="4360"/>
      <c r="R130" s="4360"/>
      <c r="S130" s="4360"/>
      <c r="T130" s="4360"/>
      <c r="U130" s="4360"/>
      <c r="V130" s="4360"/>
      <c r="W130" s="4360"/>
    </row>
    <row r="131" spans="2:23" s="4273" customFormat="1">
      <c r="B131" s="4360"/>
      <c r="C131" s="4360"/>
      <c r="D131" s="4360"/>
      <c r="E131" s="4360"/>
      <c r="F131" s="4360"/>
      <c r="G131" s="4360"/>
      <c r="H131" s="4360"/>
      <c r="I131" s="4360"/>
      <c r="J131" s="4360"/>
      <c r="K131" s="4360"/>
      <c r="L131" s="4361"/>
      <c r="M131" s="4360"/>
      <c r="N131" s="4360"/>
      <c r="O131" s="4360"/>
      <c r="P131" s="4360"/>
      <c r="Q131" s="4360"/>
      <c r="R131" s="4360"/>
      <c r="S131" s="4360"/>
      <c r="T131" s="4360"/>
      <c r="U131" s="4360"/>
      <c r="V131" s="4360"/>
      <c r="W131" s="4360"/>
    </row>
    <row r="132" spans="2:23" s="4273" customFormat="1">
      <c r="B132" s="4360"/>
      <c r="C132" s="4360"/>
      <c r="D132" s="4360"/>
      <c r="E132" s="4360"/>
      <c r="F132" s="4360"/>
      <c r="G132" s="4360"/>
      <c r="H132" s="4360"/>
      <c r="I132" s="4360"/>
      <c r="J132" s="4360"/>
      <c r="K132" s="4360"/>
      <c r="L132" s="4361"/>
      <c r="M132" s="4360"/>
      <c r="N132" s="4360"/>
      <c r="O132" s="4360"/>
      <c r="P132" s="4360"/>
      <c r="Q132" s="4360"/>
      <c r="R132" s="4360"/>
      <c r="S132" s="4360"/>
      <c r="T132" s="4360"/>
      <c r="U132" s="4360"/>
      <c r="V132" s="4360"/>
      <c r="W132" s="4360"/>
    </row>
    <row r="133" spans="2:23" s="4273" customFormat="1">
      <c r="B133" s="4360"/>
      <c r="C133" s="4360"/>
      <c r="D133" s="4360"/>
      <c r="E133" s="4360"/>
      <c r="F133" s="4360"/>
      <c r="G133" s="4360"/>
      <c r="H133" s="4360"/>
      <c r="I133" s="4360"/>
      <c r="J133" s="4360"/>
      <c r="K133" s="4360"/>
      <c r="L133" s="4361"/>
      <c r="M133" s="4360"/>
      <c r="N133" s="4360"/>
      <c r="O133" s="4360"/>
      <c r="P133" s="4360"/>
      <c r="Q133" s="4360"/>
      <c r="R133" s="4360"/>
      <c r="S133" s="4360"/>
      <c r="T133" s="4360"/>
      <c r="U133" s="4360"/>
      <c r="V133" s="4360"/>
      <c r="W133" s="4360"/>
    </row>
    <row r="134" spans="2:23" s="4273" customFormat="1">
      <c r="B134" s="4360"/>
      <c r="C134" s="4360"/>
      <c r="D134" s="4360"/>
      <c r="E134" s="4360"/>
      <c r="F134" s="4360"/>
      <c r="G134" s="4360"/>
      <c r="H134" s="4360"/>
      <c r="I134" s="4360"/>
      <c r="J134" s="4360"/>
      <c r="K134" s="4360"/>
      <c r="L134" s="4361"/>
      <c r="M134" s="4360"/>
      <c r="N134" s="4360"/>
      <c r="O134" s="4360"/>
      <c r="P134" s="4360"/>
      <c r="Q134" s="4360"/>
      <c r="R134" s="4360"/>
      <c r="S134" s="4360"/>
      <c r="T134" s="4360"/>
      <c r="U134" s="4360"/>
      <c r="V134" s="4360"/>
      <c r="W134" s="4360"/>
    </row>
    <row r="135" spans="2:23" s="4273" customFormat="1">
      <c r="B135" s="4360"/>
      <c r="C135" s="4360"/>
      <c r="D135" s="4360"/>
      <c r="E135" s="4360"/>
      <c r="F135" s="4360"/>
      <c r="G135" s="4360"/>
      <c r="H135" s="4360"/>
      <c r="I135" s="4360"/>
      <c r="J135" s="4360"/>
      <c r="K135" s="4360"/>
      <c r="L135" s="4361"/>
      <c r="M135" s="4360"/>
      <c r="N135" s="4360"/>
      <c r="O135" s="4360"/>
      <c r="P135" s="4360"/>
      <c r="Q135" s="4360"/>
      <c r="R135" s="4360"/>
      <c r="S135" s="4360"/>
      <c r="T135" s="4360"/>
      <c r="U135" s="4360"/>
      <c r="V135" s="4360"/>
      <c r="W135" s="4360"/>
    </row>
    <row r="136" spans="2:23" s="4273" customFormat="1">
      <c r="B136" s="4360"/>
      <c r="C136" s="4360"/>
      <c r="D136" s="4360"/>
      <c r="E136" s="4360"/>
      <c r="F136" s="4360"/>
      <c r="G136" s="4360"/>
      <c r="H136" s="4360"/>
      <c r="I136" s="4360"/>
      <c r="J136" s="4360"/>
      <c r="K136" s="4360"/>
      <c r="L136" s="4361"/>
      <c r="M136" s="4360"/>
      <c r="N136" s="4360"/>
      <c r="O136" s="4360"/>
      <c r="P136" s="4360"/>
      <c r="Q136" s="4360"/>
      <c r="R136" s="4360"/>
      <c r="S136" s="4360"/>
      <c r="T136" s="4360"/>
      <c r="U136" s="4360"/>
      <c r="V136" s="4360"/>
      <c r="W136" s="4360"/>
    </row>
    <row r="137" spans="2:23" s="4273" customFormat="1">
      <c r="B137" s="4360"/>
      <c r="C137" s="4360"/>
      <c r="D137" s="4360"/>
      <c r="E137" s="4360"/>
      <c r="F137" s="4360"/>
      <c r="G137" s="4360"/>
      <c r="H137" s="4360"/>
      <c r="I137" s="4360"/>
      <c r="J137" s="4360"/>
      <c r="K137" s="4360"/>
      <c r="L137" s="4361"/>
      <c r="M137" s="4360"/>
      <c r="N137" s="4360"/>
      <c r="O137" s="4360"/>
      <c r="P137" s="4360"/>
      <c r="Q137" s="4360"/>
      <c r="R137" s="4360"/>
      <c r="S137" s="4360"/>
      <c r="T137" s="4360"/>
      <c r="U137" s="4360"/>
      <c r="V137" s="4360"/>
      <c r="W137" s="4360"/>
    </row>
    <row r="138" spans="2:23" s="4273" customFormat="1">
      <c r="B138" s="4360"/>
      <c r="C138" s="4360"/>
      <c r="D138" s="4360"/>
      <c r="E138" s="4360"/>
      <c r="F138" s="4360"/>
      <c r="G138" s="4360"/>
      <c r="H138" s="4360"/>
      <c r="I138" s="4360"/>
      <c r="J138" s="4360"/>
      <c r="K138" s="4360"/>
      <c r="L138" s="4361"/>
      <c r="M138" s="4360"/>
      <c r="N138" s="4360"/>
      <c r="O138" s="4360"/>
      <c r="P138" s="4360"/>
      <c r="Q138" s="4360"/>
      <c r="R138" s="4360"/>
      <c r="S138" s="4360"/>
      <c r="T138" s="4360"/>
      <c r="U138" s="4360"/>
      <c r="V138" s="4360"/>
      <c r="W138" s="4360"/>
    </row>
    <row r="139" spans="2:23" s="4273" customFormat="1">
      <c r="B139" s="4360"/>
      <c r="C139" s="4360"/>
      <c r="D139" s="4360"/>
      <c r="E139" s="4360"/>
      <c r="F139" s="4360"/>
      <c r="G139" s="4360"/>
      <c r="H139" s="4360"/>
      <c r="I139" s="4360"/>
      <c r="J139" s="4360"/>
      <c r="K139" s="4360"/>
      <c r="L139" s="4361"/>
      <c r="M139" s="4360"/>
      <c r="N139" s="4360"/>
      <c r="O139" s="4360"/>
      <c r="P139" s="4360"/>
      <c r="Q139" s="4360"/>
      <c r="R139" s="4360"/>
      <c r="S139" s="4360"/>
      <c r="T139" s="4360"/>
      <c r="U139" s="4360"/>
      <c r="V139" s="4360"/>
      <c r="W139" s="4360"/>
    </row>
    <row r="140" spans="2:23" s="4273" customFormat="1">
      <c r="B140" s="4360"/>
      <c r="C140" s="4360"/>
      <c r="D140" s="4360"/>
      <c r="E140" s="4360"/>
      <c r="F140" s="4360"/>
      <c r="G140" s="4360"/>
      <c r="H140" s="4360"/>
      <c r="I140" s="4360"/>
      <c r="J140" s="4360"/>
      <c r="K140" s="4360"/>
      <c r="L140" s="4361"/>
      <c r="M140" s="4360"/>
      <c r="N140" s="4360"/>
      <c r="O140" s="4360"/>
      <c r="P140" s="4360"/>
      <c r="Q140" s="4360"/>
      <c r="R140" s="4360"/>
      <c r="S140" s="4360"/>
      <c r="T140" s="4360"/>
      <c r="U140" s="4360"/>
      <c r="V140" s="4360"/>
      <c r="W140" s="4360"/>
    </row>
    <row r="141" spans="2:23" s="4273" customFormat="1">
      <c r="B141" s="4360"/>
      <c r="C141" s="4360"/>
      <c r="D141" s="4360"/>
      <c r="E141" s="4360"/>
      <c r="F141" s="4360"/>
      <c r="G141" s="4360"/>
      <c r="H141" s="4360"/>
      <c r="I141" s="4360"/>
      <c r="J141" s="4360"/>
      <c r="K141" s="4360"/>
      <c r="L141" s="4361"/>
      <c r="M141" s="4360"/>
      <c r="N141" s="4360"/>
      <c r="O141" s="4360"/>
      <c r="P141" s="4360"/>
      <c r="Q141" s="4360"/>
      <c r="R141" s="4360"/>
      <c r="S141" s="4360"/>
      <c r="T141" s="4360"/>
      <c r="U141" s="4360"/>
      <c r="V141" s="4360"/>
      <c r="W141" s="4360"/>
    </row>
    <row r="142" spans="2:23" s="4273" customFormat="1">
      <c r="B142" s="4360"/>
      <c r="C142" s="4360"/>
      <c r="D142" s="4360"/>
      <c r="E142" s="4360"/>
      <c r="F142" s="4360"/>
      <c r="G142" s="4360"/>
      <c r="H142" s="4360"/>
      <c r="I142" s="4360"/>
      <c r="J142" s="4360"/>
      <c r="K142" s="4360"/>
      <c r="L142" s="4361"/>
      <c r="M142" s="4360"/>
      <c r="N142" s="4360"/>
      <c r="O142" s="4360"/>
      <c r="P142" s="4360"/>
      <c r="Q142" s="4360"/>
      <c r="R142" s="4360"/>
      <c r="S142" s="4360"/>
      <c r="T142" s="4360"/>
      <c r="U142" s="4360"/>
      <c r="V142" s="4360"/>
      <c r="W142" s="4360"/>
    </row>
    <row r="143" spans="2:23" s="4273" customFormat="1">
      <c r="B143" s="4360"/>
      <c r="C143" s="4360"/>
      <c r="D143" s="4360"/>
      <c r="E143" s="4360"/>
      <c r="F143" s="4360"/>
      <c r="G143" s="4360"/>
      <c r="H143" s="4360"/>
      <c r="I143" s="4360"/>
      <c r="J143" s="4360"/>
      <c r="K143" s="4360"/>
      <c r="L143" s="4361"/>
      <c r="M143" s="4360"/>
      <c r="N143" s="4360"/>
      <c r="O143" s="4360"/>
      <c r="P143" s="4360"/>
      <c r="Q143" s="4360"/>
      <c r="R143" s="4360"/>
      <c r="S143" s="4360"/>
      <c r="T143" s="4360"/>
      <c r="U143" s="4360"/>
      <c r="V143" s="4360"/>
      <c r="W143" s="4360"/>
    </row>
    <row r="144" spans="2:23" s="4273" customFormat="1">
      <c r="B144" s="4360"/>
      <c r="C144" s="4360"/>
      <c r="D144" s="4360"/>
      <c r="E144" s="4360"/>
      <c r="F144" s="4360"/>
      <c r="G144" s="4360"/>
      <c r="H144" s="4360"/>
      <c r="I144" s="4360"/>
      <c r="J144" s="4360"/>
      <c r="K144" s="4360"/>
      <c r="L144" s="4361"/>
      <c r="M144" s="4360"/>
      <c r="N144" s="4360"/>
      <c r="O144" s="4360"/>
      <c r="P144" s="4360"/>
      <c r="Q144" s="4360"/>
      <c r="R144" s="4360"/>
      <c r="S144" s="4360"/>
      <c r="T144" s="4360"/>
      <c r="U144" s="4360"/>
      <c r="V144" s="4360"/>
      <c r="W144" s="4360"/>
    </row>
    <row r="145" spans="2:23" s="4273" customFormat="1">
      <c r="B145" s="4360"/>
      <c r="C145" s="4360"/>
      <c r="D145" s="4360"/>
      <c r="E145" s="4360"/>
      <c r="F145" s="4360"/>
      <c r="G145" s="4360"/>
      <c r="H145" s="4360"/>
      <c r="I145" s="4360"/>
      <c r="J145" s="4360"/>
      <c r="K145" s="4360"/>
      <c r="L145" s="4361"/>
      <c r="M145" s="4360"/>
      <c r="N145" s="4360"/>
      <c r="O145" s="4360"/>
      <c r="P145" s="4360"/>
      <c r="Q145" s="4360"/>
      <c r="R145" s="4360"/>
      <c r="S145" s="4360"/>
      <c r="T145" s="4360"/>
      <c r="U145" s="4360"/>
      <c r="V145" s="4360"/>
      <c r="W145" s="4360"/>
    </row>
    <row r="146" spans="2:23" s="4273" customFormat="1">
      <c r="B146" s="4360"/>
      <c r="C146" s="4360"/>
      <c r="D146" s="4360"/>
      <c r="E146" s="4360"/>
      <c r="F146" s="4360"/>
      <c r="G146" s="4360"/>
      <c r="H146" s="4360"/>
      <c r="I146" s="4360"/>
      <c r="J146" s="4360"/>
      <c r="K146" s="4360"/>
      <c r="L146" s="4361"/>
      <c r="M146" s="4360"/>
      <c r="N146" s="4360"/>
      <c r="O146" s="4360"/>
      <c r="P146" s="4360"/>
      <c r="Q146" s="4360"/>
      <c r="R146" s="4360"/>
      <c r="S146" s="4360"/>
      <c r="T146" s="4360"/>
      <c r="U146" s="4360"/>
      <c r="V146" s="4360"/>
      <c r="W146" s="4360"/>
    </row>
    <row r="147" spans="2:23" s="4273" customFormat="1">
      <c r="B147" s="4360"/>
      <c r="C147" s="4360"/>
      <c r="D147" s="4360"/>
      <c r="E147" s="4360"/>
      <c r="F147" s="4360"/>
      <c r="G147" s="4360"/>
      <c r="H147" s="4360"/>
      <c r="I147" s="4360"/>
      <c r="J147" s="4360"/>
      <c r="K147" s="4360"/>
      <c r="L147" s="4361"/>
      <c r="M147" s="4360"/>
      <c r="N147" s="4360"/>
      <c r="O147" s="4360"/>
      <c r="P147" s="4360"/>
      <c r="Q147" s="4360"/>
      <c r="R147" s="4360"/>
      <c r="S147" s="4360"/>
      <c r="T147" s="4360"/>
      <c r="U147" s="4360"/>
      <c r="V147" s="4360"/>
      <c r="W147" s="4360"/>
    </row>
    <row r="148" spans="2:23" s="4273" customFormat="1">
      <c r="B148" s="4360"/>
      <c r="C148" s="4360"/>
      <c r="D148" s="4360"/>
      <c r="E148" s="4360"/>
      <c r="F148" s="4360"/>
      <c r="G148" s="4360"/>
      <c r="H148" s="4360"/>
      <c r="I148" s="4360"/>
      <c r="J148" s="4360"/>
      <c r="K148" s="4360"/>
      <c r="L148" s="4361"/>
      <c r="M148" s="4360"/>
      <c r="N148" s="4360"/>
      <c r="O148" s="4360"/>
      <c r="P148" s="4360"/>
      <c r="Q148" s="4360"/>
      <c r="R148" s="4360"/>
      <c r="S148" s="4360"/>
      <c r="T148" s="4360"/>
      <c r="U148" s="4360"/>
      <c r="V148" s="4360"/>
      <c r="W148" s="4360"/>
    </row>
    <row r="149" spans="2:23" s="4273" customFormat="1">
      <c r="B149" s="4360"/>
      <c r="C149" s="4360"/>
      <c r="D149" s="4360"/>
      <c r="E149" s="4360"/>
      <c r="F149" s="4360"/>
      <c r="G149" s="4360"/>
      <c r="H149" s="4360"/>
      <c r="I149" s="4360"/>
      <c r="J149" s="4360"/>
      <c r="K149" s="4360"/>
      <c r="L149" s="4361"/>
      <c r="M149" s="4360"/>
      <c r="N149" s="4360"/>
      <c r="O149" s="4360"/>
      <c r="P149" s="4360"/>
      <c r="Q149" s="4360"/>
      <c r="R149" s="4360"/>
      <c r="S149" s="4360"/>
      <c r="T149" s="4360"/>
      <c r="U149" s="4360"/>
      <c r="V149" s="4360"/>
      <c r="W149" s="4360"/>
    </row>
    <row r="150" spans="2:23" s="4273" customFormat="1">
      <c r="B150" s="4360"/>
      <c r="C150" s="4360"/>
      <c r="D150" s="4360"/>
      <c r="E150" s="4360"/>
      <c r="F150" s="4360"/>
      <c r="G150" s="4360"/>
      <c r="H150" s="4360"/>
      <c r="I150" s="4360"/>
      <c r="J150" s="4360"/>
      <c r="K150" s="4360"/>
      <c r="L150" s="4361"/>
      <c r="M150" s="4360"/>
      <c r="N150" s="4360"/>
      <c r="O150" s="4360"/>
      <c r="P150" s="4360"/>
      <c r="Q150" s="4360"/>
      <c r="R150" s="4360"/>
      <c r="S150" s="4360"/>
      <c r="T150" s="4360"/>
      <c r="U150" s="4360"/>
      <c r="V150" s="4360"/>
      <c r="W150" s="4360"/>
    </row>
    <row r="151" spans="2:23" s="4273" customFormat="1">
      <c r="B151" s="4360"/>
      <c r="C151" s="4360"/>
      <c r="D151" s="4360"/>
      <c r="E151" s="4360"/>
      <c r="F151" s="4360"/>
      <c r="G151" s="4360"/>
      <c r="H151" s="4360"/>
      <c r="I151" s="4360"/>
      <c r="J151" s="4360"/>
      <c r="K151" s="4360"/>
      <c r="L151" s="4361"/>
      <c r="M151" s="4360"/>
      <c r="N151" s="4360"/>
      <c r="O151" s="4360"/>
      <c r="P151" s="4360"/>
      <c r="Q151" s="4360"/>
      <c r="R151" s="4360"/>
      <c r="S151" s="4360"/>
      <c r="T151" s="4360"/>
      <c r="U151" s="4360"/>
      <c r="V151" s="4360"/>
      <c r="W151" s="4360"/>
    </row>
    <row r="152" spans="2:23" s="4273" customFormat="1">
      <c r="B152" s="4360"/>
      <c r="C152" s="4360"/>
      <c r="D152" s="4360"/>
      <c r="E152" s="4360"/>
      <c r="F152" s="4360"/>
      <c r="G152" s="4360"/>
      <c r="H152" s="4360"/>
      <c r="I152" s="4360"/>
      <c r="J152" s="4360"/>
      <c r="K152" s="4360"/>
      <c r="L152" s="4361"/>
      <c r="M152" s="4360"/>
      <c r="N152" s="4360"/>
      <c r="O152" s="4360"/>
      <c r="P152" s="4360"/>
      <c r="Q152" s="4360"/>
      <c r="R152" s="4360"/>
      <c r="S152" s="4360"/>
      <c r="T152" s="4360"/>
      <c r="U152" s="4360"/>
      <c r="V152" s="4360"/>
      <c r="W152" s="4360"/>
    </row>
    <row r="153" spans="2:23" s="4273" customFormat="1">
      <c r="B153" s="4360"/>
      <c r="C153" s="4360"/>
      <c r="D153" s="4360"/>
      <c r="E153" s="4360"/>
      <c r="F153" s="4360"/>
      <c r="G153" s="4360"/>
      <c r="H153" s="4360"/>
      <c r="I153" s="4360"/>
      <c r="J153" s="4360"/>
      <c r="K153" s="4360"/>
      <c r="L153" s="4361"/>
      <c r="M153" s="4360"/>
      <c r="N153" s="4360"/>
      <c r="O153" s="4360"/>
      <c r="P153" s="4360"/>
      <c r="Q153" s="4360"/>
      <c r="R153" s="4360"/>
      <c r="S153" s="4360"/>
      <c r="T153" s="4360"/>
      <c r="U153" s="4360"/>
      <c r="V153" s="4360"/>
      <c r="W153" s="4360"/>
    </row>
    <row r="154" spans="2:23" s="4273" customFormat="1">
      <c r="B154" s="4360"/>
      <c r="C154" s="4360"/>
      <c r="D154" s="4360"/>
      <c r="E154" s="4360"/>
      <c r="F154" s="4360"/>
      <c r="G154" s="4360"/>
      <c r="H154" s="4360"/>
      <c r="I154" s="4360"/>
      <c r="J154" s="4360"/>
      <c r="K154" s="4360"/>
      <c r="L154" s="4361"/>
      <c r="M154" s="4360"/>
      <c r="N154" s="4360"/>
      <c r="O154" s="4360"/>
      <c r="P154" s="4360"/>
      <c r="Q154" s="4360"/>
      <c r="R154" s="4360"/>
      <c r="S154" s="4360"/>
      <c r="T154" s="4360"/>
      <c r="U154" s="4360"/>
      <c r="V154" s="4360"/>
      <c r="W154" s="4360"/>
    </row>
    <row r="155" spans="2:23" s="4273" customFormat="1">
      <c r="B155" s="4360"/>
      <c r="C155" s="4360"/>
      <c r="D155" s="4360"/>
      <c r="E155" s="4360"/>
      <c r="F155" s="4360"/>
      <c r="G155" s="4360"/>
      <c r="H155" s="4360"/>
      <c r="I155" s="4360"/>
      <c r="J155" s="4360"/>
      <c r="K155" s="4360"/>
      <c r="L155" s="4361"/>
      <c r="M155" s="4360"/>
      <c r="N155" s="4360"/>
      <c r="O155" s="4360"/>
      <c r="P155" s="4360"/>
      <c r="Q155" s="4360"/>
      <c r="R155" s="4360"/>
      <c r="S155" s="4360"/>
      <c r="T155" s="4360"/>
      <c r="U155" s="4360"/>
      <c r="V155" s="4360"/>
      <c r="W155" s="4360"/>
    </row>
    <row r="156" spans="2:23" s="4273" customFormat="1">
      <c r="B156" s="4360"/>
      <c r="C156" s="4360"/>
      <c r="D156" s="4360"/>
      <c r="E156" s="4360"/>
      <c r="F156" s="4360"/>
      <c r="G156" s="4360"/>
      <c r="H156" s="4360"/>
      <c r="I156" s="4360"/>
      <c r="J156" s="4360"/>
      <c r="K156" s="4360"/>
      <c r="L156" s="4361"/>
      <c r="M156" s="4360"/>
      <c r="N156" s="4360"/>
      <c r="O156" s="4360"/>
      <c r="P156" s="4360"/>
      <c r="Q156" s="4360"/>
      <c r="R156" s="4360"/>
      <c r="S156" s="4360"/>
      <c r="T156" s="4360"/>
      <c r="U156" s="4360"/>
      <c r="V156" s="4360"/>
      <c r="W156" s="4360"/>
    </row>
    <row r="157" spans="2:23" s="4273" customFormat="1">
      <c r="B157" s="4360"/>
      <c r="C157" s="4360"/>
      <c r="D157" s="4360"/>
      <c r="E157" s="4360"/>
      <c r="F157" s="4360"/>
      <c r="G157" s="4360"/>
      <c r="H157" s="4360"/>
      <c r="I157" s="4360"/>
      <c r="J157" s="4360"/>
      <c r="K157" s="4360"/>
      <c r="L157" s="4361"/>
      <c r="M157" s="4360"/>
      <c r="N157" s="4360"/>
      <c r="O157" s="4360"/>
      <c r="P157" s="4360"/>
      <c r="Q157" s="4360"/>
      <c r="R157" s="4360"/>
      <c r="S157" s="4360"/>
      <c r="T157" s="4360"/>
      <c r="U157" s="4360"/>
      <c r="V157" s="4360"/>
      <c r="W157" s="4360"/>
    </row>
    <row r="158" spans="2:23" s="4273" customFormat="1">
      <c r="B158" s="4360"/>
      <c r="C158" s="4360"/>
      <c r="D158" s="4360"/>
      <c r="E158" s="4360"/>
      <c r="F158" s="4360"/>
      <c r="G158" s="4360"/>
      <c r="H158" s="4360"/>
      <c r="I158" s="4360"/>
      <c r="J158" s="4360"/>
      <c r="K158" s="4360"/>
      <c r="L158" s="4361"/>
      <c r="M158" s="4360"/>
      <c r="N158" s="4360"/>
      <c r="O158" s="4360"/>
      <c r="P158" s="4360"/>
      <c r="Q158" s="4360"/>
      <c r="R158" s="4360"/>
      <c r="S158" s="4360"/>
      <c r="T158" s="4360"/>
      <c r="U158" s="4360"/>
      <c r="V158" s="4360"/>
      <c r="W158" s="4360"/>
    </row>
    <row r="159" spans="2:23" s="4273" customFormat="1">
      <c r="B159" s="4360"/>
      <c r="C159" s="4360"/>
      <c r="D159" s="4360"/>
      <c r="E159" s="4360"/>
      <c r="F159" s="4360"/>
      <c r="G159" s="4360"/>
      <c r="H159" s="4360"/>
      <c r="I159" s="4360"/>
      <c r="J159" s="4360"/>
      <c r="K159" s="4360"/>
      <c r="L159" s="4361"/>
      <c r="M159" s="4360"/>
      <c r="N159" s="4360"/>
      <c r="O159" s="4360"/>
      <c r="P159" s="4360"/>
      <c r="Q159" s="4360"/>
      <c r="R159" s="4360"/>
      <c r="S159" s="4360"/>
      <c r="T159" s="4360"/>
      <c r="U159" s="4360"/>
      <c r="V159" s="4360"/>
      <c r="W159" s="4360"/>
    </row>
    <row r="160" spans="2:23" s="4273" customFormat="1">
      <c r="B160" s="4360"/>
      <c r="C160" s="4360"/>
      <c r="D160" s="4360"/>
      <c r="E160" s="4360"/>
      <c r="F160" s="4360"/>
      <c r="G160" s="4360"/>
      <c r="H160" s="4360"/>
      <c r="I160" s="4360"/>
      <c r="J160" s="4360"/>
      <c r="K160" s="4360"/>
      <c r="L160" s="4361"/>
      <c r="M160" s="4360"/>
      <c r="N160" s="4360"/>
      <c r="O160" s="4360"/>
      <c r="P160" s="4360"/>
      <c r="Q160" s="4360"/>
      <c r="R160" s="4360"/>
      <c r="S160" s="4360"/>
      <c r="T160" s="4360"/>
      <c r="U160" s="4360"/>
      <c r="V160" s="4360"/>
      <c r="W160" s="4360"/>
    </row>
    <row r="161" spans="2:23" s="4273" customFormat="1">
      <c r="B161" s="4360"/>
      <c r="C161" s="4360"/>
      <c r="D161" s="4360"/>
      <c r="E161" s="4360"/>
      <c r="F161" s="4360"/>
      <c r="G161" s="4360"/>
      <c r="H161" s="4360"/>
      <c r="I161" s="4360"/>
      <c r="J161" s="4360"/>
      <c r="K161" s="4360"/>
      <c r="L161" s="4361"/>
      <c r="M161" s="4360"/>
      <c r="N161" s="4360"/>
      <c r="O161" s="4360"/>
      <c r="P161" s="4360"/>
      <c r="Q161" s="4360"/>
      <c r="R161" s="4360"/>
      <c r="S161" s="4360"/>
      <c r="T161" s="4360"/>
      <c r="U161" s="4360"/>
      <c r="V161" s="4360"/>
      <c r="W161" s="4360"/>
    </row>
    <row r="162" spans="2:23" s="4273" customFormat="1">
      <c r="B162" s="4360"/>
      <c r="C162" s="4360"/>
      <c r="D162" s="4360"/>
      <c r="E162" s="4360"/>
      <c r="F162" s="4360"/>
      <c r="G162" s="4360"/>
      <c r="H162" s="4360"/>
      <c r="I162" s="4360"/>
      <c r="J162" s="4360"/>
      <c r="K162" s="4360"/>
      <c r="L162" s="4361"/>
      <c r="M162" s="4360"/>
      <c r="N162" s="4360"/>
      <c r="O162" s="4360"/>
      <c r="P162" s="4360"/>
      <c r="Q162" s="4360"/>
      <c r="R162" s="4360"/>
      <c r="S162" s="4360"/>
      <c r="T162" s="4360"/>
      <c r="U162" s="4360"/>
      <c r="V162" s="4360"/>
      <c r="W162" s="4360"/>
    </row>
    <row r="163" spans="2:23" s="4273" customFormat="1">
      <c r="B163" s="4360"/>
      <c r="C163" s="4360"/>
      <c r="D163" s="4360"/>
      <c r="E163" s="4360"/>
      <c r="F163" s="4360"/>
      <c r="G163" s="4360"/>
      <c r="H163" s="4360"/>
      <c r="I163" s="4360"/>
      <c r="J163" s="4360"/>
      <c r="K163" s="4360"/>
      <c r="L163" s="4361"/>
      <c r="M163" s="4360"/>
      <c r="N163" s="4360"/>
      <c r="O163" s="4360"/>
      <c r="P163" s="4360"/>
      <c r="Q163" s="4360"/>
      <c r="R163" s="4360"/>
      <c r="S163" s="4360"/>
      <c r="T163" s="4360"/>
      <c r="U163" s="4360"/>
      <c r="V163" s="4360"/>
      <c r="W163" s="4360"/>
    </row>
    <row r="164" spans="2:23" s="4273" customFormat="1">
      <c r="B164" s="4360"/>
      <c r="C164" s="4360"/>
      <c r="D164" s="4360"/>
      <c r="E164" s="4360"/>
      <c r="F164" s="4360"/>
      <c r="G164" s="4360"/>
      <c r="H164" s="4360"/>
      <c r="I164" s="4360"/>
      <c r="J164" s="4360"/>
      <c r="K164" s="4360"/>
      <c r="L164" s="4361"/>
      <c r="M164" s="4360"/>
      <c r="N164" s="4360"/>
      <c r="O164" s="4360"/>
      <c r="P164" s="4360"/>
      <c r="Q164" s="4360"/>
      <c r="R164" s="4360"/>
      <c r="S164" s="4360"/>
      <c r="T164" s="4360"/>
      <c r="U164" s="4360"/>
      <c r="V164" s="4360"/>
      <c r="W164" s="4360"/>
    </row>
    <row r="165" spans="2:23" s="4273" customFormat="1">
      <c r="B165" s="4360"/>
      <c r="C165" s="4360"/>
      <c r="D165" s="4360"/>
      <c r="E165" s="4360"/>
      <c r="F165" s="4360"/>
      <c r="G165" s="4360"/>
      <c r="H165" s="4360"/>
      <c r="I165" s="4360"/>
      <c r="J165" s="4360"/>
      <c r="K165" s="4360"/>
      <c r="L165" s="4361"/>
      <c r="M165" s="4360"/>
      <c r="N165" s="4360"/>
      <c r="O165" s="4360"/>
      <c r="P165" s="4360"/>
      <c r="Q165" s="4360"/>
      <c r="R165" s="4360"/>
      <c r="S165" s="4360"/>
      <c r="T165" s="4360"/>
      <c r="U165" s="4360"/>
      <c r="V165" s="4360"/>
      <c r="W165" s="4360"/>
    </row>
    <row r="166" spans="2:23" s="4273" customFormat="1">
      <c r="B166" s="4360"/>
      <c r="C166" s="4360"/>
      <c r="D166" s="4360"/>
      <c r="E166" s="4360"/>
      <c r="F166" s="4360"/>
      <c r="G166" s="4360"/>
      <c r="H166" s="4360"/>
      <c r="I166" s="4360"/>
      <c r="J166" s="4360"/>
      <c r="K166" s="4360"/>
      <c r="L166" s="4361"/>
      <c r="M166" s="4360"/>
      <c r="N166" s="4360"/>
      <c r="O166" s="4360"/>
      <c r="P166" s="4360"/>
      <c r="Q166" s="4360"/>
      <c r="R166" s="4360"/>
      <c r="S166" s="4360"/>
      <c r="T166" s="4360"/>
      <c r="U166" s="4360"/>
      <c r="V166" s="4360"/>
      <c r="W166" s="4360"/>
    </row>
    <row r="167" spans="2:23" s="4273" customFormat="1">
      <c r="B167" s="4360"/>
      <c r="C167" s="4360"/>
      <c r="D167" s="4360"/>
      <c r="E167" s="4360"/>
      <c r="F167" s="4360"/>
      <c r="G167" s="4360"/>
      <c r="H167" s="4360"/>
      <c r="I167" s="4360"/>
      <c r="J167" s="4360"/>
      <c r="K167" s="4360"/>
      <c r="L167" s="4361"/>
      <c r="M167" s="4360"/>
      <c r="N167" s="4360"/>
      <c r="O167" s="4360"/>
      <c r="P167" s="4360"/>
      <c r="Q167" s="4360"/>
      <c r="R167" s="4360"/>
      <c r="S167" s="4360"/>
      <c r="T167" s="4360"/>
      <c r="U167" s="4360"/>
      <c r="V167" s="4360"/>
      <c r="W167" s="4360"/>
    </row>
    <row r="168" spans="2:23" s="4273" customFormat="1">
      <c r="B168" s="4360"/>
      <c r="C168" s="4360"/>
      <c r="D168" s="4360"/>
      <c r="E168" s="4360"/>
      <c r="F168" s="4360"/>
      <c r="G168" s="4360"/>
      <c r="H168" s="4360"/>
      <c r="I168" s="4360"/>
      <c r="J168" s="4360"/>
      <c r="K168" s="4360"/>
      <c r="L168" s="4361"/>
      <c r="M168" s="4360"/>
      <c r="N168" s="4360"/>
      <c r="O168" s="4360"/>
      <c r="P168" s="4360"/>
      <c r="Q168" s="4360"/>
      <c r="R168" s="4360"/>
      <c r="S168" s="4360"/>
      <c r="T168" s="4360"/>
      <c r="U168" s="4360"/>
      <c r="V168" s="4360"/>
      <c r="W168" s="4360"/>
    </row>
    <row r="169" spans="2:23" s="4273" customFormat="1">
      <c r="B169" s="4360"/>
      <c r="C169" s="4360"/>
      <c r="D169" s="4360"/>
      <c r="E169" s="4360"/>
      <c r="F169" s="4360"/>
      <c r="G169" s="4360"/>
      <c r="H169" s="4360"/>
      <c r="I169" s="4360"/>
      <c r="J169" s="4360"/>
      <c r="K169" s="4360"/>
      <c r="L169" s="4361"/>
      <c r="M169" s="4360"/>
      <c r="N169" s="4360"/>
      <c r="O169" s="4360"/>
      <c r="P169" s="4360"/>
      <c r="Q169" s="4360"/>
      <c r="R169" s="4360"/>
      <c r="S169" s="4360"/>
      <c r="T169" s="4360"/>
      <c r="U169" s="4360"/>
      <c r="V169" s="4360"/>
      <c r="W169" s="4360"/>
    </row>
    <row r="170" spans="2:23" s="4273" customFormat="1">
      <c r="B170" s="4360"/>
      <c r="C170" s="4360"/>
      <c r="D170" s="4360"/>
      <c r="E170" s="4360"/>
      <c r="F170" s="4360"/>
      <c r="G170" s="4360"/>
      <c r="H170" s="4360"/>
      <c r="I170" s="4360"/>
      <c r="J170" s="4360"/>
      <c r="K170" s="4360"/>
      <c r="L170" s="4361"/>
      <c r="M170" s="4360"/>
      <c r="N170" s="4360"/>
      <c r="O170" s="4360"/>
      <c r="P170" s="4360"/>
      <c r="Q170" s="4360"/>
      <c r="R170" s="4360"/>
      <c r="S170" s="4360"/>
      <c r="T170" s="4360"/>
      <c r="U170" s="4360"/>
      <c r="V170" s="4360"/>
      <c r="W170" s="4360"/>
    </row>
    <row r="171" spans="2:23" s="4273" customFormat="1">
      <c r="B171" s="4360"/>
      <c r="C171" s="4360"/>
      <c r="D171" s="4360"/>
      <c r="E171" s="4360"/>
      <c r="F171" s="4360"/>
      <c r="G171" s="4360"/>
      <c r="H171" s="4360"/>
      <c r="I171" s="4360"/>
      <c r="J171" s="4360"/>
      <c r="K171" s="4360"/>
      <c r="L171" s="4361"/>
      <c r="M171" s="4360"/>
      <c r="N171" s="4360"/>
      <c r="O171" s="4360"/>
      <c r="P171" s="4360"/>
      <c r="Q171" s="4360"/>
      <c r="R171" s="4360"/>
      <c r="S171" s="4360"/>
      <c r="T171" s="4360"/>
      <c r="U171" s="4360"/>
      <c r="V171" s="4360"/>
      <c r="W171" s="4360"/>
    </row>
    <row r="172" spans="2:23" s="4273" customFormat="1">
      <c r="B172" s="4360"/>
      <c r="C172" s="4360"/>
      <c r="D172" s="4360"/>
      <c r="E172" s="4360"/>
      <c r="F172" s="4360"/>
      <c r="G172" s="4360"/>
      <c r="H172" s="4360"/>
      <c r="I172" s="4360"/>
      <c r="J172" s="4360"/>
      <c r="K172" s="4360"/>
      <c r="L172" s="4361"/>
      <c r="M172" s="4360"/>
      <c r="N172" s="4360"/>
      <c r="O172" s="4360"/>
      <c r="P172" s="4360"/>
      <c r="Q172" s="4360"/>
      <c r="R172" s="4360"/>
      <c r="S172" s="4360"/>
      <c r="T172" s="4360"/>
      <c r="U172" s="4360"/>
      <c r="V172" s="4360"/>
      <c r="W172" s="4360"/>
    </row>
    <row r="173" spans="2:23" s="4273" customFormat="1">
      <c r="B173" s="4360"/>
      <c r="C173" s="4360"/>
      <c r="D173" s="4360"/>
      <c r="E173" s="4360"/>
      <c r="F173" s="4360"/>
      <c r="G173" s="4360"/>
      <c r="H173" s="4360"/>
      <c r="I173" s="4360"/>
      <c r="J173" s="4360"/>
      <c r="K173" s="4360"/>
      <c r="L173" s="4361"/>
      <c r="M173" s="4360"/>
      <c r="N173" s="4360"/>
      <c r="O173" s="4360"/>
      <c r="P173" s="4360"/>
      <c r="Q173" s="4360"/>
      <c r="R173" s="4360"/>
      <c r="S173" s="4360"/>
      <c r="T173" s="4360"/>
      <c r="U173" s="4360"/>
      <c r="V173" s="4360"/>
      <c r="W173" s="4360"/>
    </row>
    <row r="174" spans="2:23" s="4273" customFormat="1">
      <c r="B174" s="4360"/>
      <c r="C174" s="4360"/>
      <c r="D174" s="4360"/>
      <c r="E174" s="4360"/>
      <c r="F174" s="4360"/>
      <c r="G174" s="4360"/>
      <c r="H174" s="4360"/>
      <c r="I174" s="4360"/>
      <c r="J174" s="4360"/>
      <c r="K174" s="4360"/>
      <c r="L174" s="4361"/>
      <c r="M174" s="4360"/>
      <c r="N174" s="4360"/>
      <c r="O174" s="4360"/>
      <c r="P174" s="4360"/>
      <c r="Q174" s="4360"/>
      <c r="R174" s="4360"/>
      <c r="S174" s="4360"/>
      <c r="T174" s="4360"/>
      <c r="U174" s="4360"/>
      <c r="V174" s="4360"/>
      <c r="W174" s="4360"/>
    </row>
    <row r="175" spans="2:23" s="4273" customFormat="1">
      <c r="B175" s="4360"/>
      <c r="C175" s="4360"/>
      <c r="D175" s="4360"/>
      <c r="E175" s="4360"/>
      <c r="F175" s="4360"/>
      <c r="G175" s="4360"/>
      <c r="H175" s="4360"/>
      <c r="I175" s="4360"/>
      <c r="J175" s="4360"/>
      <c r="K175" s="4360"/>
      <c r="L175" s="4361"/>
      <c r="M175" s="4360"/>
      <c r="N175" s="4360"/>
      <c r="O175" s="4360"/>
      <c r="P175" s="4360"/>
      <c r="Q175" s="4360"/>
      <c r="R175" s="4360"/>
      <c r="S175" s="4360"/>
      <c r="T175" s="4360"/>
      <c r="U175" s="4360"/>
      <c r="V175" s="4360"/>
      <c r="W175" s="4360"/>
    </row>
    <row r="176" spans="2:23" s="4273" customFormat="1">
      <c r="B176" s="4360"/>
      <c r="C176" s="4360"/>
      <c r="D176" s="4360"/>
      <c r="E176" s="4360"/>
      <c r="F176" s="4360"/>
      <c r="G176" s="4360"/>
      <c r="H176" s="4360"/>
      <c r="I176" s="4360"/>
      <c r="J176" s="4360"/>
      <c r="K176" s="4360"/>
      <c r="L176" s="4361"/>
      <c r="M176" s="4360"/>
      <c r="N176" s="4360"/>
      <c r="O176" s="4360"/>
      <c r="P176" s="4360"/>
      <c r="Q176" s="4360"/>
      <c r="R176" s="4360"/>
      <c r="S176" s="4360"/>
      <c r="T176" s="4360"/>
      <c r="U176" s="4360"/>
      <c r="V176" s="4360"/>
      <c r="W176" s="4360"/>
    </row>
    <row r="177" spans="2:23" s="4273" customFormat="1">
      <c r="B177" s="4360"/>
      <c r="C177" s="4360"/>
      <c r="D177" s="4360"/>
      <c r="E177" s="4360"/>
      <c r="F177" s="4360"/>
      <c r="G177" s="4360"/>
      <c r="H177" s="4360"/>
      <c r="I177" s="4360"/>
      <c r="J177" s="4360"/>
      <c r="K177" s="4360"/>
      <c r="L177" s="4361"/>
      <c r="M177" s="4360"/>
      <c r="N177" s="4360"/>
      <c r="O177" s="4360"/>
      <c r="P177" s="4360"/>
      <c r="Q177" s="4360"/>
      <c r="R177" s="4360"/>
      <c r="S177" s="4360"/>
      <c r="T177" s="4360"/>
      <c r="U177" s="4360"/>
      <c r="V177" s="4360"/>
      <c r="W177" s="4360"/>
    </row>
    <row r="178" spans="2:23" s="4273" customFormat="1">
      <c r="B178" s="4360"/>
      <c r="C178" s="4360"/>
      <c r="D178" s="4360"/>
      <c r="E178" s="4360"/>
      <c r="F178" s="4360"/>
      <c r="G178" s="4360"/>
      <c r="H178" s="4360"/>
      <c r="I178" s="4360"/>
      <c r="J178" s="4360"/>
      <c r="K178" s="4360"/>
      <c r="L178" s="4361"/>
      <c r="M178" s="4360"/>
      <c r="N178" s="4360"/>
      <c r="O178" s="4360"/>
      <c r="P178" s="4360"/>
      <c r="Q178" s="4360"/>
      <c r="R178" s="4360"/>
      <c r="S178" s="4360"/>
      <c r="T178" s="4360"/>
      <c r="U178" s="4360"/>
      <c r="V178" s="4360"/>
      <c r="W178" s="4360"/>
    </row>
    <row r="179" spans="2:23" s="4273" customFormat="1">
      <c r="B179" s="4360"/>
      <c r="C179" s="4360"/>
      <c r="D179" s="4360"/>
      <c r="E179" s="4360"/>
      <c r="F179" s="4360"/>
      <c r="G179" s="4360"/>
      <c r="H179" s="4360"/>
      <c r="I179" s="4360"/>
      <c r="J179" s="4360"/>
      <c r="K179" s="4360"/>
      <c r="L179" s="4361"/>
      <c r="M179" s="4360"/>
      <c r="N179" s="4360"/>
      <c r="O179" s="4360"/>
      <c r="P179" s="4360"/>
      <c r="Q179" s="4360"/>
      <c r="R179" s="4360"/>
      <c r="S179" s="4360"/>
      <c r="T179" s="4360"/>
      <c r="U179" s="4360"/>
      <c r="V179" s="4360"/>
      <c r="W179" s="4360"/>
    </row>
    <row r="180" spans="2:23" s="4273" customFormat="1">
      <c r="B180" s="4360"/>
      <c r="C180" s="4360"/>
      <c r="D180" s="4360"/>
      <c r="E180" s="4360"/>
      <c r="F180" s="4360"/>
      <c r="G180" s="4360"/>
      <c r="H180" s="4360"/>
      <c r="I180" s="4360"/>
      <c r="J180" s="4360"/>
      <c r="K180" s="4360"/>
      <c r="L180" s="4361"/>
      <c r="M180" s="4360"/>
      <c r="N180" s="4360"/>
      <c r="O180" s="4360"/>
      <c r="P180" s="4360"/>
      <c r="Q180" s="4360"/>
      <c r="R180" s="4360"/>
      <c r="S180" s="4360"/>
      <c r="T180" s="4360"/>
      <c r="U180" s="4360"/>
      <c r="V180" s="4360"/>
      <c r="W180" s="4360"/>
    </row>
    <row r="181" spans="2:23" s="4273" customFormat="1">
      <c r="B181" s="4360"/>
      <c r="C181" s="4360"/>
      <c r="D181" s="4360"/>
      <c r="E181" s="4360"/>
      <c r="F181" s="4360"/>
      <c r="G181" s="4360"/>
      <c r="H181" s="4360"/>
      <c r="I181" s="4360"/>
      <c r="J181" s="4360"/>
      <c r="K181" s="4360"/>
      <c r="L181" s="4361"/>
      <c r="M181" s="4360"/>
      <c r="N181" s="4360"/>
      <c r="O181" s="4360"/>
      <c r="P181" s="4360"/>
      <c r="Q181" s="4360"/>
      <c r="R181" s="4360"/>
      <c r="S181" s="4360"/>
      <c r="T181" s="4360"/>
      <c r="U181" s="4360"/>
      <c r="V181" s="4360"/>
      <c r="W181" s="4360"/>
    </row>
    <row r="182" spans="2:23" s="4273" customFormat="1">
      <c r="B182" s="4360"/>
      <c r="C182" s="4360"/>
      <c r="D182" s="4360"/>
      <c r="E182" s="4360"/>
      <c r="F182" s="4360"/>
      <c r="G182" s="4360"/>
      <c r="H182" s="4360"/>
      <c r="I182" s="4360"/>
      <c r="J182" s="4360"/>
      <c r="K182" s="4360"/>
      <c r="L182" s="4361"/>
      <c r="M182" s="4360"/>
      <c r="N182" s="4360"/>
      <c r="O182" s="4360"/>
      <c r="P182" s="4360"/>
      <c r="Q182" s="4360"/>
      <c r="R182" s="4360"/>
      <c r="S182" s="4360"/>
      <c r="T182" s="4360"/>
      <c r="U182" s="4360"/>
      <c r="V182" s="4360"/>
      <c r="W182" s="4360"/>
    </row>
    <row r="183" spans="2:23" s="4273" customFormat="1">
      <c r="B183" s="4360"/>
      <c r="C183" s="4360"/>
      <c r="D183" s="4360"/>
      <c r="E183" s="4360"/>
      <c r="F183" s="4360"/>
      <c r="G183" s="4360"/>
      <c r="H183" s="4360"/>
      <c r="I183" s="4360"/>
      <c r="J183" s="4360"/>
      <c r="K183" s="4360"/>
      <c r="L183" s="4361"/>
      <c r="M183" s="4360"/>
      <c r="N183" s="4360"/>
      <c r="O183" s="4360"/>
      <c r="P183" s="4360"/>
      <c r="Q183" s="4360"/>
      <c r="R183" s="4360"/>
      <c r="S183" s="4360"/>
      <c r="T183" s="4360"/>
      <c r="U183" s="4360"/>
      <c r="V183" s="4360"/>
      <c r="W183" s="4360"/>
    </row>
    <row r="184" spans="2:23" s="4273" customFormat="1">
      <c r="B184" s="4360"/>
      <c r="C184" s="4360"/>
      <c r="D184" s="4360"/>
      <c r="E184" s="4360"/>
      <c r="F184" s="4360"/>
      <c r="G184" s="4360"/>
      <c r="H184" s="4360"/>
      <c r="I184" s="4360"/>
      <c r="J184" s="4360"/>
      <c r="K184" s="4360"/>
      <c r="L184" s="4361"/>
      <c r="M184" s="4360"/>
      <c r="N184" s="4360"/>
      <c r="O184" s="4360"/>
      <c r="P184" s="4360"/>
      <c r="Q184" s="4360"/>
      <c r="R184" s="4360"/>
      <c r="S184" s="4360"/>
      <c r="T184" s="4360"/>
      <c r="U184" s="4360"/>
      <c r="V184" s="4360"/>
      <c r="W184" s="4360"/>
    </row>
    <row r="185" spans="2:23" s="4273" customFormat="1">
      <c r="B185" s="4360"/>
      <c r="C185" s="4360"/>
      <c r="D185" s="4360"/>
      <c r="E185" s="4360"/>
      <c r="F185" s="4360"/>
      <c r="G185" s="4360"/>
      <c r="H185" s="4360"/>
      <c r="I185" s="4360"/>
      <c r="J185" s="4360"/>
      <c r="K185" s="4360"/>
      <c r="L185" s="4361"/>
      <c r="M185" s="4360"/>
      <c r="N185" s="4360"/>
      <c r="O185" s="4360"/>
      <c r="P185" s="4360"/>
      <c r="Q185" s="4360"/>
      <c r="R185" s="4360"/>
      <c r="S185" s="4360"/>
      <c r="T185" s="4360"/>
      <c r="U185" s="4360"/>
      <c r="V185" s="4360"/>
      <c r="W185" s="4360"/>
    </row>
    <row r="186" spans="2:23" s="4273" customFormat="1">
      <c r="B186" s="4360"/>
      <c r="C186" s="4360"/>
      <c r="D186" s="4360"/>
      <c r="E186" s="4360"/>
      <c r="F186" s="4360"/>
      <c r="G186" s="4360"/>
      <c r="H186" s="4360"/>
      <c r="I186" s="4360"/>
      <c r="J186" s="4360"/>
      <c r="K186" s="4360"/>
      <c r="L186" s="4361"/>
      <c r="M186" s="4360"/>
      <c r="N186" s="4360"/>
      <c r="O186" s="4360"/>
      <c r="P186" s="4360"/>
      <c r="Q186" s="4360"/>
      <c r="R186" s="4360"/>
      <c r="S186" s="4360"/>
      <c r="T186" s="4360"/>
      <c r="U186" s="4360"/>
      <c r="V186" s="4360"/>
      <c r="W186" s="4360"/>
    </row>
    <row r="187" spans="2:23" s="4273" customFormat="1">
      <c r="B187" s="4360"/>
      <c r="C187" s="4360"/>
      <c r="D187" s="4360"/>
      <c r="E187" s="4360"/>
      <c r="F187" s="4360"/>
      <c r="G187" s="4360"/>
      <c r="H187" s="4360"/>
      <c r="I187" s="4360"/>
      <c r="J187" s="4360"/>
      <c r="K187" s="4360"/>
      <c r="L187" s="4361"/>
      <c r="M187" s="4360"/>
      <c r="N187" s="4360"/>
      <c r="O187" s="4360"/>
      <c r="P187" s="4360"/>
      <c r="Q187" s="4360"/>
      <c r="R187" s="4360"/>
      <c r="S187" s="4360"/>
      <c r="T187" s="4360"/>
      <c r="U187" s="4360"/>
      <c r="V187" s="4360"/>
      <c r="W187" s="4360"/>
    </row>
    <row r="188" spans="2:23" s="4273" customFormat="1">
      <c r="B188" s="4360"/>
      <c r="C188" s="4360"/>
      <c r="D188" s="4360"/>
      <c r="E188" s="4360"/>
      <c r="F188" s="4360"/>
      <c r="G188" s="4360"/>
      <c r="H188" s="4360"/>
      <c r="I188" s="4360"/>
      <c r="J188" s="4360"/>
      <c r="K188" s="4360"/>
      <c r="L188" s="4361"/>
      <c r="M188" s="4360"/>
      <c r="N188" s="4360"/>
      <c r="O188" s="4360"/>
      <c r="P188" s="4360"/>
      <c r="Q188" s="4360"/>
      <c r="R188" s="4360"/>
      <c r="S188" s="4360"/>
      <c r="T188" s="4360"/>
      <c r="U188" s="4360"/>
      <c r="V188" s="4360"/>
      <c r="W188" s="4360"/>
    </row>
    <row r="189" spans="2:23" s="4273" customFormat="1">
      <c r="B189" s="4360"/>
      <c r="C189" s="4360"/>
      <c r="D189" s="4360"/>
      <c r="E189" s="4360"/>
      <c r="F189" s="4360"/>
      <c r="G189" s="4360"/>
      <c r="H189" s="4360"/>
      <c r="I189" s="4360"/>
      <c r="J189" s="4360"/>
      <c r="K189" s="4360"/>
      <c r="L189" s="4361"/>
      <c r="M189" s="4360"/>
      <c r="N189" s="4360"/>
      <c r="O189" s="4360"/>
      <c r="P189" s="4360"/>
      <c r="Q189" s="4360"/>
      <c r="R189" s="4360"/>
      <c r="S189" s="4360"/>
      <c r="T189" s="4360"/>
      <c r="U189" s="4360"/>
      <c r="V189" s="4360"/>
      <c r="W189" s="4360"/>
    </row>
    <row r="190" spans="2:23" s="4273" customFormat="1">
      <c r="B190" s="4360"/>
      <c r="C190" s="4360"/>
      <c r="D190" s="4360"/>
      <c r="E190" s="4360"/>
      <c r="F190" s="4360"/>
      <c r="G190" s="4360"/>
      <c r="H190" s="4360"/>
      <c r="I190" s="4360"/>
      <c r="J190" s="4360"/>
      <c r="K190" s="4360"/>
      <c r="L190" s="4361"/>
      <c r="M190" s="4360"/>
      <c r="N190" s="4360"/>
      <c r="O190" s="4360"/>
      <c r="P190" s="4360"/>
      <c r="Q190" s="4360"/>
      <c r="R190" s="4360"/>
      <c r="S190" s="4360"/>
      <c r="T190" s="4360"/>
      <c r="U190" s="4360"/>
      <c r="V190" s="4360"/>
      <c r="W190" s="4360"/>
    </row>
    <row r="191" spans="2:23" s="4273" customFormat="1">
      <c r="B191" s="4360"/>
      <c r="C191" s="4360"/>
      <c r="D191" s="4360"/>
      <c r="E191" s="4360"/>
      <c r="F191" s="4360"/>
      <c r="G191" s="4360"/>
      <c r="H191" s="4360"/>
      <c r="I191" s="4360"/>
      <c r="J191" s="4360"/>
      <c r="K191" s="4360"/>
      <c r="L191" s="4361"/>
      <c r="M191" s="4360"/>
      <c r="N191" s="4360"/>
      <c r="O191" s="4360"/>
      <c r="P191" s="4360"/>
      <c r="Q191" s="4360"/>
      <c r="R191" s="4360"/>
      <c r="S191" s="4360"/>
      <c r="T191" s="4360"/>
      <c r="U191" s="4360"/>
      <c r="V191" s="4360"/>
      <c r="W191" s="4360"/>
    </row>
    <row r="192" spans="2:23" s="4273" customFormat="1">
      <c r="B192" s="4360"/>
      <c r="C192" s="4360"/>
      <c r="D192" s="4360"/>
      <c r="E192" s="4360"/>
      <c r="F192" s="4360"/>
      <c r="G192" s="4360"/>
      <c r="H192" s="4360"/>
      <c r="I192" s="4360"/>
      <c r="J192" s="4360"/>
      <c r="K192" s="4360"/>
      <c r="L192" s="4361"/>
      <c r="M192" s="4360"/>
      <c r="N192" s="4360"/>
      <c r="O192" s="4360"/>
      <c r="P192" s="4360"/>
      <c r="Q192" s="4360"/>
      <c r="R192" s="4360"/>
      <c r="S192" s="4360"/>
      <c r="T192" s="4360"/>
      <c r="U192" s="4360"/>
      <c r="V192" s="4360"/>
      <c r="W192" s="4360"/>
    </row>
    <row r="193" spans="2:23" s="4273" customFormat="1">
      <c r="B193" s="4360"/>
      <c r="C193" s="4360"/>
      <c r="D193" s="4360"/>
      <c r="E193" s="4360"/>
      <c r="F193" s="4360"/>
      <c r="G193" s="4360"/>
      <c r="H193" s="4360"/>
      <c r="I193" s="4360"/>
      <c r="J193" s="4360"/>
      <c r="K193" s="4360"/>
      <c r="L193" s="4361"/>
      <c r="M193" s="4360"/>
      <c r="N193" s="4360"/>
      <c r="O193" s="4360"/>
      <c r="P193" s="4360"/>
      <c r="Q193" s="4360"/>
      <c r="R193" s="4360"/>
      <c r="S193" s="4360"/>
      <c r="T193" s="4360"/>
      <c r="U193" s="4360"/>
      <c r="V193" s="4360"/>
      <c r="W193" s="4360"/>
    </row>
    <row r="194" spans="2:23" s="4273" customFormat="1">
      <c r="B194" s="4360"/>
      <c r="C194" s="4360"/>
      <c r="D194" s="4360"/>
      <c r="E194" s="4360"/>
      <c r="F194" s="4360"/>
      <c r="G194" s="4360"/>
      <c r="H194" s="4360"/>
      <c r="I194" s="4360"/>
      <c r="J194" s="4360"/>
      <c r="K194" s="4360"/>
      <c r="L194" s="4361"/>
      <c r="M194" s="4360"/>
      <c r="N194" s="4360"/>
      <c r="O194" s="4360"/>
      <c r="P194" s="4360"/>
      <c r="Q194" s="4360"/>
      <c r="R194" s="4360"/>
      <c r="S194" s="4360"/>
      <c r="T194" s="4360"/>
      <c r="U194" s="4360"/>
      <c r="V194" s="4360"/>
      <c r="W194" s="4360"/>
    </row>
    <row r="195" spans="2:23" s="4273" customFormat="1">
      <c r="B195" s="4360"/>
      <c r="C195" s="4360"/>
      <c r="D195" s="4360"/>
      <c r="E195" s="4360"/>
      <c r="F195" s="4360"/>
      <c r="G195" s="4360"/>
      <c r="H195" s="4360"/>
      <c r="I195" s="4360"/>
      <c r="J195" s="4360"/>
      <c r="K195" s="4360"/>
      <c r="L195" s="4361"/>
      <c r="M195" s="4360"/>
      <c r="N195" s="4360"/>
      <c r="O195" s="4360"/>
      <c r="P195" s="4360"/>
      <c r="Q195" s="4360"/>
      <c r="R195" s="4360"/>
      <c r="S195" s="4360"/>
      <c r="T195" s="4360"/>
      <c r="U195" s="4360"/>
      <c r="V195" s="4360"/>
      <c r="W195" s="4360"/>
    </row>
    <row r="196" spans="2:23" s="4273" customFormat="1">
      <c r="B196" s="4360"/>
      <c r="C196" s="4360"/>
      <c r="D196" s="4360"/>
      <c r="E196" s="4360"/>
      <c r="F196" s="4360"/>
      <c r="G196" s="4360"/>
      <c r="H196" s="4360"/>
      <c r="I196" s="4360"/>
      <c r="J196" s="4360"/>
      <c r="K196" s="4360"/>
      <c r="L196" s="4361"/>
      <c r="M196" s="4360"/>
      <c r="N196" s="4360"/>
      <c r="O196" s="4360"/>
      <c r="P196" s="4360"/>
      <c r="Q196" s="4360"/>
      <c r="R196" s="4360"/>
      <c r="S196" s="4360"/>
      <c r="T196" s="4360"/>
      <c r="U196" s="4360"/>
      <c r="V196" s="4360"/>
      <c r="W196" s="4360"/>
    </row>
    <row r="197" spans="2:23" s="4273" customFormat="1">
      <c r="B197" s="4360"/>
      <c r="C197" s="4360"/>
      <c r="D197" s="4360"/>
      <c r="E197" s="4360"/>
      <c r="F197" s="4360"/>
      <c r="G197" s="4360"/>
      <c r="H197" s="4360"/>
      <c r="I197" s="4360"/>
      <c r="J197" s="4360"/>
      <c r="K197" s="4360"/>
      <c r="L197" s="4361"/>
      <c r="M197" s="4360"/>
      <c r="N197" s="4360"/>
      <c r="O197" s="4360"/>
      <c r="P197" s="4360"/>
      <c r="Q197" s="4360"/>
      <c r="R197" s="4360"/>
      <c r="S197" s="4360"/>
      <c r="T197" s="4360"/>
      <c r="U197" s="4360"/>
      <c r="V197" s="4360"/>
      <c r="W197" s="4360"/>
    </row>
    <row r="198" spans="2:23" s="4273" customFormat="1">
      <c r="B198" s="4360"/>
      <c r="C198" s="4360"/>
      <c r="D198" s="4360"/>
      <c r="E198" s="4360"/>
      <c r="F198" s="4360"/>
      <c r="G198" s="4360"/>
      <c r="H198" s="4360"/>
      <c r="I198" s="4360"/>
      <c r="J198" s="4360"/>
      <c r="K198" s="4360"/>
      <c r="L198" s="4361"/>
      <c r="M198" s="4360"/>
      <c r="N198" s="4360"/>
      <c r="O198" s="4360"/>
      <c r="P198" s="4360"/>
      <c r="Q198" s="4360"/>
      <c r="R198" s="4360"/>
      <c r="S198" s="4360"/>
      <c r="T198" s="4360"/>
      <c r="U198" s="4360"/>
      <c r="V198" s="4360"/>
      <c r="W198" s="4360"/>
    </row>
    <row r="199" spans="2:23" s="4273" customFormat="1">
      <c r="B199" s="4360"/>
      <c r="C199" s="4360"/>
      <c r="D199" s="4360"/>
      <c r="E199" s="4360"/>
      <c r="F199" s="4360"/>
      <c r="G199" s="4360"/>
      <c r="H199" s="4360"/>
      <c r="I199" s="4360"/>
      <c r="J199" s="4360"/>
      <c r="K199" s="4360"/>
      <c r="L199" s="4361"/>
      <c r="M199" s="4360"/>
      <c r="N199" s="4360"/>
      <c r="O199" s="4360"/>
      <c r="P199" s="4360"/>
      <c r="Q199" s="4360"/>
      <c r="R199" s="4360"/>
      <c r="S199" s="4360"/>
      <c r="T199" s="4360"/>
      <c r="U199" s="4360"/>
      <c r="V199" s="4360"/>
      <c r="W199" s="4360"/>
    </row>
    <row r="200" spans="2:23" s="4273" customFormat="1">
      <c r="B200" s="4360"/>
      <c r="C200" s="4360"/>
      <c r="D200" s="4360"/>
      <c r="E200" s="4360"/>
      <c r="F200" s="4360"/>
      <c r="G200" s="4360"/>
      <c r="H200" s="4360"/>
      <c r="I200" s="4360"/>
      <c r="J200" s="4360"/>
      <c r="K200" s="4360"/>
      <c r="L200" s="4361"/>
      <c r="M200" s="4360"/>
      <c r="N200" s="4360"/>
      <c r="O200" s="4360"/>
      <c r="P200" s="4360"/>
      <c r="Q200" s="4360"/>
      <c r="R200" s="4360"/>
      <c r="S200" s="4360"/>
      <c r="T200" s="4360"/>
      <c r="U200" s="4360"/>
      <c r="V200" s="4360"/>
      <c r="W200" s="4360"/>
    </row>
    <row r="201" spans="2:23" s="4273" customFormat="1">
      <c r="B201" s="4360"/>
      <c r="C201" s="4360"/>
      <c r="D201" s="4360"/>
      <c r="E201" s="4360"/>
      <c r="F201" s="4360"/>
      <c r="G201" s="4360"/>
      <c r="H201" s="4360"/>
      <c r="I201" s="4360"/>
      <c r="J201" s="4360"/>
      <c r="K201" s="4360"/>
      <c r="L201" s="4361"/>
      <c r="M201" s="4360"/>
      <c r="N201" s="4360"/>
      <c r="O201" s="4360"/>
      <c r="P201" s="4360"/>
      <c r="Q201" s="4360"/>
      <c r="R201" s="4360"/>
      <c r="S201" s="4360"/>
      <c r="T201" s="4360"/>
      <c r="U201" s="4360"/>
      <c r="V201" s="4360"/>
      <c r="W201" s="4360"/>
    </row>
    <row r="202" spans="2:23" s="4273" customFormat="1">
      <c r="B202" s="4360"/>
      <c r="C202" s="4360"/>
      <c r="D202" s="4360"/>
      <c r="E202" s="4360"/>
      <c r="F202" s="4360"/>
      <c r="G202" s="4360"/>
      <c r="H202" s="4360"/>
      <c r="I202" s="4360"/>
      <c r="J202" s="4360"/>
      <c r="K202" s="4360"/>
      <c r="L202" s="4361"/>
      <c r="M202" s="4360"/>
      <c r="N202" s="4360"/>
      <c r="O202" s="4360"/>
      <c r="P202" s="4360"/>
      <c r="Q202" s="4360"/>
      <c r="R202" s="4360"/>
      <c r="S202" s="4360"/>
      <c r="T202" s="4360"/>
      <c r="U202" s="4360"/>
      <c r="V202" s="4360"/>
      <c r="W202" s="4360"/>
    </row>
    <row r="203" spans="2:23" s="4273" customFormat="1">
      <c r="B203" s="4360"/>
      <c r="C203" s="4360"/>
      <c r="D203" s="4360"/>
      <c r="E203" s="4360"/>
      <c r="F203" s="4360"/>
      <c r="G203" s="4360"/>
      <c r="H203" s="4360"/>
      <c r="I203" s="4360"/>
      <c r="J203" s="4360"/>
      <c r="K203" s="4360"/>
      <c r="L203" s="4361"/>
      <c r="M203" s="4360"/>
      <c r="N203" s="4360"/>
      <c r="O203" s="4360"/>
      <c r="P203" s="4360"/>
      <c r="Q203" s="4360"/>
      <c r="R203" s="4360"/>
      <c r="S203" s="4360"/>
      <c r="T203" s="4360"/>
      <c r="U203" s="4360"/>
      <c r="V203" s="4360"/>
      <c r="W203" s="4360"/>
    </row>
    <row r="204" spans="2:23" s="4273" customFormat="1">
      <c r="B204" s="4360"/>
      <c r="C204" s="4360"/>
      <c r="D204" s="4360"/>
      <c r="E204" s="4360"/>
      <c r="F204" s="4360"/>
      <c r="G204" s="4360"/>
      <c r="H204" s="4360"/>
      <c r="I204" s="4360"/>
      <c r="J204" s="4360"/>
      <c r="K204" s="4360"/>
      <c r="L204" s="4361"/>
      <c r="M204" s="4360"/>
      <c r="N204" s="4360"/>
      <c r="O204" s="4360"/>
      <c r="P204" s="4360"/>
      <c r="Q204" s="4360"/>
      <c r="R204" s="4360"/>
      <c r="S204" s="4360"/>
      <c r="T204" s="4360"/>
      <c r="U204" s="4360"/>
      <c r="V204" s="4360"/>
      <c r="W204" s="4360"/>
    </row>
    <row r="205" spans="2:23" s="4273" customFormat="1">
      <c r="B205" s="4360"/>
      <c r="C205" s="4360"/>
      <c r="D205" s="4360"/>
      <c r="E205" s="4360"/>
      <c r="F205" s="4360"/>
      <c r="G205" s="4360"/>
      <c r="H205" s="4360"/>
      <c r="I205" s="4360"/>
      <c r="J205" s="4360"/>
      <c r="K205" s="4360"/>
      <c r="L205" s="4361"/>
      <c r="M205" s="4360"/>
      <c r="N205" s="4360"/>
      <c r="O205" s="4360"/>
      <c r="P205" s="4360"/>
      <c r="Q205" s="4360"/>
      <c r="R205" s="4360"/>
      <c r="S205" s="4360"/>
      <c r="T205" s="4360"/>
      <c r="U205" s="4360"/>
      <c r="V205" s="4360"/>
      <c r="W205" s="4360"/>
    </row>
    <row r="206" spans="2:23" s="4273" customFormat="1">
      <c r="B206" s="4360"/>
      <c r="C206" s="4360"/>
      <c r="D206" s="4360"/>
      <c r="E206" s="4360"/>
      <c r="F206" s="4360"/>
      <c r="G206" s="4360"/>
      <c r="H206" s="4360"/>
      <c r="I206" s="4360"/>
      <c r="J206" s="4360"/>
      <c r="K206" s="4360"/>
      <c r="L206" s="4361"/>
      <c r="M206" s="4360"/>
      <c r="N206" s="4360"/>
      <c r="O206" s="4360"/>
      <c r="P206" s="4360"/>
      <c r="Q206" s="4360"/>
      <c r="R206" s="4360"/>
      <c r="S206" s="4360"/>
      <c r="T206" s="4360"/>
      <c r="U206" s="4360"/>
      <c r="V206" s="4360"/>
      <c r="W206" s="4360"/>
    </row>
    <row r="207" spans="2:23" s="4273" customFormat="1">
      <c r="B207" s="4360"/>
      <c r="C207" s="4360"/>
      <c r="D207" s="4360"/>
      <c r="E207" s="4360"/>
      <c r="F207" s="4360"/>
      <c r="G207" s="4360"/>
      <c r="H207" s="4360"/>
      <c r="I207" s="4360"/>
      <c r="J207" s="4360"/>
      <c r="K207" s="4360"/>
      <c r="L207" s="4361"/>
      <c r="M207" s="4360"/>
      <c r="N207" s="4360"/>
      <c r="O207" s="4360"/>
      <c r="P207" s="4360"/>
      <c r="Q207" s="4360"/>
      <c r="R207" s="4360"/>
      <c r="S207" s="4360"/>
      <c r="T207" s="4360"/>
      <c r="U207" s="4360"/>
      <c r="V207" s="4360"/>
      <c r="W207" s="4360"/>
    </row>
    <row r="208" spans="2:23" s="4273" customFormat="1">
      <c r="B208" s="4360"/>
      <c r="C208" s="4360"/>
      <c r="D208" s="4360"/>
      <c r="E208" s="4360"/>
      <c r="F208" s="4360"/>
      <c r="G208" s="4360"/>
      <c r="H208" s="4360"/>
      <c r="I208" s="4360"/>
      <c r="J208" s="4360"/>
      <c r="K208" s="4360"/>
      <c r="L208" s="4361"/>
      <c r="M208" s="4360"/>
      <c r="N208" s="4360"/>
      <c r="O208" s="4360"/>
      <c r="P208" s="4360"/>
      <c r="Q208" s="4360"/>
      <c r="R208" s="4360"/>
      <c r="S208" s="4360"/>
      <c r="T208" s="4360"/>
      <c r="U208" s="4360"/>
      <c r="V208" s="4360"/>
      <c r="W208" s="4360"/>
    </row>
    <row r="209" spans="2:23" s="4273" customFormat="1">
      <c r="B209" s="4360"/>
      <c r="C209" s="4360"/>
      <c r="D209" s="4360"/>
      <c r="E209" s="4360"/>
      <c r="F209" s="4360"/>
      <c r="G209" s="4360"/>
      <c r="H209" s="4360"/>
      <c r="I209" s="4360"/>
      <c r="J209" s="4360"/>
      <c r="K209" s="4360"/>
      <c r="L209" s="4361"/>
      <c r="M209" s="4360"/>
      <c r="N209" s="4360"/>
      <c r="O209" s="4360"/>
      <c r="P209" s="4360"/>
      <c r="Q209" s="4360"/>
      <c r="R209" s="4360"/>
      <c r="S209" s="4360"/>
      <c r="T209" s="4360"/>
      <c r="U209" s="4360"/>
      <c r="V209" s="4360"/>
      <c r="W209" s="4360"/>
    </row>
    <row r="210" spans="2:23" s="4273" customFormat="1">
      <c r="B210" s="4360"/>
      <c r="C210" s="4360"/>
      <c r="D210" s="4360"/>
      <c r="E210" s="4360"/>
      <c r="F210" s="4360"/>
      <c r="G210" s="4360"/>
      <c r="H210" s="4360"/>
      <c r="I210" s="4360"/>
      <c r="J210" s="4360"/>
      <c r="K210" s="4360"/>
      <c r="L210" s="4361"/>
      <c r="M210" s="4360"/>
      <c r="N210" s="4360"/>
      <c r="O210" s="4360"/>
      <c r="P210" s="4360"/>
      <c r="Q210" s="4360"/>
      <c r="R210" s="4360"/>
      <c r="S210" s="4360"/>
      <c r="T210" s="4360"/>
      <c r="U210" s="4360"/>
      <c r="V210" s="4360"/>
      <c r="W210" s="4360"/>
    </row>
    <row r="211" spans="2:23" s="4273" customFormat="1">
      <c r="B211" s="4360"/>
      <c r="C211" s="4360"/>
      <c r="D211" s="4360"/>
      <c r="E211" s="4360"/>
      <c r="F211" s="4360"/>
      <c r="G211" s="4360"/>
      <c r="H211" s="4360"/>
      <c r="I211" s="4360"/>
      <c r="J211" s="4360"/>
      <c r="K211" s="4360"/>
      <c r="L211" s="4361"/>
      <c r="M211" s="4360"/>
      <c r="N211" s="4360"/>
      <c r="O211" s="4360"/>
      <c r="P211" s="4360"/>
      <c r="Q211" s="4360"/>
      <c r="R211" s="4360"/>
      <c r="S211" s="4360"/>
      <c r="T211" s="4360"/>
      <c r="U211" s="4360"/>
      <c r="V211" s="4360"/>
      <c r="W211" s="4360"/>
    </row>
    <row r="212" spans="2:23" s="4273" customFormat="1">
      <c r="B212" s="4360"/>
      <c r="C212" s="4360"/>
      <c r="D212" s="4360"/>
      <c r="E212" s="4360"/>
      <c r="F212" s="4360"/>
      <c r="G212" s="4360"/>
      <c r="H212" s="4360"/>
      <c r="I212" s="4360"/>
      <c r="J212" s="4360"/>
      <c r="K212" s="4360"/>
      <c r="L212" s="4361"/>
      <c r="M212" s="4360"/>
      <c r="N212" s="4360"/>
      <c r="O212" s="4360"/>
      <c r="P212" s="4360"/>
      <c r="Q212" s="4360"/>
      <c r="R212" s="4360"/>
      <c r="S212" s="4360"/>
      <c r="T212" s="4360"/>
      <c r="U212" s="4360"/>
      <c r="V212" s="4360"/>
      <c r="W212" s="4360"/>
    </row>
    <row r="213" spans="2:23" s="4273" customFormat="1">
      <c r="B213" s="4360"/>
      <c r="C213" s="4360"/>
      <c r="D213" s="4360"/>
      <c r="E213" s="4360"/>
      <c r="F213" s="4360"/>
      <c r="G213" s="4360"/>
      <c r="H213" s="4360"/>
      <c r="I213" s="4360"/>
      <c r="J213" s="4360"/>
      <c r="K213" s="4360"/>
      <c r="L213" s="4361"/>
      <c r="M213" s="4360"/>
      <c r="N213" s="4360"/>
      <c r="O213" s="4360"/>
      <c r="P213" s="4360"/>
      <c r="Q213" s="4360"/>
      <c r="R213" s="4360"/>
      <c r="S213" s="4360"/>
      <c r="T213" s="4360"/>
      <c r="U213" s="4360"/>
      <c r="V213" s="4360"/>
      <c r="W213" s="4360"/>
    </row>
    <row r="214" spans="2:23" s="4273" customFormat="1">
      <c r="B214" s="4360"/>
      <c r="C214" s="4360"/>
      <c r="D214" s="4360"/>
      <c r="E214" s="4360"/>
      <c r="F214" s="4360"/>
      <c r="G214" s="4360"/>
      <c r="H214" s="4360"/>
      <c r="I214" s="4360"/>
      <c r="J214" s="4360"/>
      <c r="K214" s="4360"/>
      <c r="L214" s="4361"/>
      <c r="M214" s="4360"/>
      <c r="N214" s="4360"/>
      <c r="O214" s="4360"/>
      <c r="P214" s="4360"/>
      <c r="Q214" s="4360"/>
      <c r="R214" s="4360"/>
      <c r="S214" s="4360"/>
      <c r="T214" s="4360"/>
      <c r="U214" s="4360"/>
      <c r="V214" s="4360"/>
      <c r="W214" s="4360"/>
    </row>
    <row r="215" spans="2:23" s="4273" customFormat="1">
      <c r="B215" s="4360"/>
      <c r="C215" s="4360"/>
      <c r="D215" s="4360"/>
      <c r="E215" s="4360"/>
      <c r="F215" s="4360"/>
      <c r="G215" s="4360"/>
      <c r="H215" s="4360"/>
      <c r="I215" s="4360"/>
      <c r="J215" s="4360"/>
      <c r="K215" s="4360"/>
      <c r="L215" s="4361"/>
      <c r="M215" s="4360"/>
      <c r="N215" s="4360"/>
      <c r="O215" s="4360"/>
      <c r="P215" s="4360"/>
      <c r="Q215" s="4360"/>
      <c r="R215" s="4360"/>
      <c r="S215" s="4360"/>
      <c r="T215" s="4360"/>
      <c r="U215" s="4360"/>
      <c r="V215" s="4360"/>
      <c r="W215" s="4360"/>
    </row>
    <row r="216" spans="2:23" s="4273" customFormat="1">
      <c r="B216" s="4360"/>
      <c r="C216" s="4360"/>
      <c r="D216" s="4360"/>
      <c r="E216" s="4360"/>
      <c r="F216" s="4360"/>
      <c r="G216" s="4360"/>
      <c r="H216" s="4360"/>
      <c r="I216" s="4360"/>
      <c r="J216" s="4360"/>
      <c r="K216" s="4360"/>
      <c r="L216" s="4361"/>
      <c r="M216" s="4360"/>
      <c r="N216" s="4360"/>
      <c r="O216" s="4360"/>
      <c r="P216" s="4360"/>
      <c r="Q216" s="4360"/>
      <c r="R216" s="4360"/>
      <c r="S216" s="4360"/>
      <c r="T216" s="4360"/>
      <c r="U216" s="4360"/>
      <c r="V216" s="4360"/>
      <c r="W216" s="4360"/>
    </row>
    <row r="217" spans="2:23" s="4273" customFormat="1">
      <c r="B217" s="4360"/>
      <c r="C217" s="4360"/>
      <c r="D217" s="4360"/>
      <c r="E217" s="4360"/>
      <c r="F217" s="4360"/>
      <c r="G217" s="4360"/>
      <c r="H217" s="4360"/>
      <c r="I217" s="4360"/>
      <c r="J217" s="4360"/>
      <c r="K217" s="4360"/>
      <c r="L217" s="4361"/>
      <c r="M217" s="4360"/>
      <c r="N217" s="4360"/>
      <c r="O217" s="4360"/>
      <c r="P217" s="4360"/>
      <c r="Q217" s="4360"/>
      <c r="R217" s="4360"/>
      <c r="S217" s="4360"/>
      <c r="T217" s="4360"/>
      <c r="U217" s="4360"/>
      <c r="V217" s="4360"/>
      <c r="W217" s="4360"/>
    </row>
    <row r="218" spans="2:23" s="4273" customFormat="1">
      <c r="B218" s="4360"/>
      <c r="C218" s="4360"/>
      <c r="D218" s="4360"/>
      <c r="E218" s="4360"/>
      <c r="F218" s="4360"/>
      <c r="G218" s="4360"/>
      <c r="H218" s="4360"/>
      <c r="I218" s="4360"/>
      <c r="J218" s="4360"/>
      <c r="K218" s="4360"/>
      <c r="L218" s="4361"/>
      <c r="M218" s="4360"/>
      <c r="N218" s="4360"/>
      <c r="O218" s="4360"/>
      <c r="P218" s="4360"/>
      <c r="Q218" s="4360"/>
      <c r="R218" s="4360"/>
      <c r="S218" s="4360"/>
      <c r="T218" s="4360"/>
      <c r="U218" s="4360"/>
      <c r="V218" s="4360"/>
      <c r="W218" s="4360"/>
    </row>
    <row r="219" spans="2:23" s="4273" customFormat="1">
      <c r="B219" s="4360"/>
      <c r="C219" s="4360"/>
      <c r="D219" s="4360"/>
      <c r="E219" s="4360"/>
      <c r="F219" s="4360"/>
      <c r="G219" s="4360"/>
      <c r="H219" s="4360"/>
      <c r="I219" s="4360"/>
      <c r="J219" s="4360"/>
      <c r="K219" s="4360"/>
      <c r="L219" s="4361"/>
      <c r="M219" s="4360"/>
      <c r="N219" s="4360"/>
      <c r="O219" s="4360"/>
      <c r="P219" s="4360"/>
      <c r="Q219" s="4360"/>
      <c r="R219" s="4360"/>
      <c r="S219" s="4360"/>
      <c r="T219" s="4360"/>
      <c r="U219" s="4360"/>
      <c r="V219" s="4360"/>
      <c r="W219" s="4360"/>
    </row>
    <row r="220" spans="2:23" s="4273" customFormat="1">
      <c r="B220" s="4360"/>
      <c r="C220" s="4360"/>
      <c r="D220" s="4360"/>
      <c r="E220" s="4360"/>
      <c r="F220" s="4360"/>
      <c r="G220" s="4360"/>
      <c r="H220" s="4360"/>
      <c r="I220" s="4360"/>
      <c r="J220" s="4360"/>
      <c r="K220" s="4360"/>
      <c r="L220" s="4361"/>
      <c r="M220" s="4360"/>
      <c r="N220" s="4360"/>
      <c r="O220" s="4360"/>
      <c r="P220" s="4360"/>
      <c r="Q220" s="4360"/>
      <c r="R220" s="4360"/>
      <c r="S220" s="4360"/>
      <c r="T220" s="4360"/>
      <c r="U220" s="4360"/>
      <c r="V220" s="4360"/>
      <c r="W220" s="4360"/>
    </row>
    <row r="221" spans="2:23" s="4273" customFormat="1">
      <c r="B221" s="4360"/>
      <c r="C221" s="4360"/>
      <c r="D221" s="4360"/>
      <c r="E221" s="4360"/>
      <c r="F221" s="4360"/>
      <c r="G221" s="4360"/>
      <c r="H221" s="4360"/>
      <c r="I221" s="4360"/>
      <c r="J221" s="4360"/>
      <c r="K221" s="4360"/>
      <c r="L221" s="4361"/>
      <c r="M221" s="4360"/>
      <c r="N221" s="4360"/>
      <c r="O221" s="4360"/>
      <c r="P221" s="4360"/>
      <c r="Q221" s="4360"/>
      <c r="R221" s="4360"/>
      <c r="S221" s="4360"/>
      <c r="T221" s="4360"/>
      <c r="U221" s="4360"/>
      <c r="V221" s="4360"/>
      <c r="W221" s="4360"/>
    </row>
    <row r="222" spans="2:23" s="4273" customFormat="1">
      <c r="B222" s="4360"/>
      <c r="C222" s="4360"/>
      <c r="D222" s="4360"/>
      <c r="E222" s="4360"/>
      <c r="F222" s="4360"/>
      <c r="G222" s="4360"/>
      <c r="H222" s="4360"/>
      <c r="I222" s="4360"/>
      <c r="J222" s="4360"/>
      <c r="K222" s="4360"/>
      <c r="L222" s="4361"/>
      <c r="M222" s="4360"/>
      <c r="N222" s="4360"/>
      <c r="O222" s="4360"/>
      <c r="P222" s="4360"/>
      <c r="Q222" s="4360"/>
      <c r="R222" s="4360"/>
      <c r="S222" s="4360"/>
      <c r="T222" s="4360"/>
      <c r="U222" s="4360"/>
      <c r="V222" s="4360"/>
      <c r="W222" s="4360"/>
    </row>
    <row r="223" spans="2:23" s="4273" customFormat="1">
      <c r="B223" s="4360"/>
      <c r="C223" s="4360"/>
      <c r="D223" s="4360"/>
      <c r="E223" s="4360"/>
      <c r="F223" s="4360"/>
      <c r="G223" s="4360"/>
      <c r="H223" s="4360"/>
      <c r="I223" s="4360"/>
      <c r="J223" s="4360"/>
      <c r="K223" s="4360"/>
      <c r="L223" s="4361"/>
      <c r="M223" s="4360"/>
      <c r="N223" s="4360"/>
      <c r="O223" s="4360"/>
      <c r="P223" s="4360"/>
      <c r="Q223" s="4360"/>
      <c r="R223" s="4360"/>
      <c r="S223" s="4360"/>
      <c r="T223" s="4360"/>
      <c r="U223" s="4360"/>
      <c r="V223" s="4360"/>
      <c r="W223" s="4360"/>
    </row>
    <row r="224" spans="2:23" s="4273" customFormat="1">
      <c r="B224" s="4360"/>
      <c r="C224" s="4360"/>
      <c r="D224" s="4360"/>
      <c r="E224" s="4360"/>
      <c r="F224" s="4360"/>
      <c r="G224" s="4360"/>
      <c r="H224" s="4360"/>
      <c r="I224" s="4360"/>
      <c r="J224" s="4360"/>
      <c r="K224" s="4360"/>
      <c r="L224" s="4361"/>
      <c r="M224" s="4360"/>
      <c r="N224" s="4360"/>
      <c r="O224" s="4360"/>
      <c r="P224" s="4360"/>
      <c r="Q224" s="4360"/>
      <c r="R224" s="4360"/>
      <c r="S224" s="4360"/>
      <c r="T224" s="4360"/>
      <c r="U224" s="4360"/>
      <c r="V224" s="4360"/>
      <c r="W224" s="4360"/>
    </row>
    <row r="225" spans="2:23" s="4273" customFormat="1">
      <c r="B225" s="4360"/>
      <c r="C225" s="4360"/>
      <c r="D225" s="4360"/>
      <c r="E225" s="4360"/>
      <c r="F225" s="4360"/>
      <c r="G225" s="4360"/>
      <c r="H225" s="4360"/>
      <c r="I225" s="4360"/>
      <c r="J225" s="4360"/>
      <c r="K225" s="4360"/>
      <c r="L225" s="4361"/>
      <c r="M225" s="4360"/>
      <c r="N225" s="4360"/>
      <c r="O225" s="4360"/>
      <c r="P225" s="4360"/>
      <c r="Q225" s="4360"/>
      <c r="R225" s="4360"/>
      <c r="S225" s="4360"/>
      <c r="T225" s="4360"/>
      <c r="U225" s="4360"/>
      <c r="V225" s="4360"/>
      <c r="W225" s="4360"/>
    </row>
    <row r="226" spans="2:23" s="4273" customFormat="1">
      <c r="B226" s="4360"/>
      <c r="C226" s="4360"/>
      <c r="D226" s="4360"/>
      <c r="E226" s="4360"/>
      <c r="F226" s="4360"/>
      <c r="G226" s="4360"/>
      <c r="H226" s="4360"/>
      <c r="I226" s="4360"/>
      <c r="J226" s="4360"/>
      <c r="K226" s="4360"/>
      <c r="L226" s="4361"/>
      <c r="M226" s="4360"/>
      <c r="N226" s="4360"/>
      <c r="O226" s="4360"/>
      <c r="P226" s="4360"/>
      <c r="Q226" s="4360"/>
      <c r="R226" s="4360"/>
      <c r="S226" s="4360"/>
      <c r="T226" s="4360"/>
      <c r="U226" s="4360"/>
      <c r="V226" s="4360"/>
      <c r="W226" s="4360"/>
    </row>
    <row r="227" spans="2:23" s="4273" customFormat="1">
      <c r="B227" s="4360"/>
      <c r="C227" s="4360"/>
      <c r="D227" s="4360"/>
      <c r="E227" s="4360"/>
      <c r="F227" s="4360"/>
      <c r="G227" s="4360"/>
      <c r="H227" s="4360"/>
      <c r="I227" s="4360"/>
      <c r="J227" s="4360"/>
      <c r="K227" s="4360"/>
      <c r="L227" s="4361"/>
      <c r="M227" s="4360"/>
      <c r="N227" s="4360"/>
      <c r="O227" s="4360"/>
      <c r="P227" s="4360"/>
      <c r="Q227" s="4360"/>
      <c r="R227" s="4360"/>
      <c r="S227" s="4360"/>
      <c r="T227" s="4360"/>
      <c r="U227" s="4360"/>
      <c r="V227" s="4360"/>
      <c r="W227" s="4360"/>
    </row>
    <row r="228" spans="2:23" s="4273" customFormat="1">
      <c r="B228" s="4360"/>
      <c r="C228" s="4360"/>
      <c r="D228" s="4360"/>
      <c r="E228" s="4360"/>
      <c r="F228" s="4360"/>
      <c r="G228" s="4360"/>
      <c r="H228" s="4360"/>
      <c r="I228" s="4360"/>
      <c r="J228" s="4360"/>
      <c r="K228" s="4360"/>
      <c r="L228" s="4361"/>
      <c r="M228" s="4360"/>
      <c r="N228" s="4360"/>
      <c r="O228" s="4360"/>
      <c r="P228" s="4360"/>
      <c r="Q228" s="4360"/>
      <c r="R228" s="4360"/>
      <c r="S228" s="4360"/>
      <c r="T228" s="4360"/>
      <c r="U228" s="4360"/>
      <c r="V228" s="4360"/>
      <c r="W228" s="4360"/>
    </row>
    <row r="229" spans="2:23" s="4273" customFormat="1">
      <c r="B229" s="4360"/>
      <c r="C229" s="4360"/>
      <c r="D229" s="4360"/>
      <c r="E229" s="4360"/>
      <c r="F229" s="4360"/>
      <c r="G229" s="4360"/>
      <c r="H229" s="4360"/>
      <c r="I229" s="4360"/>
      <c r="J229" s="4360"/>
      <c r="K229" s="4360"/>
      <c r="L229" s="4361"/>
      <c r="M229" s="4360"/>
      <c r="N229" s="4360"/>
      <c r="O229" s="4360"/>
      <c r="P229" s="4360"/>
      <c r="Q229" s="4360"/>
      <c r="R229" s="4360"/>
      <c r="S229" s="4360"/>
      <c r="T229" s="4360"/>
      <c r="U229" s="4360"/>
      <c r="V229" s="4360"/>
      <c r="W229" s="4360"/>
    </row>
    <row r="230" spans="2:23" s="4273" customFormat="1">
      <c r="B230" s="4360"/>
      <c r="C230" s="4360"/>
      <c r="D230" s="4360"/>
      <c r="E230" s="4360"/>
      <c r="F230" s="4360"/>
      <c r="G230" s="4360"/>
      <c r="H230" s="4360"/>
      <c r="I230" s="4360"/>
      <c r="J230" s="4360"/>
      <c r="K230" s="4360"/>
      <c r="L230" s="4361"/>
      <c r="M230" s="4360"/>
      <c r="N230" s="4360"/>
      <c r="O230" s="4360"/>
      <c r="P230" s="4360"/>
      <c r="Q230" s="4360"/>
      <c r="R230" s="4360"/>
      <c r="S230" s="4360"/>
      <c r="T230" s="4360"/>
      <c r="U230" s="4360"/>
      <c r="V230" s="4360"/>
      <c r="W230" s="4360"/>
    </row>
    <row r="231" spans="2:23" s="4273" customFormat="1">
      <c r="B231" s="4360"/>
      <c r="C231" s="4360"/>
      <c r="D231" s="4360"/>
      <c r="E231" s="4360"/>
      <c r="F231" s="4360"/>
      <c r="G231" s="4360"/>
      <c r="H231" s="4360"/>
      <c r="I231" s="4360"/>
      <c r="J231" s="4360"/>
      <c r="K231" s="4360"/>
      <c r="L231" s="4361"/>
      <c r="M231" s="4360"/>
      <c r="N231" s="4360"/>
      <c r="O231" s="4360"/>
      <c r="P231" s="4360"/>
      <c r="Q231" s="4360"/>
      <c r="R231" s="4360"/>
      <c r="S231" s="4360"/>
      <c r="T231" s="4360"/>
      <c r="U231" s="4360"/>
      <c r="V231" s="4360"/>
      <c r="W231" s="4360"/>
    </row>
    <row r="232" spans="2:23" s="4273" customFormat="1">
      <c r="B232" s="4360"/>
      <c r="C232" s="4360"/>
      <c r="D232" s="4360"/>
      <c r="E232" s="4360"/>
      <c r="F232" s="4360"/>
      <c r="G232" s="4360"/>
      <c r="H232" s="4360"/>
      <c r="I232" s="4360"/>
      <c r="J232" s="4360"/>
      <c r="K232" s="4360"/>
      <c r="L232" s="4361"/>
      <c r="M232" s="4360"/>
      <c r="N232" s="4360"/>
      <c r="O232" s="4360"/>
      <c r="P232" s="4360"/>
      <c r="Q232" s="4360"/>
      <c r="R232" s="4360"/>
      <c r="S232" s="4360"/>
      <c r="T232" s="4360"/>
      <c r="U232" s="4360"/>
      <c r="V232" s="4360"/>
      <c r="W232" s="4360"/>
    </row>
    <row r="233" spans="2:23" s="4273" customFormat="1">
      <c r="B233" s="4360"/>
      <c r="C233" s="4360"/>
      <c r="D233" s="4360"/>
      <c r="E233" s="4360"/>
      <c r="F233" s="4360"/>
      <c r="G233" s="4360"/>
      <c r="H233" s="4360"/>
      <c r="I233" s="4360"/>
      <c r="J233" s="4360"/>
      <c r="K233" s="4360"/>
      <c r="L233" s="4361"/>
      <c r="M233" s="4360"/>
      <c r="N233" s="4360"/>
      <c r="O233" s="4360"/>
      <c r="P233" s="4360"/>
      <c r="Q233" s="4360"/>
      <c r="R233" s="4360"/>
      <c r="S233" s="4360"/>
      <c r="T233" s="4360"/>
      <c r="U233" s="4360"/>
      <c r="V233" s="4360"/>
      <c r="W233" s="4360"/>
    </row>
    <row r="234" spans="2:23" s="4273" customFormat="1">
      <c r="B234" s="4360"/>
      <c r="C234" s="4360"/>
      <c r="D234" s="4360"/>
      <c r="E234" s="4360"/>
      <c r="F234" s="4360"/>
      <c r="G234" s="4360"/>
      <c r="H234" s="4360"/>
      <c r="I234" s="4360"/>
      <c r="J234" s="4360"/>
      <c r="K234" s="4360"/>
      <c r="L234" s="4361"/>
      <c r="M234" s="4360"/>
      <c r="N234" s="4360"/>
      <c r="O234" s="4360"/>
      <c r="P234" s="4360"/>
      <c r="Q234" s="4360"/>
      <c r="R234" s="4360"/>
      <c r="S234" s="4360"/>
      <c r="T234" s="4360"/>
      <c r="U234" s="4360"/>
      <c r="V234" s="4360"/>
      <c r="W234" s="4360"/>
    </row>
    <row r="235" spans="2:23" s="4273" customFormat="1">
      <c r="B235" s="4360"/>
      <c r="C235" s="4360"/>
      <c r="D235" s="4360"/>
      <c r="E235" s="4360"/>
      <c r="F235" s="4360"/>
      <c r="G235" s="4360"/>
      <c r="H235" s="4360"/>
      <c r="I235" s="4360"/>
      <c r="J235" s="4360"/>
      <c r="K235" s="4360"/>
      <c r="L235" s="4361"/>
      <c r="M235" s="4360"/>
      <c r="N235" s="4360"/>
      <c r="O235" s="4360"/>
      <c r="P235" s="4360"/>
      <c r="Q235" s="4360"/>
      <c r="R235" s="4360"/>
      <c r="S235" s="4360"/>
      <c r="T235" s="4360"/>
      <c r="U235" s="4360"/>
      <c r="V235" s="4360"/>
      <c r="W235" s="4360"/>
    </row>
    <row r="236" spans="2:23" s="4273" customFormat="1">
      <c r="B236" s="4360"/>
      <c r="C236" s="4360"/>
      <c r="D236" s="4360"/>
      <c r="E236" s="4360"/>
      <c r="F236" s="4360"/>
      <c r="G236" s="4360"/>
      <c r="H236" s="4360"/>
      <c r="I236" s="4360"/>
      <c r="J236" s="4360"/>
      <c r="K236" s="4360"/>
      <c r="L236" s="4361"/>
      <c r="M236" s="4360"/>
      <c r="N236" s="4360"/>
      <c r="O236" s="4360"/>
      <c r="P236" s="4360"/>
      <c r="Q236" s="4360"/>
      <c r="R236" s="4360"/>
      <c r="S236" s="4360"/>
      <c r="T236" s="4360"/>
      <c r="U236" s="4360"/>
      <c r="V236" s="4360"/>
      <c r="W236" s="4360"/>
    </row>
    <row r="237" spans="2:23" s="4273" customFormat="1">
      <c r="B237" s="4360"/>
      <c r="C237" s="4360"/>
      <c r="D237" s="4360"/>
      <c r="E237" s="4360"/>
      <c r="F237" s="4360"/>
      <c r="G237" s="4360"/>
      <c r="H237" s="4360"/>
      <c r="I237" s="4360"/>
      <c r="J237" s="4360"/>
      <c r="K237" s="4360"/>
      <c r="L237" s="4361"/>
      <c r="M237" s="4360"/>
      <c r="N237" s="4360"/>
      <c r="O237" s="4360"/>
      <c r="P237" s="4360"/>
      <c r="Q237" s="4360"/>
      <c r="R237" s="4360"/>
      <c r="S237" s="4360"/>
      <c r="T237" s="4360"/>
      <c r="U237" s="4360"/>
      <c r="V237" s="4360"/>
      <c r="W237" s="4360"/>
    </row>
    <row r="238" spans="2:23" s="4273" customFormat="1">
      <c r="B238" s="4360"/>
      <c r="C238" s="4360"/>
      <c r="D238" s="4360"/>
      <c r="E238" s="4360"/>
      <c r="F238" s="4360"/>
      <c r="G238" s="4360"/>
      <c r="H238" s="4360"/>
      <c r="I238" s="4360"/>
      <c r="J238" s="4360"/>
      <c r="K238" s="4360"/>
      <c r="L238" s="4361"/>
      <c r="M238" s="4360"/>
      <c r="N238" s="4360"/>
      <c r="O238" s="4360"/>
      <c r="P238" s="4360"/>
      <c r="Q238" s="4360"/>
      <c r="R238" s="4360"/>
      <c r="S238" s="4360"/>
      <c r="T238" s="4360"/>
      <c r="U238" s="4360"/>
      <c r="V238" s="4360"/>
      <c r="W238" s="4360"/>
    </row>
    <row r="239" spans="2:23" s="4273" customFormat="1">
      <c r="B239" s="4360"/>
      <c r="C239" s="4360"/>
      <c r="D239" s="4360"/>
      <c r="E239" s="4360"/>
      <c r="F239" s="4360"/>
      <c r="G239" s="4360"/>
      <c r="H239" s="4360"/>
      <c r="I239" s="4360"/>
      <c r="J239" s="4360"/>
      <c r="K239" s="4360"/>
      <c r="L239" s="4361"/>
      <c r="M239" s="4360"/>
      <c r="N239" s="4360"/>
      <c r="O239" s="4360"/>
      <c r="P239" s="4360"/>
      <c r="Q239" s="4360"/>
      <c r="R239" s="4360"/>
      <c r="S239" s="4360"/>
      <c r="T239" s="4360"/>
      <c r="U239" s="4360"/>
      <c r="V239" s="4360"/>
      <c r="W239" s="4360"/>
    </row>
    <row r="240" spans="2:23" s="4273" customFormat="1">
      <c r="B240" s="4360"/>
      <c r="C240" s="4360"/>
      <c r="D240" s="4360"/>
      <c r="E240" s="4360"/>
      <c r="F240" s="4360"/>
      <c r="G240" s="4360"/>
      <c r="H240" s="4360"/>
      <c r="I240" s="4360"/>
      <c r="J240" s="4360"/>
      <c r="K240" s="4360"/>
      <c r="L240" s="4361"/>
      <c r="M240" s="4360"/>
      <c r="N240" s="4360"/>
      <c r="O240" s="4360"/>
      <c r="P240" s="4360"/>
      <c r="Q240" s="4360"/>
      <c r="R240" s="4360"/>
      <c r="S240" s="4360"/>
      <c r="T240" s="4360"/>
      <c r="U240" s="4360"/>
      <c r="V240" s="4360"/>
      <c r="W240" s="4360"/>
    </row>
    <row r="241" spans="2:23" s="4273" customFormat="1">
      <c r="B241" s="4360"/>
      <c r="C241" s="4360"/>
      <c r="D241" s="4360"/>
      <c r="E241" s="4360"/>
      <c r="F241" s="4360"/>
      <c r="G241" s="4360"/>
      <c r="H241" s="4360"/>
      <c r="I241" s="4360"/>
      <c r="J241" s="4360"/>
      <c r="K241" s="4360"/>
      <c r="L241" s="4361"/>
      <c r="M241" s="4360"/>
      <c r="N241" s="4360"/>
      <c r="O241" s="4360"/>
      <c r="P241" s="4360"/>
      <c r="Q241" s="4360"/>
      <c r="R241" s="4360"/>
      <c r="S241" s="4360"/>
      <c r="T241" s="4360"/>
      <c r="U241" s="4360"/>
      <c r="V241" s="4360"/>
      <c r="W241" s="4360"/>
    </row>
    <row r="242" spans="2:23" s="4273" customFormat="1">
      <c r="B242" s="4360"/>
      <c r="C242" s="4360"/>
      <c r="D242" s="4360"/>
      <c r="E242" s="4360"/>
      <c r="F242" s="4360"/>
      <c r="G242" s="4360"/>
      <c r="H242" s="4360"/>
      <c r="I242" s="4360"/>
      <c r="J242" s="4360"/>
      <c r="K242" s="4360"/>
      <c r="L242" s="4361"/>
      <c r="M242" s="4360"/>
      <c r="N242" s="4360"/>
      <c r="O242" s="4360"/>
      <c r="P242" s="4360"/>
      <c r="Q242" s="4360"/>
      <c r="R242" s="4360"/>
      <c r="S242" s="4360"/>
      <c r="T242" s="4360"/>
      <c r="U242" s="4360"/>
      <c r="V242" s="4360"/>
      <c r="W242" s="4360"/>
    </row>
    <row r="243" spans="2:23" s="4273" customFormat="1">
      <c r="B243" s="4360"/>
      <c r="C243" s="4360"/>
      <c r="D243" s="4360"/>
      <c r="E243" s="4360"/>
      <c r="F243" s="4360"/>
      <c r="G243" s="4360"/>
      <c r="H243" s="4360"/>
      <c r="I243" s="4360"/>
      <c r="J243" s="4360"/>
      <c r="K243" s="4360"/>
      <c r="L243" s="4361"/>
      <c r="M243" s="4360"/>
      <c r="N243" s="4360"/>
      <c r="O243" s="4360"/>
      <c r="P243" s="4360"/>
      <c r="Q243" s="4360"/>
      <c r="R243" s="4360"/>
      <c r="S243" s="4360"/>
      <c r="T243" s="4360"/>
      <c r="U243" s="4360"/>
      <c r="V243" s="4360"/>
      <c r="W243" s="4360"/>
    </row>
    <row r="244" spans="2:23" s="4273" customFormat="1">
      <c r="B244" s="4360"/>
      <c r="C244" s="4360"/>
      <c r="D244" s="4360"/>
      <c r="E244" s="4360"/>
      <c r="F244" s="4360"/>
      <c r="G244" s="4360"/>
      <c r="H244" s="4360"/>
      <c r="I244" s="4360"/>
      <c r="J244" s="4360"/>
      <c r="K244" s="4360"/>
      <c r="L244" s="4361"/>
      <c r="M244" s="4360"/>
      <c r="N244" s="4360"/>
      <c r="O244" s="4360"/>
      <c r="P244" s="4360"/>
      <c r="Q244" s="4360"/>
      <c r="R244" s="4360"/>
      <c r="S244" s="4360"/>
      <c r="T244" s="4360"/>
      <c r="U244" s="4360"/>
      <c r="V244" s="4360"/>
      <c r="W244" s="4360"/>
    </row>
    <row r="245" spans="2:23" s="4273" customFormat="1">
      <c r="B245" s="4360"/>
      <c r="C245" s="4360"/>
      <c r="D245" s="4360"/>
      <c r="E245" s="4360"/>
      <c r="F245" s="4360"/>
      <c r="G245" s="4360"/>
      <c r="H245" s="4360"/>
      <c r="I245" s="4360"/>
      <c r="J245" s="4360"/>
      <c r="K245" s="4360"/>
      <c r="L245" s="4361"/>
      <c r="M245" s="4360"/>
      <c r="N245" s="4360"/>
      <c r="O245" s="4360"/>
      <c r="P245" s="4360"/>
      <c r="Q245" s="4360"/>
      <c r="R245" s="4360"/>
      <c r="S245" s="4360"/>
      <c r="T245" s="4360"/>
      <c r="U245" s="4360"/>
      <c r="V245" s="4360"/>
      <c r="W245" s="4360"/>
    </row>
    <row r="246" spans="2:23" s="4273" customFormat="1">
      <c r="B246" s="4360"/>
      <c r="C246" s="4360"/>
      <c r="D246" s="4360"/>
      <c r="E246" s="4360"/>
      <c r="F246" s="4360"/>
      <c r="G246" s="4360"/>
      <c r="H246" s="4360"/>
      <c r="I246" s="4360"/>
      <c r="J246" s="4360"/>
      <c r="K246" s="4360"/>
      <c r="L246" s="4361"/>
      <c r="M246" s="4360"/>
      <c r="N246" s="4360"/>
      <c r="O246" s="4360"/>
      <c r="P246" s="4360"/>
      <c r="Q246" s="4360"/>
      <c r="R246" s="4360"/>
      <c r="S246" s="4360"/>
      <c r="T246" s="4360"/>
      <c r="U246" s="4360"/>
      <c r="V246" s="4360"/>
      <c r="W246" s="4360"/>
    </row>
    <row r="247" spans="2:23" s="4273" customFormat="1">
      <c r="B247" s="4360"/>
      <c r="C247" s="4360"/>
      <c r="D247" s="4360"/>
      <c r="E247" s="4360"/>
      <c r="F247" s="4360"/>
      <c r="G247" s="4360"/>
      <c r="H247" s="4360"/>
      <c r="I247" s="4360"/>
      <c r="J247" s="4360"/>
      <c r="K247" s="4360"/>
      <c r="L247" s="4361"/>
      <c r="M247" s="4360"/>
      <c r="N247" s="4360"/>
      <c r="O247" s="4360"/>
      <c r="P247" s="4360"/>
      <c r="Q247" s="4360"/>
      <c r="R247" s="4360"/>
      <c r="S247" s="4360"/>
      <c r="T247" s="4360"/>
      <c r="U247" s="4360"/>
      <c r="V247" s="4360"/>
      <c r="W247" s="4360"/>
    </row>
    <row r="248" spans="2:23" s="4273" customFormat="1">
      <c r="B248" s="4360"/>
      <c r="C248" s="4360"/>
      <c r="D248" s="4360"/>
      <c r="E248" s="4360"/>
      <c r="F248" s="4360"/>
      <c r="G248" s="4360"/>
      <c r="H248" s="4360"/>
      <c r="I248" s="4360"/>
      <c r="J248" s="4360"/>
      <c r="K248" s="4360"/>
      <c r="L248" s="4361"/>
      <c r="M248" s="4360"/>
      <c r="N248" s="4360"/>
      <c r="O248" s="4360"/>
      <c r="P248" s="4360"/>
      <c r="Q248" s="4360"/>
      <c r="R248" s="4360"/>
      <c r="S248" s="4360"/>
      <c r="T248" s="4360"/>
      <c r="U248" s="4360"/>
      <c r="V248" s="4360"/>
      <c r="W248" s="4360"/>
    </row>
    <row r="249" spans="2:23" s="4273" customFormat="1">
      <c r="B249" s="4360"/>
      <c r="C249" s="4360"/>
      <c r="D249" s="4360"/>
      <c r="E249" s="4360"/>
      <c r="F249" s="4360"/>
      <c r="G249" s="4360"/>
      <c r="H249" s="4360"/>
      <c r="I249" s="4360"/>
      <c r="J249" s="4360"/>
      <c r="K249" s="4360"/>
      <c r="L249" s="4361"/>
      <c r="M249" s="4360"/>
      <c r="N249" s="4360"/>
      <c r="O249" s="4360"/>
      <c r="P249" s="4360"/>
      <c r="Q249" s="4360"/>
      <c r="R249" s="4360"/>
      <c r="S249" s="4360"/>
      <c r="T249" s="4360"/>
      <c r="U249" s="4360"/>
      <c r="V249" s="4360"/>
      <c r="W249" s="4360"/>
    </row>
    <row r="250" spans="2:23" s="4273" customFormat="1">
      <c r="B250" s="4360"/>
      <c r="C250" s="4360"/>
      <c r="D250" s="4360"/>
      <c r="E250" s="4360"/>
      <c r="F250" s="4360"/>
      <c r="G250" s="4360"/>
      <c r="H250" s="4360"/>
      <c r="I250" s="4360"/>
      <c r="J250" s="4360"/>
      <c r="K250" s="4360"/>
      <c r="L250" s="4361"/>
      <c r="M250" s="4360"/>
      <c r="N250" s="4360"/>
      <c r="O250" s="4360"/>
      <c r="P250" s="4360"/>
      <c r="Q250" s="4360"/>
      <c r="R250" s="4360"/>
      <c r="S250" s="4360"/>
      <c r="T250" s="4360"/>
      <c r="U250" s="4360"/>
      <c r="V250" s="4360"/>
      <c r="W250" s="4360"/>
    </row>
    <row r="251" spans="2:23" s="4273" customFormat="1">
      <c r="B251" s="4360"/>
      <c r="C251" s="4360"/>
      <c r="D251" s="4360"/>
      <c r="E251" s="4360"/>
      <c r="F251" s="4360"/>
      <c r="G251" s="4360"/>
      <c r="H251" s="4360"/>
      <c r="I251" s="4360"/>
      <c r="J251" s="4360"/>
      <c r="K251" s="4360"/>
      <c r="L251" s="4361"/>
      <c r="M251" s="4360"/>
      <c r="N251" s="4360"/>
      <c r="O251" s="4360"/>
      <c r="P251" s="4360"/>
      <c r="Q251" s="4360"/>
      <c r="R251" s="4360"/>
      <c r="S251" s="4360"/>
      <c r="T251" s="4360"/>
      <c r="U251" s="4360"/>
      <c r="V251" s="4360"/>
      <c r="W251" s="4360"/>
    </row>
    <row r="252" spans="2:23" s="4273" customFormat="1">
      <c r="B252" s="4360"/>
      <c r="C252" s="4360"/>
      <c r="D252" s="4360"/>
      <c r="E252" s="4360"/>
      <c r="F252" s="4360"/>
      <c r="G252" s="4360"/>
      <c r="H252" s="4360"/>
      <c r="I252" s="4360"/>
      <c r="J252" s="4360"/>
      <c r="K252" s="4360"/>
      <c r="L252" s="4361"/>
      <c r="M252" s="4360"/>
      <c r="N252" s="4360"/>
      <c r="O252" s="4360"/>
      <c r="P252" s="4360"/>
      <c r="Q252" s="4360"/>
      <c r="R252" s="4360"/>
      <c r="S252" s="4360"/>
      <c r="T252" s="4360"/>
      <c r="U252" s="4360"/>
      <c r="V252" s="4360"/>
      <c r="W252" s="4360"/>
    </row>
    <row r="253" spans="2:23" s="4273" customFormat="1">
      <c r="B253" s="4360"/>
      <c r="C253" s="4360"/>
      <c r="D253" s="4360"/>
      <c r="E253" s="4360"/>
      <c r="F253" s="4360"/>
      <c r="G253" s="4360"/>
      <c r="H253" s="4360"/>
      <c r="I253" s="4360"/>
      <c r="J253" s="4360"/>
      <c r="K253" s="4360"/>
      <c r="L253" s="4361"/>
      <c r="M253" s="4360"/>
      <c r="N253" s="4360"/>
      <c r="O253" s="4360"/>
      <c r="P253" s="4360"/>
      <c r="Q253" s="4360"/>
      <c r="R253" s="4360"/>
      <c r="S253" s="4360"/>
      <c r="T253" s="4360"/>
      <c r="U253" s="4360"/>
      <c r="V253" s="4360"/>
      <c r="W253" s="4360"/>
    </row>
    <row r="254" spans="2:23" s="4273" customFormat="1">
      <c r="B254" s="4360"/>
      <c r="C254" s="4360"/>
      <c r="D254" s="4360"/>
      <c r="E254" s="4360"/>
      <c r="F254" s="4360"/>
      <c r="G254" s="4360"/>
      <c r="H254" s="4360"/>
      <c r="I254" s="4360"/>
      <c r="J254" s="4360"/>
      <c r="K254" s="4360"/>
      <c r="L254" s="4361"/>
      <c r="M254" s="4360"/>
      <c r="N254" s="4360"/>
      <c r="O254" s="4360"/>
      <c r="P254" s="4360"/>
      <c r="Q254" s="4360"/>
      <c r="R254" s="4360"/>
      <c r="S254" s="4360"/>
      <c r="T254" s="4360"/>
      <c r="U254" s="4360"/>
      <c r="V254" s="4360"/>
      <c r="W254" s="4360"/>
    </row>
    <row r="255" spans="2:23" s="4273" customFormat="1">
      <c r="B255" s="4360"/>
      <c r="C255" s="4360"/>
      <c r="D255" s="4360"/>
      <c r="E255" s="4360"/>
      <c r="F255" s="4360"/>
      <c r="G255" s="4360"/>
      <c r="H255" s="4360"/>
      <c r="I255" s="4360"/>
      <c r="J255" s="4360"/>
      <c r="K255" s="4360"/>
      <c r="L255" s="4361"/>
      <c r="M255" s="4360"/>
      <c r="N255" s="4360"/>
      <c r="O255" s="4360"/>
      <c r="P255" s="4360"/>
      <c r="Q255" s="4360"/>
      <c r="R255" s="4360"/>
      <c r="S255" s="4360"/>
      <c r="T255" s="4360"/>
      <c r="U255" s="4360"/>
      <c r="V255" s="4360"/>
      <c r="W255" s="4360"/>
    </row>
    <row r="256" spans="2:23" s="4273" customFormat="1">
      <c r="B256" s="4360"/>
      <c r="C256" s="4360"/>
      <c r="D256" s="4360"/>
      <c r="E256" s="4360"/>
      <c r="F256" s="4360"/>
      <c r="G256" s="4360"/>
      <c r="H256" s="4360"/>
      <c r="I256" s="4360"/>
      <c r="J256" s="4360"/>
      <c r="K256" s="4360"/>
      <c r="L256" s="4361"/>
      <c r="M256" s="4360"/>
      <c r="N256" s="4360"/>
      <c r="O256" s="4360"/>
      <c r="P256" s="4360"/>
      <c r="Q256" s="4360"/>
      <c r="R256" s="4360"/>
      <c r="S256" s="4360"/>
      <c r="T256" s="4360"/>
      <c r="U256" s="4360"/>
      <c r="V256" s="4360"/>
      <c r="W256" s="4360"/>
    </row>
    <row r="257" spans="2:23" s="4273" customFormat="1">
      <c r="B257" s="4360"/>
      <c r="C257" s="4360"/>
      <c r="D257" s="4360"/>
      <c r="E257" s="4360"/>
      <c r="F257" s="4360"/>
      <c r="G257" s="4360"/>
      <c r="H257" s="4360"/>
      <c r="I257" s="4360"/>
      <c r="J257" s="4360"/>
      <c r="K257" s="4360"/>
      <c r="L257" s="4361"/>
      <c r="M257" s="4360"/>
      <c r="N257" s="4360"/>
      <c r="O257" s="4360"/>
      <c r="P257" s="4360"/>
      <c r="Q257" s="4360"/>
      <c r="R257" s="4360"/>
      <c r="S257" s="4360"/>
      <c r="T257" s="4360"/>
      <c r="U257" s="4360"/>
      <c r="V257" s="4360"/>
      <c r="W257" s="4360"/>
    </row>
    <row r="258" spans="2:23" s="4273" customFormat="1">
      <c r="B258" s="4360"/>
      <c r="C258" s="4360"/>
      <c r="D258" s="4360"/>
      <c r="E258" s="4360"/>
      <c r="F258" s="4360"/>
      <c r="G258" s="4360"/>
      <c r="H258" s="4360"/>
      <c r="I258" s="4360"/>
      <c r="J258" s="4360"/>
      <c r="K258" s="4360"/>
      <c r="L258" s="4361"/>
      <c r="M258" s="4360"/>
      <c r="N258" s="4360"/>
      <c r="O258" s="4360"/>
      <c r="P258" s="4360"/>
      <c r="Q258" s="4360"/>
      <c r="R258" s="4360"/>
      <c r="S258" s="4360"/>
      <c r="T258" s="4360"/>
      <c r="U258" s="4360"/>
      <c r="V258" s="4360"/>
      <c r="W258" s="4360"/>
    </row>
    <row r="259" spans="2:23" s="4273" customFormat="1">
      <c r="B259" s="4360"/>
      <c r="C259" s="4360"/>
      <c r="D259" s="4360"/>
      <c r="E259" s="4360"/>
      <c r="F259" s="4360"/>
      <c r="G259" s="4360"/>
      <c r="H259" s="4360"/>
      <c r="I259" s="4360"/>
      <c r="J259" s="4360"/>
      <c r="K259" s="4360"/>
      <c r="L259" s="4361"/>
      <c r="M259" s="4360"/>
      <c r="N259" s="4360"/>
      <c r="O259" s="4360"/>
      <c r="P259" s="4360"/>
      <c r="Q259" s="4360"/>
      <c r="R259" s="4360"/>
      <c r="S259" s="4360"/>
      <c r="T259" s="4360"/>
      <c r="U259" s="4360"/>
      <c r="V259" s="4360"/>
      <c r="W259" s="4360"/>
    </row>
    <row r="260" spans="2:23" s="4273" customFormat="1">
      <c r="B260" s="4360"/>
      <c r="C260" s="4360"/>
      <c r="D260" s="4360"/>
      <c r="E260" s="4360"/>
      <c r="F260" s="4360"/>
      <c r="G260" s="4360"/>
      <c r="H260" s="4360"/>
      <c r="I260" s="4360"/>
      <c r="J260" s="4360"/>
      <c r="K260" s="4360"/>
      <c r="L260" s="4361"/>
      <c r="M260" s="4360"/>
      <c r="N260" s="4360"/>
      <c r="O260" s="4360"/>
      <c r="P260" s="4360"/>
      <c r="Q260" s="4360"/>
      <c r="R260" s="4360"/>
      <c r="S260" s="4360"/>
      <c r="T260" s="4360"/>
      <c r="U260" s="4360"/>
      <c r="V260" s="4360"/>
      <c r="W260" s="4360"/>
    </row>
    <row r="261" spans="2:23" s="4273" customFormat="1">
      <c r="B261" s="4360"/>
      <c r="C261" s="4360"/>
      <c r="D261" s="4360"/>
      <c r="E261" s="4360"/>
      <c r="F261" s="4360"/>
      <c r="G261" s="4360"/>
      <c r="H261" s="4360"/>
      <c r="I261" s="4360"/>
      <c r="J261" s="4360"/>
      <c r="K261" s="4360"/>
      <c r="L261" s="4361"/>
      <c r="M261" s="4360"/>
      <c r="N261" s="4360"/>
      <c r="O261" s="4360"/>
      <c r="P261" s="4360"/>
      <c r="Q261" s="4360"/>
      <c r="R261" s="4360"/>
      <c r="S261" s="4360"/>
      <c r="T261" s="4360"/>
      <c r="U261" s="4360"/>
      <c r="V261" s="4360"/>
      <c r="W261" s="4360"/>
    </row>
    <row r="262" spans="2:23" s="4273" customFormat="1">
      <c r="B262" s="4360"/>
      <c r="C262" s="4360"/>
      <c r="D262" s="4360"/>
      <c r="E262" s="4360"/>
      <c r="F262" s="4360"/>
      <c r="G262" s="4360"/>
      <c r="H262" s="4360"/>
      <c r="I262" s="4360"/>
      <c r="J262" s="4360"/>
      <c r="K262" s="4360"/>
      <c r="L262" s="4361"/>
      <c r="M262" s="4360"/>
      <c r="N262" s="4360"/>
      <c r="O262" s="4360"/>
      <c r="P262" s="4360"/>
      <c r="Q262" s="4360"/>
      <c r="R262" s="4360"/>
      <c r="S262" s="4360"/>
      <c r="T262" s="4360"/>
      <c r="U262" s="4360"/>
      <c r="V262" s="4360"/>
      <c r="W262" s="4360"/>
    </row>
    <row r="263" spans="2:23" s="4273" customFormat="1">
      <c r="B263" s="4360"/>
      <c r="C263" s="4360"/>
      <c r="D263" s="4360"/>
      <c r="E263" s="4360"/>
      <c r="F263" s="4360"/>
      <c r="G263" s="4360"/>
      <c r="H263" s="4360"/>
      <c r="I263" s="4360"/>
      <c r="J263" s="4360"/>
      <c r="K263" s="4360"/>
      <c r="L263" s="4361"/>
      <c r="M263" s="4360"/>
      <c r="N263" s="4360"/>
      <c r="O263" s="4360"/>
      <c r="P263" s="4360"/>
      <c r="Q263" s="4360"/>
      <c r="R263" s="4360"/>
      <c r="S263" s="4360"/>
      <c r="T263" s="4360"/>
      <c r="U263" s="4360"/>
      <c r="V263" s="4360"/>
      <c r="W263" s="4360"/>
    </row>
    <row r="264" spans="2:23" s="4273" customFormat="1">
      <c r="B264" s="4360"/>
      <c r="C264" s="4360"/>
      <c r="D264" s="4360"/>
      <c r="E264" s="4360"/>
      <c r="F264" s="4360"/>
      <c r="G264" s="4360"/>
      <c r="H264" s="4360"/>
      <c r="I264" s="4360"/>
      <c r="J264" s="4360"/>
      <c r="K264" s="4360"/>
      <c r="L264" s="4361"/>
      <c r="M264" s="4360"/>
      <c r="N264" s="4360"/>
      <c r="O264" s="4360"/>
      <c r="P264" s="4360"/>
      <c r="Q264" s="4360"/>
      <c r="R264" s="4360"/>
      <c r="S264" s="4360"/>
      <c r="T264" s="4360"/>
      <c r="U264" s="4360"/>
      <c r="V264" s="4360"/>
      <c r="W264" s="4360"/>
    </row>
    <row r="265" spans="2:23" s="4273" customFormat="1">
      <c r="B265" s="4360"/>
      <c r="C265" s="4360"/>
      <c r="D265" s="4360"/>
      <c r="E265" s="4360"/>
      <c r="F265" s="4360"/>
      <c r="G265" s="4360"/>
      <c r="H265" s="4360"/>
      <c r="I265" s="4360"/>
      <c r="J265" s="4360"/>
      <c r="K265" s="4360"/>
      <c r="L265" s="4361"/>
      <c r="M265" s="4360"/>
      <c r="N265" s="4360"/>
      <c r="O265" s="4360"/>
      <c r="P265" s="4360"/>
      <c r="Q265" s="4360"/>
      <c r="R265" s="4360"/>
      <c r="S265" s="4360"/>
      <c r="T265" s="4360"/>
      <c r="U265" s="4360"/>
      <c r="V265" s="4360"/>
      <c r="W265" s="4360"/>
    </row>
    <row r="266" spans="2:23" s="4273" customFormat="1">
      <c r="B266" s="4360"/>
      <c r="C266" s="4360"/>
      <c r="D266" s="4360"/>
      <c r="E266" s="4360"/>
      <c r="F266" s="4360"/>
      <c r="G266" s="4360"/>
      <c r="H266" s="4360"/>
      <c r="I266" s="4360"/>
      <c r="J266" s="4360"/>
      <c r="K266" s="4360"/>
      <c r="L266" s="4361"/>
      <c r="M266" s="4360"/>
      <c r="N266" s="4360"/>
      <c r="O266" s="4360"/>
      <c r="P266" s="4360"/>
      <c r="Q266" s="4360"/>
      <c r="R266" s="4360"/>
      <c r="S266" s="4360"/>
      <c r="T266" s="4360"/>
      <c r="U266" s="4360"/>
      <c r="V266" s="4360"/>
      <c r="W266" s="4360"/>
    </row>
    <row r="267" spans="2:23" s="4273" customFormat="1">
      <c r="B267" s="4360"/>
      <c r="C267" s="4360"/>
      <c r="D267" s="4360"/>
      <c r="E267" s="4360"/>
      <c r="F267" s="4360"/>
      <c r="G267" s="4360"/>
      <c r="H267" s="4360"/>
      <c r="I267" s="4360"/>
      <c r="J267" s="4360"/>
      <c r="K267" s="4360"/>
      <c r="L267" s="4361"/>
      <c r="M267" s="4360"/>
      <c r="N267" s="4360"/>
      <c r="O267" s="4360"/>
      <c r="P267" s="4360"/>
      <c r="Q267" s="4360"/>
      <c r="R267" s="4360"/>
      <c r="S267" s="4360"/>
      <c r="T267" s="4360"/>
      <c r="U267" s="4360"/>
      <c r="V267" s="4360"/>
      <c r="W267" s="4360"/>
    </row>
    <row r="268" spans="2:23" s="4273" customFormat="1">
      <c r="B268" s="4360"/>
      <c r="C268" s="4360"/>
      <c r="D268" s="4360"/>
      <c r="E268" s="4360"/>
      <c r="F268" s="4360"/>
      <c r="G268" s="4360"/>
      <c r="H268" s="4360"/>
      <c r="I268" s="4360"/>
      <c r="J268" s="4360"/>
      <c r="K268" s="4360"/>
      <c r="L268" s="4361"/>
      <c r="M268" s="4360"/>
      <c r="N268" s="4360"/>
      <c r="O268" s="4360"/>
      <c r="P268" s="4360"/>
      <c r="Q268" s="4360"/>
      <c r="R268" s="4360"/>
      <c r="S268" s="4360"/>
      <c r="T268" s="4360"/>
      <c r="U268" s="4360"/>
      <c r="V268" s="4360"/>
      <c r="W268" s="4360"/>
    </row>
    <row r="269" spans="2:23" s="4273" customFormat="1">
      <c r="B269" s="4360"/>
      <c r="C269" s="4360"/>
      <c r="D269" s="4360"/>
      <c r="E269" s="4360"/>
      <c r="F269" s="4360"/>
      <c r="G269" s="4360"/>
      <c r="H269" s="4360"/>
      <c r="I269" s="4360"/>
      <c r="J269" s="4360"/>
      <c r="K269" s="4360"/>
      <c r="L269" s="4361"/>
      <c r="M269" s="4360"/>
      <c r="N269" s="4360"/>
      <c r="O269" s="4360"/>
      <c r="P269" s="4360"/>
      <c r="Q269" s="4360"/>
      <c r="R269" s="4360"/>
      <c r="S269" s="4360"/>
      <c r="T269" s="4360"/>
      <c r="U269" s="4360"/>
      <c r="V269" s="4360"/>
      <c r="W269" s="4360"/>
    </row>
    <row r="270" spans="2:23" s="4273" customFormat="1">
      <c r="B270" s="4360"/>
      <c r="C270" s="4360"/>
      <c r="D270" s="4360"/>
      <c r="E270" s="4360"/>
      <c r="F270" s="4360"/>
      <c r="G270" s="4360"/>
      <c r="H270" s="4360"/>
      <c r="I270" s="4360"/>
      <c r="J270" s="4360"/>
      <c r="K270" s="4360"/>
      <c r="L270" s="4361"/>
      <c r="M270" s="4360"/>
      <c r="N270" s="4360"/>
      <c r="O270" s="4360"/>
      <c r="P270" s="4360"/>
      <c r="Q270" s="4360"/>
      <c r="R270" s="4360"/>
      <c r="S270" s="4360"/>
      <c r="T270" s="4360"/>
      <c r="U270" s="4360"/>
      <c r="V270" s="4360"/>
      <c r="W270" s="4360"/>
    </row>
    <row r="271" spans="2:23" s="4273" customFormat="1">
      <c r="B271" s="4360"/>
      <c r="C271" s="4360"/>
      <c r="D271" s="4360"/>
      <c r="E271" s="4360"/>
      <c r="F271" s="4360"/>
      <c r="G271" s="4360"/>
      <c r="H271" s="4360"/>
      <c r="I271" s="4360"/>
      <c r="J271" s="4360"/>
      <c r="K271" s="4360"/>
      <c r="L271" s="4361"/>
      <c r="M271" s="4360"/>
      <c r="N271" s="4360"/>
      <c r="O271" s="4360"/>
      <c r="P271" s="4360"/>
      <c r="Q271" s="4360"/>
      <c r="R271" s="4360"/>
      <c r="S271" s="4360"/>
      <c r="T271" s="4360"/>
      <c r="U271" s="4360"/>
      <c r="V271" s="4360"/>
      <c r="W271" s="4360"/>
    </row>
    <row r="272" spans="2:23" s="4273" customFormat="1">
      <c r="B272" s="4360"/>
      <c r="C272" s="4360"/>
      <c r="D272" s="4360"/>
      <c r="E272" s="4360"/>
      <c r="F272" s="4360"/>
      <c r="G272" s="4360"/>
      <c r="H272" s="4360"/>
      <c r="I272" s="4360"/>
      <c r="J272" s="4360"/>
      <c r="K272" s="4360"/>
      <c r="L272" s="4361"/>
      <c r="M272" s="4360"/>
      <c r="N272" s="4360"/>
      <c r="O272" s="4360"/>
      <c r="P272" s="4360"/>
      <c r="Q272" s="4360"/>
      <c r="R272" s="4360"/>
      <c r="S272" s="4360"/>
      <c r="T272" s="4360"/>
      <c r="U272" s="4360"/>
      <c r="V272" s="4360"/>
      <c r="W272" s="4360"/>
    </row>
    <row r="273" spans="2:23" s="4273" customFormat="1">
      <c r="B273" s="4360"/>
      <c r="C273" s="4360"/>
      <c r="D273" s="4360"/>
      <c r="E273" s="4360"/>
      <c r="F273" s="4360"/>
      <c r="G273" s="4360"/>
      <c r="H273" s="4360"/>
      <c r="I273" s="4360"/>
      <c r="J273" s="4360"/>
      <c r="K273" s="4360"/>
      <c r="L273" s="4361"/>
      <c r="M273" s="4360"/>
      <c r="N273" s="4360"/>
      <c r="O273" s="4360"/>
      <c r="P273" s="4360"/>
      <c r="Q273" s="4360"/>
      <c r="R273" s="4360"/>
      <c r="S273" s="4360"/>
      <c r="T273" s="4360"/>
      <c r="U273" s="4360"/>
      <c r="V273" s="4360"/>
      <c r="W273" s="4360"/>
    </row>
    <row r="274" spans="2:23" s="4273" customFormat="1">
      <c r="B274" s="4360"/>
      <c r="C274" s="4360"/>
      <c r="D274" s="4360"/>
      <c r="E274" s="4360"/>
      <c r="F274" s="4360"/>
      <c r="G274" s="4360"/>
      <c r="H274" s="4360"/>
      <c r="I274" s="4360"/>
      <c r="J274" s="4360"/>
      <c r="K274" s="4360"/>
      <c r="L274" s="4361"/>
      <c r="M274" s="4360"/>
      <c r="N274" s="4360"/>
      <c r="O274" s="4360"/>
      <c r="P274" s="4360"/>
      <c r="Q274" s="4360"/>
      <c r="R274" s="4360"/>
      <c r="S274" s="4360"/>
      <c r="T274" s="4360"/>
      <c r="U274" s="4360"/>
      <c r="V274" s="4360"/>
      <c r="W274" s="4360"/>
    </row>
    <row r="275" spans="2:23" s="4273" customFormat="1">
      <c r="B275" s="4360"/>
      <c r="C275" s="4360"/>
      <c r="D275" s="4360"/>
      <c r="E275" s="4360"/>
      <c r="F275" s="4360"/>
      <c r="G275" s="4360"/>
      <c r="H275" s="4360"/>
      <c r="I275" s="4360"/>
      <c r="J275" s="4360"/>
      <c r="K275" s="4360"/>
      <c r="L275" s="4361"/>
      <c r="M275" s="4360"/>
      <c r="N275" s="4360"/>
      <c r="O275" s="4360"/>
      <c r="P275" s="4360"/>
      <c r="Q275" s="4360"/>
      <c r="R275" s="4360"/>
      <c r="S275" s="4360"/>
      <c r="T275" s="4360"/>
      <c r="U275" s="4360"/>
      <c r="V275" s="4360"/>
      <c r="W275" s="4360"/>
    </row>
    <row r="276" spans="2:23" s="4273" customFormat="1">
      <c r="B276" s="4360"/>
      <c r="C276" s="4360"/>
      <c r="D276" s="4360"/>
      <c r="E276" s="4360"/>
      <c r="F276" s="4360"/>
      <c r="G276" s="4360"/>
      <c r="H276" s="4360"/>
      <c r="I276" s="4360"/>
      <c r="J276" s="4360"/>
      <c r="K276" s="4360"/>
      <c r="L276" s="4361"/>
      <c r="M276" s="4360"/>
      <c r="N276" s="4360"/>
      <c r="O276" s="4360"/>
      <c r="P276" s="4360"/>
      <c r="Q276" s="4360"/>
      <c r="R276" s="4360"/>
      <c r="S276" s="4360"/>
      <c r="T276" s="4360"/>
      <c r="U276" s="4360"/>
      <c r="V276" s="4360"/>
      <c r="W276" s="4360"/>
    </row>
    <row r="277" spans="2:23" s="4273" customFormat="1">
      <c r="B277" s="4360"/>
      <c r="C277" s="4360"/>
      <c r="D277" s="4360"/>
      <c r="E277" s="4360"/>
      <c r="F277" s="4360"/>
      <c r="G277" s="4360"/>
      <c r="H277" s="4360"/>
      <c r="I277" s="4360"/>
      <c r="J277" s="4360"/>
      <c r="K277" s="4360"/>
      <c r="L277" s="4361"/>
      <c r="M277" s="4360"/>
      <c r="N277" s="4360"/>
      <c r="O277" s="4360"/>
      <c r="P277" s="4360"/>
      <c r="Q277" s="4360"/>
      <c r="R277" s="4360"/>
      <c r="S277" s="4360"/>
      <c r="T277" s="4360"/>
      <c r="U277" s="4360"/>
      <c r="V277" s="4360"/>
      <c r="W277" s="4360"/>
    </row>
    <row r="278" spans="2:23" s="4273" customFormat="1">
      <c r="B278" s="4360"/>
      <c r="C278" s="4360"/>
      <c r="D278" s="4360"/>
      <c r="E278" s="4360"/>
      <c r="F278" s="4360"/>
      <c r="G278" s="4360"/>
      <c r="H278" s="4360"/>
      <c r="I278" s="4360"/>
      <c r="J278" s="4360"/>
      <c r="K278" s="4360"/>
      <c r="L278" s="4361"/>
      <c r="M278" s="4360"/>
      <c r="N278" s="4360"/>
      <c r="O278" s="4360"/>
      <c r="P278" s="4360"/>
      <c r="Q278" s="4360"/>
      <c r="R278" s="4360"/>
      <c r="S278" s="4360"/>
      <c r="T278" s="4360"/>
      <c r="U278" s="4360"/>
      <c r="V278" s="4360"/>
      <c r="W278" s="4360"/>
    </row>
    <row r="279" spans="2:23" s="4273" customFormat="1">
      <c r="B279" s="4360"/>
      <c r="C279" s="4360"/>
      <c r="D279" s="4360"/>
      <c r="E279" s="4360"/>
      <c r="F279" s="4360"/>
      <c r="G279" s="4360"/>
      <c r="H279" s="4360"/>
      <c r="I279" s="4360"/>
      <c r="J279" s="4360"/>
      <c r="K279" s="4360"/>
      <c r="L279" s="4361"/>
      <c r="M279" s="4360"/>
      <c r="N279" s="4360"/>
      <c r="O279" s="4360"/>
      <c r="P279" s="4360"/>
      <c r="Q279" s="4360"/>
      <c r="R279" s="4360"/>
      <c r="S279" s="4360"/>
      <c r="T279" s="4360"/>
      <c r="U279" s="4360"/>
      <c r="V279" s="4360"/>
      <c r="W279" s="4360"/>
    </row>
    <row r="280" spans="2:23" s="4273" customFormat="1">
      <c r="B280" s="4360"/>
      <c r="C280" s="4360"/>
      <c r="D280" s="4360"/>
      <c r="E280" s="4360"/>
      <c r="F280" s="4360"/>
      <c r="G280" s="4360"/>
      <c r="H280" s="4360"/>
      <c r="I280" s="4360"/>
      <c r="J280" s="4360"/>
      <c r="K280" s="4360"/>
      <c r="L280" s="4361"/>
      <c r="M280" s="4360"/>
      <c r="N280" s="4360"/>
      <c r="O280" s="4360"/>
      <c r="P280" s="4360"/>
      <c r="Q280" s="4360"/>
      <c r="R280" s="4360"/>
      <c r="S280" s="4360"/>
      <c r="T280" s="4360"/>
      <c r="U280" s="4360"/>
      <c r="V280" s="4360"/>
      <c r="W280" s="4360"/>
    </row>
    <row r="281" spans="2:23" s="4273" customFormat="1">
      <c r="B281" s="4360"/>
      <c r="C281" s="4360"/>
      <c r="D281" s="4360"/>
      <c r="E281" s="4360"/>
      <c r="F281" s="4360"/>
      <c r="G281" s="4360"/>
      <c r="H281" s="4360"/>
      <c r="I281" s="4360"/>
      <c r="J281" s="4360"/>
      <c r="K281" s="4360"/>
      <c r="L281" s="4361"/>
      <c r="M281" s="4360"/>
      <c r="N281" s="4360"/>
      <c r="O281" s="4360"/>
      <c r="P281" s="4360"/>
      <c r="Q281" s="4360"/>
      <c r="R281" s="4360"/>
      <c r="S281" s="4360"/>
      <c r="T281" s="4360"/>
      <c r="U281" s="4360"/>
      <c r="V281" s="4360"/>
      <c r="W281" s="4360"/>
    </row>
    <row r="282" spans="2:23" s="4273" customFormat="1">
      <c r="B282" s="4360"/>
      <c r="C282" s="4360"/>
      <c r="D282" s="4360"/>
      <c r="E282" s="4360"/>
      <c r="F282" s="4360"/>
      <c r="G282" s="4360"/>
      <c r="H282" s="4360"/>
      <c r="I282" s="4360"/>
      <c r="J282" s="4360"/>
      <c r="K282" s="4360"/>
      <c r="L282" s="4361"/>
      <c r="M282" s="4360"/>
      <c r="N282" s="4360"/>
      <c r="O282" s="4360"/>
      <c r="P282" s="4360"/>
      <c r="Q282" s="4360"/>
      <c r="R282" s="4360"/>
      <c r="S282" s="4360"/>
      <c r="T282" s="4360"/>
      <c r="U282" s="4360"/>
      <c r="V282" s="4360"/>
      <c r="W282" s="4360"/>
    </row>
    <row r="283" spans="2:23" s="4273" customFormat="1">
      <c r="B283" s="4360"/>
      <c r="C283" s="4360"/>
      <c r="D283" s="4360"/>
      <c r="E283" s="4360"/>
      <c r="F283" s="4360"/>
      <c r="G283" s="4360"/>
      <c r="H283" s="4360"/>
      <c r="I283" s="4360"/>
      <c r="J283" s="4360"/>
      <c r="K283" s="4360"/>
      <c r="L283" s="4361"/>
      <c r="M283" s="4360"/>
      <c r="N283" s="4360"/>
      <c r="O283" s="4360"/>
      <c r="P283" s="4360"/>
      <c r="Q283" s="4360"/>
      <c r="R283" s="4360"/>
      <c r="S283" s="4360"/>
      <c r="T283" s="4360"/>
      <c r="U283" s="4360"/>
      <c r="V283" s="4360"/>
      <c r="W283" s="4360"/>
    </row>
    <row r="284" spans="2:23" s="4273" customFormat="1">
      <c r="B284" s="4360"/>
      <c r="C284" s="4360"/>
      <c r="D284" s="4360"/>
      <c r="E284" s="4360"/>
      <c r="F284" s="4360"/>
      <c r="G284" s="4360"/>
      <c r="H284" s="4360"/>
      <c r="I284" s="4360"/>
      <c r="J284" s="4360"/>
      <c r="K284" s="4360"/>
      <c r="L284" s="4361"/>
      <c r="M284" s="4360"/>
      <c r="N284" s="4360"/>
      <c r="O284" s="4360"/>
      <c r="P284" s="4360"/>
      <c r="Q284" s="4360"/>
      <c r="R284" s="4360"/>
      <c r="S284" s="4360"/>
      <c r="T284" s="4360"/>
      <c r="U284" s="4360"/>
      <c r="V284" s="4360"/>
      <c r="W284" s="4360"/>
    </row>
    <row r="285" spans="2:23" s="4273" customFormat="1">
      <c r="B285" s="4360"/>
      <c r="C285" s="4360"/>
      <c r="D285" s="4360"/>
      <c r="E285" s="4360"/>
      <c r="F285" s="4360"/>
      <c r="G285" s="4360"/>
      <c r="H285" s="4360"/>
      <c r="I285" s="4360"/>
      <c r="J285" s="4360"/>
      <c r="K285" s="4360"/>
      <c r="L285" s="4361"/>
      <c r="M285" s="4360"/>
      <c r="N285" s="4360"/>
      <c r="O285" s="4360"/>
      <c r="P285" s="4360"/>
      <c r="Q285" s="4360"/>
      <c r="R285" s="4360"/>
      <c r="S285" s="4360"/>
      <c r="T285" s="4360"/>
      <c r="U285" s="4360"/>
      <c r="V285" s="4360"/>
      <c r="W285" s="4360"/>
    </row>
    <row r="286" spans="2:23" s="4273" customFormat="1">
      <c r="B286" s="4360"/>
      <c r="C286" s="4360"/>
      <c r="D286" s="4360"/>
      <c r="E286" s="4360"/>
      <c r="F286" s="4360"/>
      <c r="G286" s="4360"/>
      <c r="H286" s="4360"/>
      <c r="I286" s="4360"/>
      <c r="J286" s="4360"/>
      <c r="K286" s="4360"/>
      <c r="L286" s="4361"/>
      <c r="M286" s="4360"/>
      <c r="N286" s="4360"/>
      <c r="O286" s="4360"/>
      <c r="P286" s="4360"/>
      <c r="Q286" s="4360"/>
      <c r="R286" s="4360"/>
      <c r="S286" s="4360"/>
      <c r="T286" s="4360"/>
      <c r="U286" s="4360"/>
      <c r="V286" s="4360"/>
      <c r="W286" s="4360"/>
    </row>
    <row r="287" spans="2:23" s="4273" customFormat="1">
      <c r="B287" s="4360"/>
      <c r="C287" s="4360"/>
      <c r="D287" s="4360"/>
      <c r="E287" s="4360"/>
      <c r="F287" s="4360"/>
      <c r="G287" s="4360"/>
      <c r="H287" s="4360"/>
      <c r="I287" s="4360"/>
      <c r="J287" s="4360"/>
      <c r="K287" s="4360"/>
      <c r="L287" s="4361"/>
      <c r="M287" s="4360"/>
      <c r="N287" s="4360"/>
      <c r="O287" s="4360"/>
      <c r="P287" s="4360"/>
      <c r="Q287" s="4360"/>
      <c r="R287" s="4360"/>
      <c r="S287" s="4360"/>
      <c r="T287" s="4360"/>
      <c r="U287" s="4360"/>
      <c r="V287" s="4360"/>
      <c r="W287" s="4360"/>
    </row>
    <row r="288" spans="2:23" s="4273" customFormat="1">
      <c r="B288" s="4360"/>
      <c r="C288" s="4360"/>
      <c r="D288" s="4360"/>
      <c r="E288" s="4360"/>
      <c r="F288" s="4360"/>
      <c r="G288" s="4360"/>
      <c r="H288" s="4360"/>
      <c r="I288" s="4360"/>
      <c r="J288" s="4360"/>
      <c r="K288" s="4360"/>
      <c r="L288" s="4361"/>
      <c r="M288" s="4360"/>
      <c r="N288" s="4360"/>
      <c r="O288" s="4360"/>
      <c r="P288" s="4360"/>
      <c r="Q288" s="4360"/>
      <c r="R288" s="4360"/>
      <c r="S288" s="4360"/>
      <c r="T288" s="4360"/>
      <c r="U288" s="4360"/>
      <c r="V288" s="4360"/>
      <c r="W288" s="4360"/>
    </row>
    <row r="289" spans="2:23" s="4273" customFormat="1">
      <c r="B289" s="4360"/>
      <c r="C289" s="4360"/>
      <c r="D289" s="4360"/>
      <c r="E289" s="4360"/>
      <c r="F289" s="4360"/>
      <c r="G289" s="4360"/>
      <c r="H289" s="4360"/>
      <c r="I289" s="4360"/>
      <c r="J289" s="4360"/>
      <c r="K289" s="4360"/>
      <c r="L289" s="4361"/>
      <c r="M289" s="4360"/>
      <c r="N289" s="4360"/>
      <c r="O289" s="4360"/>
      <c r="P289" s="4360"/>
      <c r="Q289" s="4360"/>
      <c r="R289" s="4360"/>
      <c r="S289" s="4360"/>
      <c r="T289" s="4360"/>
      <c r="U289" s="4360"/>
      <c r="V289" s="4360"/>
      <c r="W289" s="4360"/>
    </row>
    <row r="290" spans="2:23" s="4273" customFormat="1">
      <c r="B290" s="4360"/>
      <c r="C290" s="4360"/>
      <c r="D290" s="4360"/>
      <c r="E290" s="4360"/>
      <c r="F290" s="4360"/>
      <c r="G290" s="4360"/>
      <c r="H290" s="4360"/>
      <c r="I290" s="4360"/>
      <c r="J290" s="4360"/>
      <c r="K290" s="4360"/>
      <c r="L290" s="4361"/>
      <c r="M290" s="4360"/>
      <c r="N290" s="4360"/>
      <c r="O290" s="4360"/>
      <c r="P290" s="4360"/>
      <c r="Q290" s="4360"/>
      <c r="R290" s="4360"/>
      <c r="S290" s="4360"/>
      <c r="T290" s="4360"/>
      <c r="U290" s="4360"/>
      <c r="V290" s="4360"/>
      <c r="W290" s="4360"/>
    </row>
    <row r="291" spans="2:23" s="4273" customFormat="1">
      <c r="B291" s="4360"/>
      <c r="C291" s="4360"/>
      <c r="D291" s="4360"/>
      <c r="E291" s="4360"/>
      <c r="F291" s="4360"/>
      <c r="G291" s="4360"/>
      <c r="H291" s="4360"/>
      <c r="I291" s="4360"/>
      <c r="J291" s="4360"/>
      <c r="K291" s="4360"/>
      <c r="L291" s="4361"/>
      <c r="M291" s="4360"/>
      <c r="N291" s="4360"/>
      <c r="O291" s="4360"/>
      <c r="P291" s="4360"/>
      <c r="Q291" s="4360"/>
      <c r="R291" s="4360"/>
      <c r="S291" s="4360"/>
      <c r="T291" s="4360"/>
      <c r="U291" s="4360"/>
      <c r="V291" s="4360"/>
      <c r="W291" s="4360"/>
    </row>
    <row r="292" spans="2:23" s="4273" customFormat="1">
      <c r="B292" s="4360"/>
      <c r="C292" s="4360"/>
      <c r="D292" s="4360"/>
      <c r="E292" s="4360"/>
      <c r="F292" s="4360"/>
      <c r="G292" s="4360"/>
      <c r="H292" s="4360"/>
      <c r="I292" s="4360"/>
      <c r="J292" s="4360"/>
      <c r="K292" s="4360"/>
      <c r="L292" s="4361"/>
      <c r="M292" s="4360"/>
      <c r="N292" s="4360"/>
      <c r="O292" s="4360"/>
      <c r="P292" s="4360"/>
      <c r="Q292" s="4360"/>
      <c r="R292" s="4360"/>
      <c r="S292" s="4360"/>
      <c r="T292" s="4360"/>
      <c r="U292" s="4360"/>
      <c r="V292" s="4360"/>
      <c r="W292" s="4360"/>
    </row>
    <row r="293" spans="2:23" s="4273" customFormat="1">
      <c r="B293" s="4360"/>
      <c r="C293" s="4360"/>
      <c r="D293" s="4360"/>
      <c r="E293" s="4360"/>
      <c r="F293" s="4360"/>
      <c r="G293" s="4360"/>
      <c r="H293" s="4360"/>
      <c r="I293" s="4360"/>
      <c r="J293" s="4360"/>
      <c r="K293" s="4360"/>
      <c r="L293" s="4361"/>
      <c r="M293" s="4360"/>
      <c r="N293" s="4360"/>
      <c r="O293" s="4360"/>
      <c r="P293" s="4360"/>
      <c r="Q293" s="4360"/>
      <c r="R293" s="4360"/>
      <c r="S293" s="4360"/>
      <c r="T293" s="4360"/>
      <c r="U293" s="4360"/>
      <c r="V293" s="4360"/>
      <c r="W293" s="4360"/>
    </row>
    <row r="294" spans="2:23" s="4273" customFormat="1">
      <c r="B294" s="4360"/>
      <c r="C294" s="4360"/>
      <c r="D294" s="4360"/>
      <c r="E294" s="4360"/>
      <c r="F294" s="4360"/>
      <c r="G294" s="4360"/>
      <c r="H294" s="4360"/>
      <c r="I294" s="4360"/>
      <c r="J294" s="4360"/>
      <c r="K294" s="4360"/>
      <c r="L294" s="4361"/>
      <c r="M294" s="4360"/>
      <c r="N294" s="4360"/>
      <c r="O294" s="4360"/>
      <c r="P294" s="4360"/>
      <c r="Q294" s="4360"/>
      <c r="R294" s="4360"/>
      <c r="S294" s="4360"/>
      <c r="T294" s="4360"/>
      <c r="U294" s="4360"/>
      <c r="V294" s="4360"/>
      <c r="W294" s="4360"/>
    </row>
    <row r="295" spans="2:23" s="4273" customFormat="1">
      <c r="B295" s="4360"/>
      <c r="C295" s="4360"/>
      <c r="D295" s="4360"/>
      <c r="E295" s="4360"/>
      <c r="F295" s="4360"/>
      <c r="G295" s="4360"/>
      <c r="H295" s="4360"/>
      <c r="I295" s="4360"/>
      <c r="J295" s="4360"/>
      <c r="K295" s="4360"/>
      <c r="L295" s="4361"/>
      <c r="M295" s="4360"/>
      <c r="N295" s="4360"/>
      <c r="O295" s="4360"/>
      <c r="P295" s="4360"/>
      <c r="Q295" s="4360"/>
      <c r="R295" s="4360"/>
      <c r="S295" s="4360"/>
      <c r="T295" s="4360"/>
      <c r="U295" s="4360"/>
      <c r="V295" s="4360"/>
      <c r="W295" s="4360"/>
    </row>
    <row r="296" spans="2:23" s="4273" customFormat="1">
      <c r="B296" s="4360"/>
      <c r="C296" s="4360"/>
      <c r="D296" s="4360"/>
      <c r="E296" s="4360"/>
      <c r="F296" s="4360"/>
      <c r="G296" s="4360"/>
      <c r="H296" s="4360"/>
      <c r="I296" s="4360"/>
      <c r="J296" s="4360"/>
      <c r="K296" s="4360"/>
      <c r="L296" s="4361"/>
      <c r="M296" s="4360"/>
      <c r="N296" s="4360"/>
      <c r="O296" s="4360"/>
      <c r="P296" s="4360"/>
      <c r="Q296" s="4360"/>
      <c r="R296" s="4360"/>
      <c r="S296" s="4360"/>
      <c r="T296" s="4360"/>
      <c r="U296" s="4360"/>
      <c r="V296" s="4360"/>
      <c r="W296" s="4360"/>
    </row>
    <row r="297" spans="2:23" s="4273" customFormat="1">
      <c r="B297" s="4360"/>
      <c r="C297" s="4360"/>
      <c r="D297" s="4360"/>
      <c r="E297" s="4360"/>
      <c r="F297" s="4360"/>
      <c r="G297" s="4360"/>
      <c r="H297" s="4360"/>
      <c r="I297" s="4360"/>
      <c r="J297" s="4360"/>
      <c r="K297" s="4360"/>
      <c r="L297" s="4361"/>
      <c r="M297" s="4360"/>
      <c r="N297" s="4360"/>
      <c r="O297" s="4360"/>
      <c r="P297" s="4360"/>
      <c r="Q297" s="4360"/>
      <c r="R297" s="4360"/>
      <c r="S297" s="4360"/>
      <c r="T297" s="4360"/>
      <c r="U297" s="4360"/>
      <c r="V297" s="4360"/>
      <c r="W297" s="4360"/>
    </row>
    <row r="298" spans="2:23" s="4273" customFormat="1">
      <c r="B298" s="4360"/>
      <c r="C298" s="4360"/>
      <c r="D298" s="4360"/>
      <c r="E298" s="4360"/>
      <c r="F298" s="4360"/>
      <c r="G298" s="4360"/>
      <c r="H298" s="4360"/>
      <c r="I298" s="4360"/>
      <c r="J298" s="4360"/>
      <c r="K298" s="4360"/>
      <c r="L298" s="4361"/>
      <c r="M298" s="4360"/>
      <c r="N298" s="4360"/>
      <c r="O298" s="4360"/>
      <c r="P298" s="4360"/>
      <c r="Q298" s="4360"/>
      <c r="R298" s="4360"/>
      <c r="S298" s="4360"/>
      <c r="T298" s="4360"/>
      <c r="U298" s="4360"/>
      <c r="V298" s="4360"/>
      <c r="W298" s="4360"/>
    </row>
    <row r="299" spans="2:23" s="4273" customFormat="1">
      <c r="B299" s="4360"/>
      <c r="C299" s="4360"/>
      <c r="D299" s="4360"/>
      <c r="E299" s="4360"/>
      <c r="F299" s="4360"/>
      <c r="G299" s="4360"/>
      <c r="H299" s="4360"/>
      <c r="I299" s="4360"/>
      <c r="J299" s="4360"/>
      <c r="K299" s="4360"/>
      <c r="L299" s="4361"/>
      <c r="M299" s="4360"/>
      <c r="N299" s="4360"/>
      <c r="O299" s="4360"/>
      <c r="P299" s="4360"/>
      <c r="Q299" s="4360"/>
      <c r="R299" s="4360"/>
      <c r="S299" s="4360"/>
      <c r="T299" s="4360"/>
      <c r="U299" s="4360"/>
      <c r="V299" s="4360"/>
      <c r="W299" s="4360"/>
    </row>
    <row r="300" spans="2:23" s="4273" customFormat="1">
      <c r="B300" s="4360"/>
      <c r="C300" s="4360"/>
      <c r="D300" s="4360"/>
      <c r="E300" s="4360"/>
      <c r="F300" s="4360"/>
      <c r="G300" s="4360"/>
      <c r="H300" s="4360"/>
      <c r="I300" s="4360"/>
      <c r="J300" s="4360"/>
      <c r="K300" s="4360"/>
      <c r="L300" s="4361"/>
      <c r="M300" s="4360"/>
      <c r="N300" s="4360"/>
      <c r="O300" s="4360"/>
      <c r="P300" s="4360"/>
      <c r="Q300" s="4360"/>
      <c r="R300" s="4360"/>
      <c r="S300" s="4360"/>
      <c r="T300" s="4360"/>
      <c r="U300" s="4360"/>
      <c r="V300" s="4360"/>
      <c r="W300" s="4360"/>
    </row>
    <row r="301" spans="2:23" s="4273" customFormat="1">
      <c r="B301" s="4360"/>
      <c r="C301" s="4360"/>
      <c r="D301" s="4360"/>
      <c r="E301" s="4360"/>
      <c r="F301" s="4360"/>
      <c r="G301" s="4360"/>
      <c r="H301" s="4360"/>
      <c r="I301" s="4360"/>
      <c r="J301" s="4360"/>
      <c r="K301" s="4360"/>
      <c r="L301" s="4361"/>
      <c r="M301" s="4360"/>
      <c r="N301" s="4360"/>
      <c r="O301" s="4360"/>
      <c r="P301" s="4360"/>
      <c r="Q301" s="4360"/>
      <c r="R301" s="4360"/>
      <c r="S301" s="4360"/>
      <c r="T301" s="4360"/>
      <c r="U301" s="4360"/>
      <c r="V301" s="4360"/>
      <c r="W301" s="4360"/>
    </row>
    <row r="302" spans="2:23" s="4273" customFormat="1">
      <c r="B302" s="4360"/>
      <c r="C302" s="4360"/>
      <c r="D302" s="4360"/>
      <c r="E302" s="4360"/>
      <c r="F302" s="4360"/>
      <c r="G302" s="4360"/>
      <c r="H302" s="4360"/>
      <c r="I302" s="4360"/>
      <c r="J302" s="4360"/>
      <c r="K302" s="4360"/>
      <c r="L302" s="4361"/>
      <c r="M302" s="4360"/>
      <c r="N302" s="4360"/>
      <c r="O302" s="4360"/>
      <c r="P302" s="4360"/>
      <c r="Q302" s="4360"/>
      <c r="R302" s="4360"/>
      <c r="S302" s="4360"/>
      <c r="T302" s="4360"/>
      <c r="U302" s="4360"/>
      <c r="V302" s="4360"/>
      <c r="W302" s="4360"/>
    </row>
    <row r="303" spans="2:23" s="4273" customFormat="1">
      <c r="B303" s="4360"/>
      <c r="C303" s="4360"/>
      <c r="D303" s="4360"/>
      <c r="E303" s="4360"/>
      <c r="F303" s="4360"/>
      <c r="G303" s="4360"/>
      <c r="H303" s="4360"/>
      <c r="I303" s="4360"/>
      <c r="J303" s="4360"/>
      <c r="K303" s="4360"/>
      <c r="L303" s="4361"/>
      <c r="M303" s="4360"/>
      <c r="N303" s="4360"/>
      <c r="O303" s="4360"/>
      <c r="P303" s="4360"/>
      <c r="Q303" s="4360"/>
      <c r="R303" s="4360"/>
      <c r="S303" s="4360"/>
      <c r="T303" s="4360"/>
      <c r="U303" s="4360"/>
      <c r="V303" s="4360"/>
      <c r="W303" s="4360"/>
    </row>
    <row r="304" spans="2:23" s="4273" customFormat="1">
      <c r="B304" s="4360"/>
      <c r="C304" s="4360"/>
      <c r="D304" s="4360"/>
      <c r="E304" s="4360"/>
      <c r="F304" s="4360"/>
      <c r="G304" s="4360"/>
      <c r="H304" s="4360"/>
      <c r="I304" s="4360"/>
      <c r="J304" s="4360"/>
      <c r="K304" s="4360"/>
      <c r="L304" s="4361"/>
      <c r="M304" s="4360"/>
      <c r="N304" s="4360"/>
      <c r="O304" s="4360"/>
      <c r="P304" s="4360"/>
      <c r="Q304" s="4360"/>
      <c r="R304" s="4360"/>
      <c r="S304" s="4360"/>
      <c r="T304" s="4360"/>
      <c r="U304" s="4360"/>
      <c r="V304" s="4360"/>
      <c r="W304" s="4360"/>
    </row>
    <row r="305" spans="2:23" s="4273" customFormat="1">
      <c r="B305" s="4360"/>
      <c r="C305" s="4360"/>
      <c r="D305" s="4360"/>
      <c r="E305" s="4360"/>
      <c r="F305" s="4360"/>
      <c r="G305" s="4360"/>
      <c r="H305" s="4360"/>
      <c r="I305" s="4360"/>
      <c r="J305" s="4360"/>
      <c r="K305" s="4360"/>
      <c r="L305" s="4361"/>
      <c r="M305" s="4360"/>
      <c r="N305" s="4360"/>
      <c r="O305" s="4360"/>
      <c r="P305" s="4360"/>
      <c r="Q305" s="4360"/>
      <c r="R305" s="4360"/>
      <c r="S305" s="4360"/>
      <c r="T305" s="4360"/>
      <c r="U305" s="4360"/>
      <c r="V305" s="4360"/>
      <c r="W305" s="4360"/>
    </row>
    <row r="306" spans="2:23" s="4273" customFormat="1">
      <c r="B306" s="4360"/>
      <c r="C306" s="4360"/>
      <c r="D306" s="4360"/>
      <c r="E306" s="4360"/>
      <c r="F306" s="4360"/>
      <c r="G306" s="4360"/>
      <c r="H306" s="4360"/>
      <c r="I306" s="4360"/>
      <c r="J306" s="4360"/>
      <c r="K306" s="4360"/>
      <c r="L306" s="4361"/>
      <c r="M306" s="4360"/>
      <c r="N306" s="4360"/>
      <c r="O306" s="4360"/>
      <c r="P306" s="4360"/>
      <c r="Q306" s="4360"/>
      <c r="R306" s="4360"/>
      <c r="S306" s="4360"/>
      <c r="T306" s="4360"/>
      <c r="U306" s="4360"/>
      <c r="V306" s="4360"/>
      <c r="W306" s="4360"/>
    </row>
    <row r="307" spans="2:23" s="4273" customFormat="1">
      <c r="B307" s="4360"/>
      <c r="C307" s="4360"/>
      <c r="D307" s="4360"/>
      <c r="E307" s="4360"/>
      <c r="F307" s="4360"/>
      <c r="G307" s="4360"/>
      <c r="H307" s="4360"/>
      <c r="I307" s="4360"/>
      <c r="J307" s="4360"/>
      <c r="K307" s="4360"/>
      <c r="L307" s="4361"/>
      <c r="M307" s="4360"/>
      <c r="N307" s="4360"/>
      <c r="O307" s="4360"/>
      <c r="P307" s="4360"/>
      <c r="Q307" s="4360"/>
      <c r="R307" s="4360"/>
      <c r="S307" s="4360"/>
      <c r="T307" s="4360"/>
      <c r="U307" s="4360"/>
      <c r="V307" s="4360"/>
      <c r="W307" s="4360"/>
    </row>
    <row r="308" spans="2:23" s="4273" customFormat="1">
      <c r="B308" s="4360"/>
      <c r="C308" s="4360"/>
      <c r="D308" s="4360"/>
      <c r="E308" s="4360"/>
      <c r="F308" s="4360"/>
      <c r="G308" s="4360"/>
      <c r="H308" s="4360"/>
      <c r="I308" s="4360"/>
      <c r="J308" s="4360"/>
      <c r="K308" s="4360"/>
      <c r="L308" s="4361"/>
      <c r="M308" s="4360"/>
      <c r="N308" s="4360"/>
      <c r="O308" s="4360"/>
      <c r="P308" s="4360"/>
      <c r="Q308" s="4360"/>
      <c r="R308" s="4360"/>
      <c r="S308" s="4360"/>
      <c r="T308" s="4360"/>
      <c r="U308" s="4360"/>
      <c r="V308" s="4360"/>
      <c r="W308" s="4360"/>
    </row>
    <row r="309" spans="2:23" s="4273" customFormat="1">
      <c r="B309" s="4360"/>
      <c r="C309" s="4360"/>
      <c r="D309" s="4360"/>
      <c r="E309" s="4360"/>
      <c r="F309" s="4360"/>
      <c r="G309" s="4360"/>
      <c r="H309" s="4360"/>
      <c r="I309" s="4360"/>
      <c r="J309" s="4360"/>
      <c r="K309" s="4360"/>
      <c r="L309" s="4361"/>
      <c r="M309" s="4360"/>
      <c r="N309" s="4360"/>
      <c r="O309" s="4360"/>
      <c r="P309" s="4360"/>
      <c r="Q309" s="4360"/>
      <c r="R309" s="4360"/>
      <c r="S309" s="4360"/>
      <c r="T309" s="4360"/>
      <c r="U309" s="4360"/>
      <c r="V309" s="4360"/>
      <c r="W309" s="4360"/>
    </row>
    <row r="310" spans="2:23" s="4273" customFormat="1">
      <c r="B310" s="4360"/>
      <c r="C310" s="4360"/>
      <c r="D310" s="4360"/>
      <c r="E310" s="4360"/>
      <c r="F310" s="4360"/>
      <c r="G310" s="4360"/>
      <c r="H310" s="4360"/>
      <c r="I310" s="4360"/>
      <c r="J310" s="4360"/>
      <c r="K310" s="4360"/>
      <c r="L310" s="4361"/>
      <c r="M310" s="4360"/>
      <c r="N310" s="4360"/>
      <c r="O310" s="4360"/>
      <c r="P310" s="4360"/>
      <c r="Q310" s="4360"/>
      <c r="R310" s="4360"/>
      <c r="S310" s="4360"/>
      <c r="T310" s="4360"/>
      <c r="U310" s="4360"/>
      <c r="V310" s="4360"/>
      <c r="W310" s="4360"/>
    </row>
    <row r="311" spans="2:23" s="4273" customFormat="1">
      <c r="B311" s="4360"/>
      <c r="C311" s="4360"/>
      <c r="D311" s="4360"/>
      <c r="E311" s="4360"/>
      <c r="F311" s="4360"/>
      <c r="G311" s="4360"/>
      <c r="H311" s="4360"/>
      <c r="I311" s="4360"/>
      <c r="J311" s="4360"/>
      <c r="K311" s="4360"/>
      <c r="L311" s="4361"/>
      <c r="M311" s="4360"/>
      <c r="N311" s="4360"/>
      <c r="O311" s="4360"/>
      <c r="P311" s="4360"/>
      <c r="Q311" s="4360"/>
      <c r="R311" s="4360"/>
      <c r="S311" s="4360"/>
      <c r="T311" s="4360"/>
      <c r="U311" s="4360"/>
      <c r="V311" s="4360"/>
      <c r="W311" s="4360"/>
    </row>
    <row r="312" spans="2:23" s="4273" customFormat="1">
      <c r="B312" s="4360"/>
      <c r="C312" s="4360"/>
      <c r="D312" s="4360"/>
      <c r="E312" s="4360"/>
      <c r="F312" s="4360"/>
      <c r="G312" s="4360"/>
      <c r="H312" s="4360"/>
      <c r="I312" s="4360"/>
      <c r="J312" s="4360"/>
      <c r="K312" s="4360"/>
      <c r="L312" s="4361"/>
      <c r="M312" s="4360"/>
      <c r="N312" s="4360"/>
      <c r="O312" s="4360"/>
      <c r="P312" s="4360"/>
      <c r="Q312" s="4360"/>
      <c r="R312" s="4360"/>
      <c r="S312" s="4360"/>
      <c r="T312" s="4360"/>
      <c r="U312" s="4360"/>
      <c r="V312" s="4360"/>
      <c r="W312" s="4360"/>
    </row>
    <row r="313" spans="2:23" s="4273" customFormat="1">
      <c r="B313" s="4360"/>
      <c r="C313" s="4360"/>
      <c r="D313" s="4360"/>
      <c r="E313" s="4360"/>
      <c r="F313" s="4360"/>
      <c r="G313" s="4360"/>
      <c r="H313" s="4360"/>
      <c r="I313" s="4360"/>
      <c r="J313" s="4360"/>
      <c r="K313" s="4360"/>
      <c r="L313" s="4361"/>
      <c r="M313" s="4360"/>
      <c r="N313" s="4360"/>
      <c r="O313" s="4360"/>
      <c r="P313" s="4360"/>
      <c r="Q313" s="4360"/>
      <c r="R313" s="4360"/>
      <c r="S313" s="4360"/>
      <c r="T313" s="4360"/>
      <c r="U313" s="4360"/>
      <c r="V313" s="4360"/>
      <c r="W313" s="4360"/>
    </row>
    <row r="314" spans="2:23" s="4273" customFormat="1">
      <c r="B314" s="4360"/>
      <c r="C314" s="4360"/>
      <c r="D314" s="4360"/>
      <c r="E314" s="4360"/>
      <c r="F314" s="4360"/>
      <c r="G314" s="4360"/>
      <c r="H314" s="4360"/>
      <c r="I314" s="4360"/>
      <c r="J314" s="4360"/>
      <c r="K314" s="4360"/>
      <c r="L314" s="4361"/>
      <c r="M314" s="4360"/>
      <c r="N314" s="4360"/>
      <c r="O314" s="4360"/>
      <c r="P314" s="4360"/>
      <c r="Q314" s="4360"/>
      <c r="R314" s="4360"/>
      <c r="S314" s="4360"/>
      <c r="T314" s="4360"/>
      <c r="U314" s="4360"/>
      <c r="V314" s="4360"/>
      <c r="W314" s="4360"/>
    </row>
    <row r="315" spans="2:23" s="4273" customFormat="1">
      <c r="B315" s="4360"/>
      <c r="C315" s="4360"/>
      <c r="D315" s="4360"/>
      <c r="E315" s="4360"/>
      <c r="F315" s="4360"/>
      <c r="G315" s="4360"/>
      <c r="H315" s="4360"/>
      <c r="I315" s="4360"/>
      <c r="J315" s="4360"/>
      <c r="K315" s="4360"/>
      <c r="L315" s="4361"/>
      <c r="M315" s="4360"/>
      <c r="N315" s="4360"/>
      <c r="O315" s="4360"/>
      <c r="P315" s="4360"/>
      <c r="Q315" s="4360"/>
      <c r="R315" s="4360"/>
      <c r="S315" s="4360"/>
      <c r="T315" s="4360"/>
      <c r="U315" s="4360"/>
      <c r="V315" s="4360"/>
      <c r="W315" s="4360"/>
    </row>
    <row r="316" spans="2:23" s="4273" customFormat="1">
      <c r="B316" s="4360"/>
      <c r="C316" s="4360"/>
      <c r="D316" s="4360"/>
      <c r="E316" s="4360"/>
      <c r="F316" s="4360"/>
      <c r="G316" s="4360"/>
      <c r="H316" s="4360"/>
      <c r="I316" s="4360"/>
      <c r="J316" s="4360"/>
      <c r="K316" s="4360"/>
      <c r="L316" s="4361"/>
      <c r="M316" s="4360"/>
      <c r="N316" s="4360"/>
      <c r="O316" s="4360"/>
      <c r="P316" s="4360"/>
      <c r="Q316" s="4360"/>
      <c r="R316" s="4360"/>
      <c r="S316" s="4360"/>
      <c r="T316" s="4360"/>
      <c r="U316" s="4360"/>
      <c r="V316" s="4360"/>
      <c r="W316" s="4360"/>
    </row>
    <row r="317" spans="2:23" s="4273" customFormat="1">
      <c r="B317" s="4360"/>
      <c r="C317" s="4360"/>
      <c r="D317" s="4360"/>
      <c r="E317" s="4360"/>
      <c r="F317" s="4360"/>
      <c r="G317" s="4360"/>
      <c r="H317" s="4360"/>
      <c r="I317" s="4360"/>
      <c r="J317" s="4360"/>
      <c r="K317" s="4360"/>
      <c r="L317" s="4361"/>
      <c r="M317" s="4360"/>
      <c r="N317" s="4360"/>
      <c r="O317" s="4360"/>
      <c r="P317" s="4360"/>
      <c r="Q317" s="4360"/>
      <c r="R317" s="4360"/>
      <c r="S317" s="4360"/>
      <c r="T317" s="4360"/>
      <c r="U317" s="4360"/>
      <c r="V317" s="4360"/>
      <c r="W317" s="4360"/>
    </row>
    <row r="318" spans="2:23" s="4273" customFormat="1">
      <c r="B318" s="4360"/>
      <c r="C318" s="4360"/>
      <c r="D318" s="4360"/>
      <c r="E318" s="4360"/>
      <c r="F318" s="4360"/>
      <c r="G318" s="4360"/>
      <c r="H318" s="4360"/>
      <c r="I318" s="4360"/>
      <c r="J318" s="4360"/>
      <c r="K318" s="4360"/>
      <c r="L318" s="4361"/>
      <c r="M318" s="4360"/>
      <c r="N318" s="4360"/>
      <c r="O318" s="4360"/>
      <c r="P318" s="4360"/>
      <c r="Q318" s="4360"/>
      <c r="R318" s="4360"/>
      <c r="S318" s="4360"/>
      <c r="T318" s="4360"/>
      <c r="U318" s="4360"/>
      <c r="V318" s="4360"/>
      <c r="W318" s="4360"/>
    </row>
    <row r="319" spans="2:23" s="4273" customFormat="1">
      <c r="B319" s="4360"/>
      <c r="C319" s="4360"/>
      <c r="D319" s="4360"/>
      <c r="E319" s="4360"/>
      <c r="F319" s="4360"/>
      <c r="G319" s="4360"/>
      <c r="H319" s="4360"/>
      <c r="I319" s="4360"/>
      <c r="J319" s="4360"/>
      <c r="K319" s="4360"/>
      <c r="L319" s="4361"/>
      <c r="M319" s="4360"/>
      <c r="N319" s="4360"/>
      <c r="O319" s="4360"/>
      <c r="P319" s="4360"/>
      <c r="Q319" s="4360"/>
      <c r="R319" s="4360"/>
      <c r="S319" s="4360"/>
      <c r="T319" s="4360"/>
      <c r="U319" s="4360"/>
      <c r="V319" s="4360"/>
      <c r="W319" s="4360"/>
    </row>
    <row r="320" spans="2:23" s="4273" customFormat="1">
      <c r="B320" s="4360"/>
      <c r="C320" s="4360"/>
      <c r="D320" s="4360"/>
      <c r="E320" s="4360"/>
      <c r="F320" s="4360"/>
      <c r="G320" s="4360"/>
      <c r="H320" s="4360"/>
      <c r="I320" s="4360"/>
      <c r="J320" s="4360"/>
      <c r="K320" s="4360"/>
      <c r="L320" s="4361"/>
      <c r="M320" s="4360"/>
      <c r="N320" s="4360"/>
      <c r="O320" s="4360"/>
      <c r="P320" s="4360"/>
      <c r="Q320" s="4360"/>
      <c r="R320" s="4360"/>
      <c r="S320" s="4360"/>
      <c r="T320" s="4360"/>
      <c r="U320" s="4360"/>
      <c r="V320" s="4360"/>
      <c r="W320" s="4360"/>
    </row>
    <row r="321" spans="2:23" s="4273" customFormat="1">
      <c r="B321" s="4360"/>
      <c r="C321" s="4360"/>
      <c r="D321" s="4360"/>
      <c r="E321" s="4360"/>
      <c r="F321" s="4360"/>
      <c r="G321" s="4360"/>
      <c r="H321" s="4360"/>
      <c r="I321" s="4360"/>
      <c r="J321" s="4360"/>
      <c r="K321" s="4360"/>
      <c r="L321" s="4361"/>
      <c r="M321" s="4360"/>
      <c r="N321" s="4360"/>
      <c r="O321" s="4360"/>
      <c r="P321" s="4360"/>
      <c r="Q321" s="4360"/>
      <c r="R321" s="4360"/>
      <c r="S321" s="4360"/>
      <c r="T321" s="4360"/>
      <c r="U321" s="4360"/>
      <c r="V321" s="4360"/>
      <c r="W321" s="4360"/>
    </row>
    <row r="322" spans="2:23" s="4273" customFormat="1">
      <c r="B322" s="4360"/>
      <c r="C322" s="4360"/>
      <c r="D322" s="4360"/>
      <c r="E322" s="4360"/>
      <c r="F322" s="4360"/>
      <c r="G322" s="4360"/>
      <c r="H322" s="4360"/>
      <c r="I322" s="4360"/>
      <c r="J322" s="4360"/>
      <c r="K322" s="4360"/>
      <c r="L322" s="4361"/>
      <c r="M322" s="4360"/>
      <c r="N322" s="4360"/>
      <c r="O322" s="4360"/>
      <c r="P322" s="4360"/>
      <c r="Q322" s="4360"/>
      <c r="R322" s="4360"/>
      <c r="S322" s="4360"/>
      <c r="T322" s="4360"/>
      <c r="U322" s="4360"/>
      <c r="V322" s="4360"/>
      <c r="W322" s="4360"/>
    </row>
    <row r="323" spans="2:23" s="4273" customFormat="1">
      <c r="B323" s="4360"/>
      <c r="C323" s="4360"/>
      <c r="D323" s="4360"/>
      <c r="E323" s="4360"/>
      <c r="F323" s="4360"/>
      <c r="G323" s="4360"/>
      <c r="H323" s="4360"/>
      <c r="I323" s="4360"/>
      <c r="J323" s="4360"/>
      <c r="K323" s="4360"/>
      <c r="L323" s="4361"/>
      <c r="M323" s="4360"/>
      <c r="N323" s="4360"/>
      <c r="O323" s="4360"/>
      <c r="P323" s="4360"/>
      <c r="Q323" s="4360"/>
      <c r="R323" s="4360"/>
      <c r="S323" s="4360"/>
      <c r="T323" s="4360"/>
      <c r="U323" s="4360"/>
      <c r="V323" s="4360"/>
      <c r="W323" s="4360"/>
    </row>
    <row r="324" spans="2:23" s="4273" customFormat="1">
      <c r="B324" s="4360"/>
      <c r="C324" s="4360"/>
      <c r="D324" s="4360"/>
      <c r="E324" s="4360"/>
      <c r="F324" s="4360"/>
      <c r="G324" s="4360"/>
      <c r="H324" s="4360"/>
      <c r="I324" s="4360"/>
      <c r="J324" s="4360"/>
      <c r="K324" s="4360"/>
      <c r="L324" s="4361"/>
      <c r="M324" s="4360"/>
      <c r="N324" s="4360"/>
      <c r="O324" s="4360"/>
      <c r="P324" s="4360"/>
      <c r="Q324" s="4360"/>
      <c r="R324" s="4360"/>
      <c r="S324" s="4360"/>
      <c r="T324" s="4360"/>
      <c r="U324" s="4360"/>
      <c r="V324" s="4360"/>
      <c r="W324" s="4360"/>
    </row>
    <row r="325" spans="2:23" s="4273" customFormat="1">
      <c r="B325" s="4360"/>
      <c r="C325" s="4360"/>
      <c r="D325" s="4360"/>
      <c r="E325" s="4360"/>
      <c r="F325" s="4360"/>
      <c r="G325" s="4360"/>
      <c r="H325" s="4360"/>
      <c r="I325" s="4360"/>
      <c r="J325" s="4360"/>
      <c r="K325" s="4360"/>
      <c r="L325" s="4361"/>
      <c r="M325" s="4360"/>
      <c r="N325" s="4360"/>
      <c r="O325" s="4360"/>
      <c r="P325" s="4360"/>
      <c r="Q325" s="4360"/>
      <c r="R325" s="4360"/>
      <c r="S325" s="4360"/>
      <c r="T325" s="4360"/>
      <c r="U325" s="4360"/>
      <c r="V325" s="4360"/>
      <c r="W325" s="4360"/>
    </row>
    <row r="326" spans="2:23" s="4273" customFormat="1">
      <c r="B326" s="4360"/>
      <c r="C326" s="4360"/>
      <c r="D326" s="4360"/>
      <c r="E326" s="4360"/>
      <c r="F326" s="4360"/>
      <c r="G326" s="4360"/>
      <c r="H326" s="4360"/>
      <c r="I326" s="4360"/>
      <c r="J326" s="4360"/>
      <c r="K326" s="4360"/>
      <c r="L326" s="4361"/>
      <c r="M326" s="4360"/>
      <c r="N326" s="4360"/>
      <c r="O326" s="4360"/>
      <c r="P326" s="4360"/>
      <c r="Q326" s="4360"/>
      <c r="R326" s="4360"/>
      <c r="S326" s="4360"/>
      <c r="T326" s="4360"/>
      <c r="U326" s="4360"/>
      <c r="V326" s="4360"/>
      <c r="W326" s="4360"/>
    </row>
    <row r="327" spans="2:23" s="4273" customFormat="1">
      <c r="B327" s="4360"/>
      <c r="C327" s="4360"/>
      <c r="D327" s="4360"/>
      <c r="E327" s="4360"/>
      <c r="F327" s="4360"/>
      <c r="G327" s="4360"/>
      <c r="H327" s="4360"/>
      <c r="I327" s="4360"/>
      <c r="J327" s="4360"/>
      <c r="K327" s="4360"/>
      <c r="L327" s="4361"/>
      <c r="M327" s="4360"/>
      <c r="N327" s="4360"/>
      <c r="O327" s="4360"/>
      <c r="P327" s="4360"/>
      <c r="Q327" s="4360"/>
      <c r="R327" s="4360"/>
      <c r="S327" s="4360"/>
      <c r="T327" s="4360"/>
      <c r="U327" s="4360"/>
      <c r="V327" s="4360"/>
      <c r="W327" s="4360"/>
    </row>
    <row r="328" spans="2:23" s="4273" customFormat="1">
      <c r="B328" s="4360"/>
      <c r="C328" s="4360"/>
      <c r="D328" s="4360"/>
      <c r="E328" s="4360"/>
      <c r="F328" s="4360"/>
      <c r="G328" s="4360"/>
      <c r="H328" s="4360"/>
      <c r="I328" s="4360"/>
      <c r="J328" s="4360"/>
      <c r="K328" s="4360"/>
      <c r="L328" s="4361"/>
      <c r="M328" s="4360"/>
      <c r="N328" s="4360"/>
      <c r="O328" s="4360"/>
      <c r="P328" s="4360"/>
      <c r="Q328" s="4360"/>
      <c r="R328" s="4360"/>
      <c r="S328" s="4360"/>
      <c r="T328" s="4360"/>
      <c r="U328" s="4360"/>
      <c r="V328" s="4360"/>
      <c r="W328" s="4360"/>
    </row>
    <row r="329" spans="2:23" s="4273" customFormat="1">
      <c r="B329" s="4360"/>
      <c r="C329" s="4360"/>
      <c r="D329" s="4360"/>
      <c r="E329" s="4360"/>
      <c r="F329" s="4360"/>
      <c r="G329" s="4360"/>
      <c r="H329" s="4360"/>
      <c r="I329" s="4360"/>
      <c r="J329" s="4360"/>
      <c r="K329" s="4360"/>
      <c r="L329" s="4361"/>
      <c r="M329" s="4360"/>
      <c r="N329" s="4360"/>
      <c r="O329" s="4360"/>
      <c r="P329" s="4360"/>
      <c r="Q329" s="4360"/>
      <c r="R329" s="4360"/>
      <c r="S329" s="4360"/>
      <c r="T329" s="4360"/>
      <c r="U329" s="4360"/>
      <c r="V329" s="4360"/>
      <c r="W329" s="4360"/>
    </row>
    <row r="330" spans="2:23" s="4273" customFormat="1">
      <c r="B330" s="4360"/>
      <c r="C330" s="4360"/>
      <c r="D330" s="4360"/>
      <c r="E330" s="4360"/>
      <c r="F330" s="4360"/>
      <c r="G330" s="4360"/>
      <c r="H330" s="4360"/>
      <c r="I330" s="4360"/>
      <c r="J330" s="4360"/>
      <c r="K330" s="4360"/>
      <c r="L330" s="4361"/>
      <c r="M330" s="4360"/>
      <c r="N330" s="4360"/>
      <c r="O330" s="4360"/>
      <c r="P330" s="4360"/>
      <c r="Q330" s="4360"/>
      <c r="R330" s="4360"/>
      <c r="S330" s="4360"/>
      <c r="T330" s="4360"/>
      <c r="U330" s="4360"/>
      <c r="V330" s="4360"/>
      <c r="W330" s="4360"/>
    </row>
    <row r="331" spans="2:23" s="4273" customFormat="1">
      <c r="B331" s="4360"/>
      <c r="C331" s="4360"/>
      <c r="D331" s="4360"/>
      <c r="E331" s="4360"/>
      <c r="F331" s="4360"/>
      <c r="G331" s="4360"/>
      <c r="H331" s="4360"/>
      <c r="I331" s="4360"/>
      <c r="J331" s="4360"/>
      <c r="K331" s="4360"/>
      <c r="L331" s="4361"/>
      <c r="M331" s="4360"/>
      <c r="N331" s="4360"/>
      <c r="O331" s="4360"/>
      <c r="P331" s="4360"/>
      <c r="Q331" s="4360"/>
      <c r="R331" s="4360"/>
      <c r="S331" s="4360"/>
      <c r="T331" s="4360"/>
      <c r="U331" s="4360"/>
      <c r="V331" s="4360"/>
      <c r="W331" s="4360"/>
    </row>
    <row r="332" spans="2:23" s="4273" customFormat="1">
      <c r="B332" s="4360"/>
      <c r="C332" s="4360"/>
      <c r="D332" s="4360"/>
      <c r="E332" s="4360"/>
      <c r="F332" s="4360"/>
      <c r="G332" s="4360"/>
      <c r="H332" s="4360"/>
      <c r="I332" s="4360"/>
      <c r="J332" s="4360"/>
      <c r="K332" s="4360"/>
      <c r="L332" s="4361"/>
      <c r="M332" s="4360"/>
      <c r="N332" s="4360"/>
      <c r="O332" s="4360"/>
      <c r="P332" s="4360"/>
      <c r="Q332" s="4360"/>
      <c r="R332" s="4360"/>
      <c r="S332" s="4360"/>
      <c r="T332" s="4360"/>
      <c r="U332" s="4360"/>
      <c r="V332" s="4360"/>
      <c r="W332" s="4360"/>
    </row>
    <row r="333" spans="2:23" s="4273" customFormat="1">
      <c r="B333" s="4360"/>
      <c r="C333" s="4360"/>
      <c r="D333" s="4360"/>
      <c r="E333" s="4360"/>
      <c r="F333" s="4360"/>
      <c r="G333" s="4360"/>
      <c r="H333" s="4360"/>
      <c r="I333" s="4360"/>
      <c r="J333" s="4360"/>
      <c r="K333" s="4360"/>
      <c r="L333" s="4361"/>
      <c r="M333" s="4360"/>
      <c r="N333" s="4360"/>
      <c r="O333" s="4360"/>
      <c r="P333" s="4360"/>
      <c r="Q333" s="4360"/>
      <c r="R333" s="4360"/>
      <c r="S333" s="4360"/>
      <c r="T333" s="4360"/>
      <c r="U333" s="4360"/>
      <c r="V333" s="4360"/>
      <c r="W333" s="4360"/>
    </row>
    <row r="334" spans="2:23" s="4273" customFormat="1">
      <c r="B334" s="4360"/>
      <c r="C334" s="4360"/>
      <c r="D334" s="4360"/>
      <c r="E334" s="4360"/>
      <c r="F334" s="4360"/>
      <c r="G334" s="4360"/>
      <c r="H334" s="4360"/>
      <c r="I334" s="4360"/>
      <c r="J334" s="4360"/>
      <c r="K334" s="4360"/>
      <c r="L334" s="4361"/>
      <c r="M334" s="4360"/>
      <c r="N334" s="4360"/>
      <c r="O334" s="4360"/>
      <c r="P334" s="4360"/>
      <c r="Q334" s="4360"/>
      <c r="R334" s="4360"/>
      <c r="S334" s="4360"/>
      <c r="T334" s="4360"/>
      <c r="U334" s="4360"/>
      <c r="V334" s="4360"/>
      <c r="W334" s="4360"/>
    </row>
    <row r="335" spans="2:23" s="4273" customFormat="1">
      <c r="B335" s="4360"/>
      <c r="C335" s="4360"/>
      <c r="D335" s="4360"/>
      <c r="E335" s="4360"/>
      <c r="F335" s="4360"/>
      <c r="G335" s="4360"/>
      <c r="H335" s="4360"/>
      <c r="I335" s="4360"/>
      <c r="J335" s="4360"/>
      <c r="K335" s="4360"/>
      <c r="L335" s="4361"/>
      <c r="M335" s="4360"/>
      <c r="N335" s="4360"/>
      <c r="O335" s="4360"/>
      <c r="P335" s="4360"/>
      <c r="Q335" s="4360"/>
      <c r="R335" s="4360"/>
      <c r="S335" s="4360"/>
      <c r="T335" s="4360"/>
      <c r="U335" s="4360"/>
      <c r="V335" s="4360"/>
      <c r="W335" s="4360"/>
    </row>
    <row r="336" spans="2:23" s="4273" customFormat="1">
      <c r="B336" s="4360"/>
      <c r="C336" s="4360"/>
      <c r="D336" s="4360"/>
      <c r="E336" s="4360"/>
      <c r="F336" s="4360"/>
      <c r="G336" s="4360"/>
      <c r="H336" s="4360"/>
      <c r="I336" s="4360"/>
      <c r="J336" s="4360"/>
      <c r="K336" s="4360"/>
      <c r="L336" s="4361"/>
      <c r="M336" s="4360"/>
      <c r="N336" s="4360"/>
      <c r="O336" s="4360"/>
      <c r="P336" s="4360"/>
      <c r="Q336" s="4360"/>
      <c r="R336" s="4360"/>
      <c r="S336" s="4360"/>
      <c r="T336" s="4360"/>
      <c r="U336" s="4360"/>
      <c r="V336" s="4360"/>
      <c r="W336" s="4360"/>
    </row>
    <row r="337" spans="1:26" s="4273" customFormat="1">
      <c r="B337" s="4360"/>
      <c r="C337" s="4360"/>
      <c r="D337" s="4360"/>
      <c r="E337" s="4360"/>
      <c r="F337" s="4360"/>
      <c r="G337" s="4360"/>
      <c r="H337" s="4360"/>
      <c r="I337" s="4360"/>
      <c r="J337" s="4360"/>
      <c r="K337" s="4360"/>
      <c r="L337" s="4361"/>
      <c r="M337" s="4360"/>
      <c r="N337" s="4360"/>
      <c r="O337" s="4360"/>
      <c r="P337" s="4360"/>
      <c r="Q337" s="4360"/>
      <c r="R337" s="4360"/>
      <c r="S337" s="4360"/>
      <c r="T337" s="4360"/>
      <c r="U337" s="4360"/>
      <c r="V337" s="4360"/>
      <c r="W337" s="4360"/>
    </row>
    <row r="338" spans="1:26" s="4273" customFormat="1">
      <c r="B338" s="4360"/>
      <c r="C338" s="4360"/>
      <c r="D338" s="4360"/>
      <c r="E338" s="4360"/>
      <c r="F338" s="4360"/>
      <c r="G338" s="4360"/>
      <c r="H338" s="4360"/>
      <c r="I338" s="4360"/>
      <c r="J338" s="4360"/>
      <c r="K338" s="4360"/>
      <c r="L338" s="4361"/>
      <c r="M338" s="4360"/>
      <c r="N338" s="4360"/>
      <c r="O338" s="4360"/>
      <c r="P338" s="4360"/>
      <c r="Q338" s="4360"/>
      <c r="R338" s="4360"/>
      <c r="S338" s="4360"/>
      <c r="T338" s="4360"/>
      <c r="U338" s="4360"/>
      <c r="V338" s="4360"/>
      <c r="W338" s="4360"/>
    </row>
    <row r="339" spans="1:26" s="4273" customFormat="1">
      <c r="B339" s="4360"/>
      <c r="C339" s="4360"/>
      <c r="D339" s="4360"/>
      <c r="E339" s="4360"/>
      <c r="F339" s="4360"/>
      <c r="G339" s="4360"/>
      <c r="H339" s="4360"/>
      <c r="I339" s="4360"/>
      <c r="J339" s="4360"/>
      <c r="K339" s="4360"/>
      <c r="L339" s="4361"/>
      <c r="M339" s="4360"/>
      <c r="N339" s="4360"/>
      <c r="O339" s="4360"/>
      <c r="P339" s="4360"/>
      <c r="Q339" s="4360"/>
      <c r="R339" s="4360"/>
      <c r="S339" s="4360"/>
      <c r="T339" s="4360"/>
      <c r="U339" s="4360"/>
      <c r="V339" s="4360"/>
      <c r="W339" s="4360"/>
    </row>
    <row r="340" spans="1:26" s="4273" customFormat="1">
      <c r="B340" s="4360"/>
      <c r="C340" s="4360"/>
      <c r="D340" s="4360"/>
      <c r="E340" s="4360"/>
      <c r="F340" s="4360"/>
      <c r="G340" s="4360"/>
      <c r="H340" s="4360"/>
      <c r="I340" s="4360"/>
      <c r="J340" s="4360"/>
      <c r="K340" s="4360"/>
      <c r="L340" s="4361"/>
      <c r="M340" s="4360"/>
      <c r="N340" s="4360"/>
      <c r="O340" s="4360"/>
      <c r="P340" s="4360"/>
      <c r="Q340" s="4360"/>
      <c r="R340" s="4360"/>
      <c r="S340" s="4360"/>
      <c r="T340" s="4360"/>
      <c r="U340" s="4360"/>
      <c r="V340" s="4360"/>
      <c r="W340" s="4360"/>
    </row>
    <row r="341" spans="1:26" s="4273" customFormat="1">
      <c r="B341" s="4360"/>
      <c r="C341" s="4360"/>
      <c r="D341" s="4360"/>
      <c r="E341" s="4360"/>
      <c r="F341" s="4360"/>
      <c r="G341" s="4360"/>
      <c r="H341" s="4360"/>
      <c r="I341" s="4360"/>
      <c r="J341" s="4360"/>
      <c r="K341" s="4360"/>
      <c r="L341" s="4361"/>
      <c r="M341" s="4360"/>
      <c r="N341" s="4360"/>
      <c r="O341" s="4360"/>
      <c r="P341" s="4360"/>
      <c r="Q341" s="4360"/>
      <c r="R341" s="4360"/>
      <c r="S341" s="4360"/>
      <c r="T341" s="4360"/>
      <c r="U341" s="4360"/>
      <c r="V341" s="4360"/>
      <c r="W341" s="4360"/>
    </row>
    <row r="342" spans="1:26" s="4273" customFormat="1">
      <c r="B342" s="4360"/>
      <c r="C342" s="4360"/>
      <c r="D342" s="4360"/>
      <c r="E342" s="4360"/>
      <c r="F342" s="4360"/>
      <c r="G342" s="4360"/>
      <c r="H342" s="4360"/>
      <c r="I342" s="4360"/>
      <c r="J342" s="4360"/>
      <c r="K342" s="4360"/>
      <c r="L342" s="4361"/>
      <c r="M342" s="4360"/>
      <c r="N342" s="4360"/>
      <c r="O342" s="4360"/>
      <c r="P342" s="4360"/>
      <c r="Q342" s="4360"/>
      <c r="R342" s="4360"/>
      <c r="S342" s="4360"/>
      <c r="T342" s="4360"/>
      <c r="U342" s="4360"/>
      <c r="V342" s="4360"/>
      <c r="W342" s="4360"/>
    </row>
    <row r="343" spans="1:26" s="4273" customFormat="1">
      <c r="B343" s="4360"/>
      <c r="C343" s="4360"/>
      <c r="D343" s="4360"/>
      <c r="E343" s="4360"/>
      <c r="F343" s="4360"/>
      <c r="G343" s="4360"/>
      <c r="H343" s="4360"/>
      <c r="I343" s="4360"/>
      <c r="J343" s="4360"/>
      <c r="K343" s="4360"/>
      <c r="L343" s="4361"/>
      <c r="M343" s="4360"/>
      <c r="N343" s="4360"/>
      <c r="O343" s="4360"/>
      <c r="P343" s="4360"/>
      <c r="Q343" s="4360"/>
      <c r="R343" s="4360"/>
      <c r="S343" s="4360"/>
      <c r="T343" s="4360"/>
      <c r="U343" s="4360"/>
      <c r="V343" s="4360"/>
      <c r="W343" s="4360"/>
    </row>
    <row r="344" spans="1:26" s="4273" customFormat="1">
      <c r="B344" s="4360"/>
      <c r="C344" s="4360"/>
      <c r="D344" s="4360"/>
      <c r="E344" s="4360"/>
      <c r="F344" s="4360"/>
      <c r="G344" s="4360"/>
      <c r="H344" s="4360"/>
      <c r="I344" s="4360"/>
      <c r="J344" s="4360"/>
      <c r="K344" s="4360"/>
      <c r="L344" s="4361"/>
      <c r="M344" s="4360"/>
      <c r="N344" s="4360"/>
      <c r="O344" s="4360"/>
      <c r="P344" s="4360"/>
      <c r="Q344" s="4360"/>
      <c r="R344" s="4360"/>
      <c r="S344" s="4360"/>
      <c r="T344" s="4360"/>
      <c r="U344" s="4360"/>
      <c r="V344" s="4360"/>
      <c r="W344" s="4360"/>
    </row>
    <row r="345" spans="1:26" s="4273" customFormat="1">
      <c r="B345" s="4360"/>
      <c r="C345" s="4360"/>
      <c r="D345" s="4360"/>
      <c r="E345" s="4360"/>
      <c r="F345" s="4360"/>
      <c r="G345" s="4360"/>
      <c r="H345" s="4360"/>
      <c r="I345" s="4360"/>
      <c r="J345" s="4360"/>
      <c r="K345" s="4360"/>
      <c r="L345" s="4361"/>
      <c r="M345" s="4360"/>
      <c r="N345" s="4360"/>
      <c r="O345" s="4360"/>
      <c r="P345" s="4360"/>
      <c r="Q345" s="4360"/>
      <c r="R345" s="4360"/>
      <c r="S345" s="4360"/>
      <c r="T345" s="4360"/>
      <c r="U345" s="4360"/>
      <c r="V345" s="4360"/>
      <c r="W345" s="4360"/>
    </row>
    <row r="346" spans="1:26" s="4273" customFormat="1">
      <c r="B346" s="4360"/>
      <c r="C346" s="4360"/>
      <c r="D346" s="4360"/>
      <c r="E346" s="4360"/>
      <c r="F346" s="4360"/>
      <c r="G346" s="4360"/>
      <c r="H346" s="4360"/>
      <c r="I346" s="4360"/>
      <c r="J346" s="4360"/>
      <c r="K346" s="4360"/>
      <c r="L346" s="4361"/>
      <c r="M346" s="4360"/>
      <c r="N346" s="4360"/>
      <c r="O346" s="4360"/>
      <c r="P346" s="4360"/>
      <c r="Q346" s="4360"/>
      <c r="R346" s="4360"/>
      <c r="S346" s="4360"/>
      <c r="T346" s="4360"/>
      <c r="U346" s="4360"/>
      <c r="V346" s="4360"/>
      <c r="W346" s="4360"/>
    </row>
    <row r="347" spans="1:26" s="4273" customFormat="1">
      <c r="B347" s="4360"/>
      <c r="C347" s="4360"/>
      <c r="D347" s="4360"/>
      <c r="E347" s="4360"/>
      <c r="F347" s="4360"/>
      <c r="G347" s="4360"/>
      <c r="H347" s="4360"/>
      <c r="I347" s="4360"/>
      <c r="J347" s="4360"/>
      <c r="K347" s="4360"/>
      <c r="L347" s="4361"/>
      <c r="M347" s="4360"/>
      <c r="N347" s="4360"/>
      <c r="O347" s="4360"/>
      <c r="P347" s="4360"/>
      <c r="Q347" s="4360"/>
      <c r="R347" s="4360"/>
      <c r="S347" s="4360"/>
      <c r="T347" s="4360"/>
      <c r="U347" s="4360"/>
      <c r="V347" s="4360"/>
      <c r="W347" s="4360"/>
    </row>
    <row r="348" spans="1:26" s="4273" customFormat="1">
      <c r="B348" s="4360"/>
      <c r="C348" s="4360"/>
      <c r="D348" s="4360"/>
      <c r="E348" s="4360"/>
      <c r="F348" s="4360"/>
      <c r="G348" s="4360"/>
      <c r="H348" s="4360"/>
      <c r="I348" s="4360"/>
      <c r="J348" s="4360"/>
      <c r="K348" s="4360"/>
      <c r="L348" s="4361"/>
      <c r="M348" s="4360"/>
      <c r="N348" s="4360"/>
      <c r="O348" s="4360"/>
      <c r="P348" s="4360"/>
      <c r="Q348" s="4360"/>
      <c r="R348" s="4360"/>
      <c r="S348" s="4360"/>
      <c r="T348" s="4360"/>
      <c r="U348" s="4360"/>
      <c r="V348" s="4360"/>
      <c r="W348" s="4360"/>
    </row>
    <row r="349" spans="1:26" s="4273" customFormat="1">
      <c r="B349" s="4360"/>
      <c r="C349" s="4360"/>
      <c r="D349" s="4360"/>
      <c r="E349" s="4360"/>
      <c r="F349" s="4360"/>
      <c r="G349" s="4360"/>
      <c r="H349" s="4360"/>
      <c r="I349" s="4360"/>
      <c r="J349" s="4360"/>
      <c r="K349" s="4360"/>
      <c r="L349" s="4361"/>
      <c r="M349" s="4360"/>
      <c r="N349" s="4360"/>
      <c r="O349" s="4360"/>
      <c r="P349" s="4360"/>
      <c r="Q349" s="4360"/>
      <c r="R349" s="4360"/>
      <c r="S349" s="4360"/>
      <c r="T349" s="4360"/>
      <c r="U349" s="4360"/>
      <c r="V349" s="4360"/>
      <c r="W349" s="4360"/>
    </row>
    <row r="350" spans="1:26" s="4273" customFormat="1">
      <c r="B350" s="4360"/>
      <c r="C350" s="4360"/>
      <c r="D350" s="4360"/>
      <c r="E350" s="4360"/>
      <c r="F350" s="4360"/>
      <c r="G350" s="4360"/>
      <c r="H350" s="4360"/>
      <c r="I350" s="4360"/>
      <c r="J350" s="4360"/>
      <c r="K350" s="4360"/>
      <c r="L350" s="4361"/>
      <c r="M350" s="4360"/>
      <c r="N350" s="4360"/>
      <c r="O350" s="4360"/>
      <c r="P350" s="4360"/>
      <c r="Q350" s="4360"/>
      <c r="R350" s="4360"/>
      <c r="S350" s="4360"/>
      <c r="T350" s="4360"/>
      <c r="U350" s="4360"/>
      <c r="V350" s="4360"/>
      <c r="W350" s="4360"/>
    </row>
    <row r="351" spans="1:26" s="4273" customFormat="1">
      <c r="A351" s="4359"/>
      <c r="B351" s="4360"/>
      <c r="C351" s="4360"/>
      <c r="D351" s="4360"/>
      <c r="E351" s="4360"/>
      <c r="F351" s="4360"/>
      <c r="G351" s="4360"/>
      <c r="H351" s="4360"/>
      <c r="I351" s="4360"/>
      <c r="J351" s="4360"/>
      <c r="K351" s="4360"/>
      <c r="L351" s="4361"/>
      <c r="M351" s="4360"/>
      <c r="N351" s="4360"/>
      <c r="O351" s="4360"/>
      <c r="P351" s="4360"/>
      <c r="Q351" s="4360"/>
      <c r="R351" s="4360"/>
      <c r="S351" s="4360"/>
      <c r="T351" s="4360"/>
      <c r="U351" s="4360"/>
      <c r="V351" s="4360"/>
      <c r="W351" s="4360"/>
      <c r="X351" s="4271"/>
      <c r="Y351" s="4272"/>
      <c r="Z351" s="4272"/>
    </row>
    <row r="352" spans="1:26" s="4273" customFormat="1" ht="13.5" thickBot="1">
      <c r="A352" s="4359"/>
      <c r="B352" s="4360"/>
      <c r="C352" s="4360"/>
      <c r="D352" s="4360"/>
      <c r="E352" s="4360"/>
      <c r="F352" s="4360"/>
      <c r="G352" s="4360"/>
      <c r="H352" s="4360"/>
      <c r="I352" s="4360"/>
      <c r="J352" s="4360"/>
      <c r="K352" s="4360"/>
      <c r="L352" s="4361"/>
      <c r="M352" s="4360"/>
      <c r="N352" s="4360"/>
      <c r="O352" s="4360"/>
      <c r="P352" s="4360"/>
      <c r="Q352" s="4360"/>
      <c r="R352" s="4360"/>
      <c r="S352" s="4360"/>
      <c r="T352" s="4360"/>
      <c r="U352" s="4360"/>
      <c r="V352" s="4360"/>
      <c r="W352" s="4360"/>
      <c r="X352" s="4271"/>
      <c r="Y352" s="4272"/>
      <c r="Z352" s="4272"/>
    </row>
    <row r="353" spans="1:26" s="4273" customFormat="1">
      <c r="A353" s="4370"/>
      <c r="B353" s="4371"/>
      <c r="C353" s="4371"/>
      <c r="D353" s="4372"/>
      <c r="E353" s="4372"/>
      <c r="F353" s="4372"/>
      <c r="G353" s="4372"/>
      <c r="H353" s="4372"/>
      <c r="I353" s="4372"/>
      <c r="J353" s="4372"/>
      <c r="K353" s="4372"/>
      <c r="L353" s="4373"/>
      <c r="M353" s="4372"/>
      <c r="N353" s="4372"/>
      <c r="O353" s="4372"/>
      <c r="P353" s="4372"/>
      <c r="Q353" s="4372"/>
      <c r="R353" s="4372"/>
      <c r="S353" s="4372"/>
      <c r="T353" s="4372"/>
      <c r="U353" s="4372"/>
      <c r="V353" s="4372"/>
      <c r="W353" s="4372"/>
      <c r="X353" s="4374"/>
      <c r="Y353" s="4375"/>
      <c r="Z353" s="4375"/>
    </row>
    <row r="354" spans="1:26" s="4273" customFormat="1">
      <c r="A354" s="4376"/>
      <c r="B354" s="4360"/>
      <c r="C354" s="4360"/>
      <c r="D354" s="4360"/>
      <c r="E354" s="4360"/>
      <c r="F354" s="4360"/>
      <c r="G354" s="4360"/>
      <c r="H354" s="4360"/>
      <c r="I354" s="4360"/>
      <c r="J354" s="4360"/>
      <c r="K354" s="4360"/>
      <c r="L354" s="4361"/>
      <c r="M354" s="4360"/>
      <c r="N354" s="4360"/>
      <c r="O354" s="4360"/>
      <c r="P354" s="4360"/>
      <c r="Q354" s="4360"/>
      <c r="R354" s="4360"/>
      <c r="S354" s="4360"/>
      <c r="T354" s="4360"/>
      <c r="U354" s="4360"/>
      <c r="V354" s="4360"/>
      <c r="W354" s="4360"/>
      <c r="X354" s="4377"/>
      <c r="Y354" s="4378"/>
      <c r="Z354" s="4378"/>
    </row>
    <row r="355" spans="1:26" s="4273" customFormat="1">
      <c r="A355" s="4376"/>
      <c r="B355" s="4360"/>
      <c r="C355" s="4360"/>
      <c r="D355" s="4360"/>
      <c r="E355" s="4360"/>
      <c r="F355" s="4360"/>
      <c r="G355" s="4360"/>
      <c r="H355" s="4360"/>
      <c r="I355" s="4360"/>
      <c r="J355" s="4360"/>
      <c r="K355" s="4360"/>
      <c r="L355" s="4361"/>
      <c r="M355" s="4360"/>
      <c r="N355" s="4360"/>
      <c r="O355" s="4360"/>
      <c r="P355" s="4360"/>
      <c r="Q355" s="4360"/>
      <c r="R355" s="4360"/>
      <c r="S355" s="4360"/>
      <c r="T355" s="4360"/>
      <c r="U355" s="4360"/>
      <c r="V355" s="4360"/>
      <c r="W355" s="4360"/>
      <c r="X355" s="4377"/>
      <c r="Y355" s="4378"/>
      <c r="Z355" s="4378"/>
    </row>
    <row r="356" spans="1:26" s="4273" customFormat="1">
      <c r="A356" s="4376"/>
      <c r="B356" s="4360"/>
      <c r="C356" s="4360"/>
      <c r="D356" s="4360"/>
      <c r="E356" s="4360"/>
      <c r="F356" s="4360"/>
      <c r="G356" s="4360"/>
      <c r="H356" s="4360"/>
      <c r="I356" s="4360"/>
      <c r="J356" s="4360"/>
      <c r="K356" s="4360"/>
      <c r="L356" s="4361"/>
      <c r="M356" s="4360"/>
      <c r="N356" s="4360"/>
      <c r="O356" s="4360"/>
      <c r="P356" s="4360"/>
      <c r="Q356" s="4360"/>
      <c r="R356" s="4360"/>
      <c r="S356" s="4360"/>
      <c r="T356" s="4360"/>
      <c r="U356" s="4360"/>
      <c r="V356" s="4360"/>
      <c r="W356" s="4360"/>
      <c r="X356" s="4377"/>
      <c r="Y356" s="4378"/>
      <c r="Z356" s="4378"/>
    </row>
    <row r="357" spans="1:26" s="4273" customFormat="1">
      <c r="A357" s="4376"/>
      <c r="B357" s="4360"/>
      <c r="C357" s="4360"/>
      <c r="D357" s="4360"/>
      <c r="E357" s="4360"/>
      <c r="F357" s="4360"/>
      <c r="G357" s="4360"/>
      <c r="H357" s="4360"/>
      <c r="I357" s="4360"/>
      <c r="J357" s="4360"/>
      <c r="K357" s="4360"/>
      <c r="L357" s="4361"/>
      <c r="M357" s="4360"/>
      <c r="N357" s="4360"/>
      <c r="O357" s="4360"/>
      <c r="P357" s="4360"/>
      <c r="Q357" s="4360"/>
      <c r="R357" s="4360"/>
      <c r="S357" s="4360"/>
      <c r="T357" s="4360"/>
      <c r="U357" s="4360"/>
      <c r="V357" s="4360"/>
      <c r="W357" s="4360"/>
      <c r="X357" s="4377"/>
      <c r="Y357" s="4378"/>
      <c r="Z357" s="4378"/>
    </row>
    <row r="358" spans="1:26" s="4273" customFormat="1">
      <c r="A358" s="4376"/>
      <c r="B358" s="4360"/>
      <c r="C358" s="4360"/>
      <c r="D358" s="4360"/>
      <c r="E358" s="4360"/>
      <c r="F358" s="4360"/>
      <c r="G358" s="4360"/>
      <c r="H358" s="4360"/>
      <c r="I358" s="4360"/>
      <c r="J358" s="4360"/>
      <c r="K358" s="4360"/>
      <c r="L358" s="4361"/>
      <c r="M358" s="4360"/>
      <c r="N358" s="4360"/>
      <c r="O358" s="4360"/>
      <c r="P358" s="4360"/>
      <c r="Q358" s="4360"/>
      <c r="R358" s="4360"/>
      <c r="S358" s="4360"/>
      <c r="T358" s="4360"/>
      <c r="U358" s="4360"/>
      <c r="V358" s="4360"/>
      <c r="W358" s="4360"/>
      <c r="X358" s="4377"/>
      <c r="Y358" s="4378"/>
      <c r="Z358" s="4378"/>
    </row>
    <row r="359" spans="1:26" s="4273" customFormat="1">
      <c r="A359" s="4376"/>
      <c r="B359" s="4360"/>
      <c r="C359" s="4360"/>
      <c r="D359" s="4360"/>
      <c r="E359" s="4360"/>
      <c r="F359" s="4360"/>
      <c r="G359" s="4360"/>
      <c r="H359" s="4360"/>
      <c r="I359" s="4360"/>
      <c r="J359" s="4360"/>
      <c r="K359" s="4360"/>
      <c r="L359" s="4361"/>
      <c r="M359" s="4360"/>
      <c r="N359" s="4360"/>
      <c r="O359" s="4360"/>
      <c r="P359" s="4360"/>
      <c r="Q359" s="4360"/>
      <c r="R359" s="4360"/>
      <c r="S359" s="4360"/>
      <c r="T359" s="4360"/>
      <c r="U359" s="4360"/>
      <c r="V359" s="4360"/>
      <c r="W359" s="4360"/>
      <c r="X359" s="4377"/>
      <c r="Y359" s="4378"/>
      <c r="Z359" s="4378"/>
    </row>
    <row r="360" spans="1:26" s="4273" customFormat="1">
      <c r="A360" s="4376"/>
      <c r="B360" s="4360"/>
      <c r="C360" s="4360"/>
      <c r="D360" s="4360"/>
      <c r="E360" s="4360"/>
      <c r="F360" s="4360"/>
      <c r="G360" s="4360"/>
      <c r="H360" s="4360"/>
      <c r="I360" s="4360"/>
      <c r="J360" s="4360"/>
      <c r="K360" s="4360"/>
      <c r="L360" s="4361"/>
      <c r="M360" s="4360"/>
      <c r="N360" s="4360"/>
      <c r="O360" s="4360"/>
      <c r="P360" s="4360"/>
      <c r="Q360" s="4360"/>
      <c r="R360" s="4360"/>
      <c r="S360" s="4360"/>
      <c r="T360" s="4360"/>
      <c r="U360" s="4360"/>
      <c r="V360" s="4360"/>
      <c r="W360" s="4360"/>
      <c r="X360" s="4377"/>
      <c r="Y360" s="4378"/>
      <c r="Z360" s="4378"/>
    </row>
    <row r="361" spans="1:26" s="4273" customFormat="1">
      <c r="A361" s="4376"/>
      <c r="B361" s="4360"/>
      <c r="C361" s="4360"/>
      <c r="D361" s="4360"/>
      <c r="E361" s="4360"/>
      <c r="F361" s="4360"/>
      <c r="G361" s="4360"/>
      <c r="H361" s="4360"/>
      <c r="I361" s="4360"/>
      <c r="J361" s="4360"/>
      <c r="K361" s="4360"/>
      <c r="L361" s="4361"/>
      <c r="M361" s="4360"/>
      <c r="N361" s="4360"/>
      <c r="O361" s="4360"/>
      <c r="P361" s="4360"/>
      <c r="Q361" s="4360"/>
      <c r="R361" s="4360"/>
      <c r="S361" s="4360"/>
      <c r="T361" s="4360"/>
      <c r="U361" s="4360"/>
      <c r="V361" s="4360"/>
      <c r="W361" s="4360"/>
      <c r="X361" s="4377"/>
      <c r="Y361" s="4378"/>
      <c r="Z361" s="4378"/>
    </row>
    <row r="362" spans="1:26" s="4273" customFormat="1">
      <c r="A362" s="4376"/>
      <c r="B362" s="4360"/>
      <c r="C362" s="4360"/>
      <c r="D362" s="4360"/>
      <c r="E362" s="4360"/>
      <c r="F362" s="4360"/>
      <c r="G362" s="4360"/>
      <c r="H362" s="4360"/>
      <c r="I362" s="4360"/>
      <c r="J362" s="4360"/>
      <c r="K362" s="4360"/>
      <c r="L362" s="4361"/>
      <c r="M362" s="4360"/>
      <c r="N362" s="4360"/>
      <c r="O362" s="4360"/>
      <c r="P362" s="4360"/>
      <c r="Q362" s="4360"/>
      <c r="R362" s="4360"/>
      <c r="S362" s="4360"/>
      <c r="T362" s="4360"/>
      <c r="U362" s="4360"/>
      <c r="V362" s="4360"/>
      <c r="W362" s="4360"/>
      <c r="X362" s="4377"/>
      <c r="Y362" s="4378"/>
      <c r="Z362" s="4378"/>
    </row>
    <row r="363" spans="1:26" s="4273" customFormat="1">
      <c r="A363" s="4376"/>
      <c r="B363" s="4360"/>
      <c r="C363" s="4360"/>
      <c r="D363" s="4360"/>
      <c r="E363" s="4360"/>
      <c r="F363" s="4360"/>
      <c r="G363" s="4360"/>
      <c r="H363" s="4360"/>
      <c r="I363" s="4360"/>
      <c r="J363" s="4360"/>
      <c r="K363" s="4360"/>
      <c r="L363" s="4361"/>
      <c r="M363" s="4360"/>
      <c r="N363" s="4360"/>
      <c r="O363" s="4360"/>
      <c r="P363" s="4360"/>
      <c r="Q363" s="4360"/>
      <c r="R363" s="4360"/>
      <c r="S363" s="4360"/>
      <c r="T363" s="4360"/>
      <c r="U363" s="4360"/>
      <c r="V363" s="4360"/>
      <c r="W363" s="4360"/>
      <c r="X363" s="4377"/>
      <c r="Y363" s="4378"/>
      <c r="Z363" s="4378"/>
    </row>
    <row r="364" spans="1:26" s="4273" customFormat="1" ht="13.5" thickBot="1">
      <c r="A364" s="4379"/>
      <c r="B364" s="4380"/>
      <c r="C364" s="4380"/>
      <c r="D364" s="4380"/>
      <c r="E364" s="4380"/>
      <c r="F364" s="4380"/>
      <c r="G364" s="4380"/>
      <c r="H364" s="4380"/>
      <c r="I364" s="4380"/>
      <c r="J364" s="4380"/>
      <c r="K364" s="4380"/>
      <c r="L364" s="4381"/>
      <c r="M364" s="4380"/>
      <c r="N364" s="4380"/>
      <c r="O364" s="4380"/>
      <c r="P364" s="4380"/>
      <c r="Q364" s="4380"/>
      <c r="R364" s="4380"/>
      <c r="S364" s="4380"/>
      <c r="T364" s="4380"/>
      <c r="U364" s="4380"/>
      <c r="V364" s="4380"/>
      <c r="W364" s="4380"/>
      <c r="X364" s="4382"/>
      <c r="Y364" s="4383"/>
      <c r="Z364" s="4383"/>
    </row>
    <row r="365" spans="1:26" s="4273" customFormat="1">
      <c r="A365" s="4359"/>
      <c r="B365" s="4360"/>
      <c r="C365" s="4360"/>
      <c r="D365" s="4360"/>
      <c r="E365" s="4360"/>
      <c r="F365" s="4360"/>
      <c r="G365" s="4360"/>
      <c r="H365" s="4360"/>
      <c r="I365" s="4360"/>
      <c r="J365" s="4360"/>
      <c r="K365" s="4360"/>
      <c r="L365" s="4361"/>
      <c r="M365" s="4360"/>
      <c r="N365" s="4360"/>
      <c r="O365" s="4360"/>
      <c r="P365" s="4360"/>
      <c r="Q365" s="4360"/>
      <c r="R365" s="4360"/>
      <c r="S365" s="4360"/>
      <c r="T365" s="4360"/>
      <c r="U365" s="4360"/>
      <c r="V365" s="4360"/>
      <c r="W365" s="4360"/>
      <c r="X365" s="4271"/>
      <c r="Y365" s="4272"/>
      <c r="Z365" s="4272"/>
    </row>
    <row r="366" spans="1:26" s="4273" customFormat="1">
      <c r="A366" s="4359"/>
      <c r="B366" s="4360"/>
      <c r="C366" s="4360"/>
      <c r="D366" s="4360"/>
      <c r="E366" s="4360"/>
      <c r="F366" s="4360"/>
      <c r="G366" s="4360"/>
      <c r="H366" s="4360"/>
      <c r="I366" s="4360"/>
      <c r="J366" s="4360"/>
      <c r="K366" s="4360"/>
      <c r="L366" s="4361"/>
      <c r="M366" s="4360"/>
      <c r="N366" s="4360"/>
      <c r="O366" s="4360"/>
      <c r="P366" s="4360"/>
      <c r="Q366" s="4360"/>
      <c r="R366" s="4360"/>
      <c r="S366" s="4360"/>
      <c r="T366" s="4360"/>
      <c r="U366" s="4360"/>
      <c r="V366" s="4360"/>
      <c r="W366" s="4360"/>
      <c r="X366" s="4271"/>
      <c r="Y366" s="4272"/>
      <c r="Z366" s="4272"/>
    </row>
    <row r="367" spans="1:26" s="4273" customFormat="1">
      <c r="B367" s="4360"/>
      <c r="C367" s="4360"/>
      <c r="D367" s="4360"/>
      <c r="E367" s="4360"/>
      <c r="F367" s="4360"/>
      <c r="G367" s="4360"/>
      <c r="H367" s="4360"/>
      <c r="I367" s="4360"/>
      <c r="J367" s="4360"/>
      <c r="K367" s="4360"/>
      <c r="L367" s="4361"/>
      <c r="M367" s="4360"/>
      <c r="N367" s="4360"/>
      <c r="O367" s="4360"/>
      <c r="P367" s="4360"/>
      <c r="Q367" s="4360"/>
      <c r="R367" s="4360"/>
      <c r="S367" s="4360"/>
      <c r="T367" s="4360"/>
      <c r="U367" s="4360"/>
      <c r="V367" s="4360"/>
      <c r="W367" s="4360"/>
    </row>
    <row r="368" spans="1:26" s="4273" customFormat="1">
      <c r="B368" s="4360"/>
      <c r="C368" s="4360"/>
      <c r="D368" s="4360"/>
      <c r="E368" s="4360"/>
      <c r="F368" s="4360"/>
      <c r="G368" s="4360"/>
      <c r="H368" s="4360"/>
      <c r="I368" s="4360"/>
      <c r="J368" s="4360"/>
      <c r="K368" s="4360"/>
      <c r="L368" s="4361"/>
      <c r="M368" s="4360"/>
      <c r="N368" s="4360"/>
      <c r="O368" s="4360"/>
      <c r="P368" s="4360"/>
      <c r="Q368" s="4360"/>
      <c r="R368" s="4360"/>
      <c r="S368" s="4360"/>
      <c r="T368" s="4360"/>
      <c r="U368" s="4360"/>
      <c r="V368" s="4360"/>
      <c r="W368" s="4360"/>
    </row>
    <row r="369" spans="2:23" s="4273" customFormat="1">
      <c r="B369" s="4360"/>
      <c r="C369" s="4360"/>
      <c r="D369" s="4360"/>
      <c r="E369" s="4360"/>
      <c r="F369" s="4360"/>
      <c r="G369" s="4360"/>
      <c r="H369" s="4360"/>
      <c r="I369" s="4360"/>
      <c r="J369" s="4360"/>
      <c r="K369" s="4360"/>
      <c r="L369" s="4361"/>
      <c r="M369" s="4360"/>
      <c r="N369" s="4360"/>
      <c r="O369" s="4360"/>
      <c r="P369" s="4360"/>
      <c r="Q369" s="4360"/>
      <c r="R369" s="4360"/>
      <c r="S369" s="4360"/>
      <c r="T369" s="4360"/>
      <c r="U369" s="4360"/>
      <c r="V369" s="4360"/>
      <c r="W369" s="4360"/>
    </row>
    <row r="370" spans="2:23" s="4273" customFormat="1">
      <c r="B370" s="4360"/>
      <c r="C370" s="4360"/>
      <c r="D370" s="4360"/>
      <c r="E370" s="4360"/>
      <c r="F370" s="4360"/>
      <c r="G370" s="4360"/>
      <c r="H370" s="4360"/>
      <c r="I370" s="4360"/>
      <c r="J370" s="4360"/>
      <c r="K370" s="4360"/>
      <c r="L370" s="4361"/>
      <c r="M370" s="4360"/>
      <c r="N370" s="4360"/>
      <c r="O370" s="4360"/>
      <c r="P370" s="4360"/>
      <c r="Q370" s="4360"/>
      <c r="R370" s="4360"/>
      <c r="S370" s="4360"/>
      <c r="T370" s="4360"/>
      <c r="U370" s="4360"/>
      <c r="V370" s="4360"/>
      <c r="W370" s="4360"/>
    </row>
    <row r="371" spans="2:23" s="4273" customFormat="1">
      <c r="B371" s="4360"/>
      <c r="C371" s="4360"/>
      <c r="D371" s="4360"/>
      <c r="E371" s="4360"/>
      <c r="F371" s="4360"/>
      <c r="G371" s="4360"/>
      <c r="H371" s="4360"/>
      <c r="I371" s="4360"/>
      <c r="J371" s="4360"/>
      <c r="K371" s="4360"/>
      <c r="L371" s="4361"/>
      <c r="M371" s="4360"/>
      <c r="N371" s="4360"/>
      <c r="O371" s="4360"/>
      <c r="P371" s="4360"/>
      <c r="Q371" s="4360"/>
      <c r="R371" s="4360"/>
      <c r="S371" s="4360"/>
      <c r="T371" s="4360"/>
      <c r="U371" s="4360"/>
      <c r="V371" s="4360"/>
      <c r="W371" s="4360"/>
    </row>
    <row r="372" spans="2:23" s="4273" customFormat="1">
      <c r="B372" s="4360"/>
      <c r="C372" s="4360"/>
      <c r="D372" s="4360"/>
      <c r="E372" s="4360"/>
      <c r="F372" s="4360"/>
      <c r="G372" s="4360"/>
      <c r="H372" s="4360"/>
      <c r="I372" s="4360"/>
      <c r="J372" s="4360"/>
      <c r="K372" s="4360"/>
      <c r="L372" s="4361"/>
      <c r="M372" s="4360"/>
      <c r="N372" s="4360"/>
      <c r="O372" s="4360"/>
      <c r="P372" s="4360"/>
      <c r="Q372" s="4360"/>
      <c r="R372" s="4360"/>
      <c r="S372" s="4360"/>
      <c r="T372" s="4360"/>
      <c r="U372" s="4360"/>
      <c r="V372" s="4360"/>
      <c r="W372" s="4360"/>
    </row>
    <row r="373" spans="2:23" s="4273" customFormat="1">
      <c r="B373" s="4360"/>
      <c r="C373" s="4360"/>
      <c r="D373" s="4360"/>
      <c r="E373" s="4360"/>
      <c r="F373" s="4360"/>
      <c r="G373" s="4360"/>
      <c r="H373" s="4360"/>
      <c r="I373" s="4360"/>
      <c r="J373" s="4360"/>
      <c r="K373" s="4360"/>
      <c r="L373" s="4361"/>
      <c r="M373" s="4360"/>
      <c r="N373" s="4360"/>
      <c r="O373" s="4360"/>
      <c r="P373" s="4360"/>
      <c r="Q373" s="4360"/>
      <c r="R373" s="4360"/>
      <c r="S373" s="4360"/>
      <c r="T373" s="4360"/>
      <c r="U373" s="4360"/>
      <c r="V373" s="4360"/>
      <c r="W373" s="4360"/>
    </row>
    <row r="374" spans="2:23" s="4273" customFormat="1">
      <c r="B374" s="4360"/>
      <c r="C374" s="4360"/>
      <c r="D374" s="4360"/>
      <c r="E374" s="4360"/>
      <c r="F374" s="4360"/>
      <c r="G374" s="4360"/>
      <c r="H374" s="4360"/>
      <c r="I374" s="4360"/>
      <c r="J374" s="4360"/>
      <c r="K374" s="4360"/>
      <c r="L374" s="4361"/>
      <c r="M374" s="4360"/>
      <c r="N374" s="4360"/>
      <c r="O374" s="4360"/>
      <c r="P374" s="4360"/>
      <c r="Q374" s="4360"/>
      <c r="R374" s="4360"/>
      <c r="S374" s="4360"/>
      <c r="T374" s="4360"/>
      <c r="U374" s="4360"/>
      <c r="V374" s="4360"/>
      <c r="W374" s="4360"/>
    </row>
    <row r="375" spans="2:23" s="4273" customFormat="1">
      <c r="B375" s="4360"/>
      <c r="C375" s="4360"/>
      <c r="D375" s="4360"/>
      <c r="E375" s="4360"/>
      <c r="F375" s="4360"/>
      <c r="G375" s="4360"/>
      <c r="H375" s="4360"/>
      <c r="I375" s="4360"/>
      <c r="J375" s="4360"/>
      <c r="K375" s="4360"/>
      <c r="L375" s="4361"/>
      <c r="M375" s="4360"/>
      <c r="N375" s="4360"/>
      <c r="O375" s="4360"/>
      <c r="P375" s="4360"/>
      <c r="Q375" s="4360"/>
      <c r="R375" s="4360"/>
      <c r="S375" s="4360"/>
      <c r="T375" s="4360"/>
      <c r="U375" s="4360"/>
      <c r="V375" s="4360"/>
      <c r="W375" s="4360"/>
    </row>
    <row r="376" spans="2:23" s="4273" customFormat="1">
      <c r="B376" s="4360"/>
      <c r="C376" s="4360"/>
      <c r="D376" s="4360"/>
      <c r="E376" s="4360"/>
      <c r="F376" s="4360"/>
      <c r="G376" s="4360"/>
      <c r="H376" s="4360"/>
      <c r="I376" s="4360"/>
      <c r="J376" s="4360"/>
      <c r="K376" s="4360"/>
      <c r="L376" s="4361"/>
      <c r="M376" s="4360"/>
      <c r="N376" s="4360"/>
      <c r="O376" s="4360"/>
      <c r="P376" s="4360"/>
      <c r="Q376" s="4360"/>
      <c r="R376" s="4360"/>
      <c r="S376" s="4360"/>
      <c r="T376" s="4360"/>
      <c r="U376" s="4360"/>
      <c r="V376" s="4360"/>
      <c r="W376" s="4360"/>
    </row>
    <row r="377" spans="2:23" s="4273" customFormat="1">
      <c r="B377" s="4360"/>
      <c r="C377" s="4360"/>
      <c r="D377" s="4360"/>
      <c r="E377" s="4360"/>
      <c r="F377" s="4360"/>
      <c r="G377" s="4360"/>
      <c r="H377" s="4360"/>
      <c r="I377" s="4360"/>
      <c r="J377" s="4360"/>
      <c r="K377" s="4360"/>
      <c r="L377" s="4361"/>
      <c r="M377" s="4360"/>
      <c r="N377" s="4360"/>
      <c r="O377" s="4360"/>
      <c r="P377" s="4360"/>
      <c r="Q377" s="4360"/>
      <c r="R377" s="4360"/>
      <c r="S377" s="4360"/>
      <c r="T377" s="4360"/>
      <c r="U377" s="4360"/>
      <c r="V377" s="4360"/>
      <c r="W377" s="4360"/>
    </row>
    <row r="378" spans="2:23" s="4273" customFormat="1">
      <c r="B378" s="4360"/>
      <c r="C378" s="4360"/>
      <c r="D378" s="4360"/>
      <c r="E378" s="4360"/>
      <c r="F378" s="4360"/>
      <c r="G378" s="4360"/>
      <c r="H378" s="4360"/>
      <c r="I378" s="4360"/>
      <c r="J378" s="4360"/>
      <c r="K378" s="4360"/>
      <c r="L378" s="4361"/>
      <c r="M378" s="4360"/>
      <c r="N378" s="4360"/>
      <c r="O378" s="4360"/>
      <c r="P378" s="4360"/>
      <c r="Q378" s="4360"/>
      <c r="R378" s="4360"/>
      <c r="S378" s="4360"/>
      <c r="T378" s="4360"/>
      <c r="U378" s="4360"/>
      <c r="V378" s="4360"/>
      <c r="W378" s="4360"/>
    </row>
    <row r="379" spans="2:23" s="4273" customFormat="1">
      <c r="B379" s="4360"/>
      <c r="C379" s="4360"/>
      <c r="D379" s="4360"/>
      <c r="E379" s="4360"/>
      <c r="F379" s="4360"/>
      <c r="G379" s="4360"/>
      <c r="H379" s="4360"/>
      <c r="I379" s="4360"/>
      <c r="J379" s="4360"/>
      <c r="K379" s="4360"/>
      <c r="L379" s="4361"/>
      <c r="M379" s="4360"/>
      <c r="N379" s="4360"/>
      <c r="O379" s="4360"/>
      <c r="P379" s="4360"/>
      <c r="Q379" s="4360"/>
      <c r="R379" s="4360"/>
      <c r="S379" s="4360"/>
      <c r="T379" s="4360"/>
      <c r="U379" s="4360"/>
      <c r="V379" s="4360"/>
      <c r="W379" s="4360"/>
    </row>
    <row r="380" spans="2:23" s="4273" customFormat="1">
      <c r="B380" s="4360"/>
      <c r="C380" s="4360"/>
      <c r="D380" s="4360"/>
      <c r="E380" s="4360"/>
      <c r="F380" s="4360"/>
      <c r="G380" s="4360"/>
      <c r="H380" s="4360"/>
      <c r="I380" s="4360"/>
      <c r="J380" s="4360"/>
      <c r="K380" s="4360"/>
      <c r="L380" s="4361"/>
      <c r="M380" s="4360"/>
      <c r="N380" s="4360"/>
      <c r="O380" s="4360"/>
      <c r="P380" s="4360"/>
      <c r="Q380" s="4360"/>
      <c r="R380" s="4360"/>
      <c r="S380" s="4360"/>
      <c r="T380" s="4360"/>
      <c r="U380" s="4360"/>
      <c r="V380" s="4360"/>
      <c r="W380" s="4360"/>
    </row>
    <row r="381" spans="2:23" s="4273" customFormat="1">
      <c r="B381" s="4360"/>
      <c r="C381" s="4360"/>
      <c r="D381" s="4360"/>
      <c r="E381" s="4360"/>
      <c r="F381" s="4360"/>
      <c r="G381" s="4360"/>
      <c r="H381" s="4360"/>
      <c r="I381" s="4360"/>
      <c r="J381" s="4360"/>
      <c r="K381" s="4360"/>
      <c r="L381" s="4361"/>
      <c r="M381" s="4360"/>
      <c r="N381" s="4360"/>
      <c r="O381" s="4360"/>
      <c r="P381" s="4360"/>
      <c r="Q381" s="4360"/>
      <c r="R381" s="4360"/>
      <c r="S381" s="4360"/>
      <c r="T381" s="4360"/>
      <c r="U381" s="4360"/>
      <c r="V381" s="4360"/>
      <c r="W381" s="4360"/>
    </row>
    <row r="382" spans="2:23" s="4273" customFormat="1">
      <c r="B382" s="4360"/>
      <c r="C382" s="4360"/>
      <c r="D382" s="4360"/>
      <c r="E382" s="4360"/>
      <c r="F382" s="4360"/>
      <c r="G382" s="4360"/>
      <c r="H382" s="4360"/>
      <c r="I382" s="4360"/>
      <c r="J382" s="4360"/>
      <c r="K382" s="4360"/>
      <c r="L382" s="4361"/>
      <c r="M382" s="4360"/>
      <c r="N382" s="4360"/>
      <c r="O382" s="4360"/>
      <c r="P382" s="4360"/>
      <c r="Q382" s="4360"/>
      <c r="R382" s="4360"/>
      <c r="S382" s="4360"/>
      <c r="T382" s="4360"/>
      <c r="U382" s="4360"/>
      <c r="V382" s="4360"/>
      <c r="W382" s="4360"/>
    </row>
    <row r="383" spans="2:23" s="4273" customFormat="1">
      <c r="B383" s="4360"/>
      <c r="C383" s="4360"/>
      <c r="D383" s="4360"/>
      <c r="E383" s="4360"/>
      <c r="F383" s="4360"/>
      <c r="G383" s="4360"/>
      <c r="H383" s="4360"/>
      <c r="I383" s="4360"/>
      <c r="J383" s="4360"/>
      <c r="K383" s="4360"/>
      <c r="L383" s="4361"/>
      <c r="M383" s="4360"/>
      <c r="N383" s="4360"/>
      <c r="O383" s="4360"/>
      <c r="P383" s="4360"/>
      <c r="Q383" s="4360"/>
      <c r="R383" s="4360"/>
      <c r="S383" s="4360"/>
      <c r="T383" s="4360"/>
      <c r="U383" s="4360"/>
      <c r="V383" s="4360"/>
      <c r="W383" s="4360"/>
    </row>
    <row r="384" spans="2:23" s="4273" customFormat="1">
      <c r="B384" s="4360"/>
      <c r="C384" s="4360"/>
      <c r="D384" s="4360"/>
      <c r="E384" s="4360"/>
      <c r="F384" s="4360"/>
      <c r="G384" s="4360"/>
      <c r="H384" s="4360"/>
      <c r="I384" s="4360"/>
      <c r="J384" s="4360"/>
      <c r="K384" s="4360"/>
      <c r="L384" s="4361"/>
      <c r="M384" s="4360"/>
      <c r="N384" s="4360"/>
      <c r="O384" s="4360"/>
      <c r="P384" s="4360"/>
      <c r="Q384" s="4360"/>
      <c r="R384" s="4360"/>
      <c r="S384" s="4360"/>
      <c r="T384" s="4360"/>
      <c r="U384" s="4360"/>
      <c r="V384" s="4360"/>
      <c r="W384" s="4360"/>
    </row>
    <row r="385" spans="2:23" s="4273" customFormat="1">
      <c r="B385" s="4360"/>
      <c r="C385" s="4360"/>
      <c r="D385" s="4360"/>
      <c r="E385" s="4360"/>
      <c r="F385" s="4360"/>
      <c r="G385" s="4360"/>
      <c r="H385" s="4360"/>
      <c r="I385" s="4360"/>
      <c r="J385" s="4360"/>
      <c r="K385" s="4360"/>
      <c r="L385" s="4361"/>
      <c r="M385" s="4360"/>
      <c r="N385" s="4360"/>
      <c r="O385" s="4360"/>
      <c r="P385" s="4360"/>
      <c r="Q385" s="4360"/>
      <c r="R385" s="4360"/>
      <c r="S385" s="4360"/>
      <c r="T385" s="4360"/>
      <c r="U385" s="4360"/>
      <c r="V385" s="4360"/>
      <c r="W385" s="4360"/>
    </row>
    <row r="386" spans="2:23" s="4273" customFormat="1">
      <c r="B386" s="4360"/>
      <c r="C386" s="4360"/>
      <c r="D386" s="4360"/>
      <c r="E386" s="4360"/>
      <c r="F386" s="4360"/>
      <c r="G386" s="4360"/>
      <c r="H386" s="4360"/>
      <c r="I386" s="4360"/>
      <c r="J386" s="4360"/>
      <c r="K386" s="4360"/>
      <c r="L386" s="4361"/>
      <c r="M386" s="4360"/>
      <c r="N386" s="4360"/>
      <c r="O386" s="4360"/>
      <c r="P386" s="4360"/>
      <c r="Q386" s="4360"/>
      <c r="R386" s="4360"/>
      <c r="S386" s="4360"/>
      <c r="T386" s="4360"/>
      <c r="U386" s="4360"/>
      <c r="V386" s="4360"/>
      <c r="W386" s="4360"/>
    </row>
    <row r="387" spans="2:23" s="4273" customFormat="1">
      <c r="B387" s="4360"/>
      <c r="C387" s="4360"/>
      <c r="D387" s="4360"/>
      <c r="E387" s="4360"/>
      <c r="F387" s="4360"/>
      <c r="G387" s="4360"/>
      <c r="H387" s="4360"/>
      <c r="I387" s="4360"/>
      <c r="J387" s="4360"/>
      <c r="K387" s="4360"/>
      <c r="L387" s="4361"/>
      <c r="M387" s="4360"/>
      <c r="N387" s="4360"/>
      <c r="O387" s="4360"/>
      <c r="P387" s="4360"/>
      <c r="Q387" s="4360"/>
      <c r="R387" s="4360"/>
      <c r="S387" s="4360"/>
      <c r="T387" s="4360"/>
      <c r="U387" s="4360"/>
      <c r="V387" s="4360"/>
      <c r="W387" s="4360"/>
    </row>
    <row r="388" spans="2:23" s="4273" customFormat="1">
      <c r="B388" s="4360"/>
      <c r="C388" s="4360"/>
      <c r="D388" s="4360"/>
      <c r="E388" s="4360"/>
      <c r="F388" s="4360"/>
      <c r="G388" s="4360"/>
      <c r="H388" s="4360"/>
      <c r="I388" s="4360"/>
      <c r="J388" s="4360"/>
      <c r="K388" s="4360"/>
      <c r="L388" s="4361"/>
      <c r="M388" s="4360"/>
      <c r="N388" s="4360"/>
      <c r="O388" s="4360"/>
      <c r="P388" s="4360"/>
      <c r="Q388" s="4360"/>
      <c r="R388" s="4360"/>
      <c r="S388" s="4360"/>
      <c r="T388" s="4360"/>
      <c r="U388" s="4360"/>
      <c r="V388" s="4360"/>
      <c r="W388" s="4360"/>
    </row>
    <row r="389" spans="2:23" s="4273" customFormat="1">
      <c r="B389" s="4360"/>
      <c r="C389" s="4360"/>
      <c r="D389" s="4360"/>
      <c r="E389" s="4360"/>
      <c r="F389" s="4360"/>
      <c r="G389" s="4360"/>
      <c r="H389" s="4360"/>
      <c r="I389" s="4360"/>
      <c r="J389" s="4360"/>
      <c r="K389" s="4360"/>
      <c r="L389" s="4361"/>
      <c r="M389" s="4360"/>
      <c r="N389" s="4360"/>
      <c r="O389" s="4360"/>
      <c r="P389" s="4360"/>
      <c r="Q389" s="4360"/>
      <c r="R389" s="4360"/>
      <c r="S389" s="4360"/>
      <c r="T389" s="4360"/>
      <c r="U389" s="4360"/>
      <c r="V389" s="4360"/>
      <c r="W389" s="4360"/>
    </row>
    <row r="390" spans="2:23" s="4273" customFormat="1">
      <c r="B390" s="4360"/>
      <c r="C390" s="4360"/>
      <c r="D390" s="4360"/>
      <c r="E390" s="4360"/>
      <c r="F390" s="4360"/>
      <c r="G390" s="4360"/>
      <c r="H390" s="4360"/>
      <c r="I390" s="4360"/>
      <c r="J390" s="4360"/>
      <c r="K390" s="4360"/>
      <c r="L390" s="4361"/>
      <c r="M390" s="4360"/>
      <c r="N390" s="4360"/>
      <c r="O390" s="4360"/>
      <c r="P390" s="4360"/>
      <c r="Q390" s="4360"/>
      <c r="R390" s="4360"/>
      <c r="S390" s="4360"/>
      <c r="T390" s="4360"/>
      <c r="U390" s="4360"/>
      <c r="V390" s="4360"/>
      <c r="W390" s="4360"/>
    </row>
    <row r="391" spans="2:23" s="4273" customFormat="1">
      <c r="B391" s="4360"/>
      <c r="C391" s="4360"/>
      <c r="D391" s="4360"/>
      <c r="E391" s="4360"/>
      <c r="F391" s="4360"/>
      <c r="G391" s="4360"/>
      <c r="H391" s="4360"/>
      <c r="I391" s="4360"/>
      <c r="J391" s="4360"/>
      <c r="K391" s="4360"/>
      <c r="L391" s="4361"/>
      <c r="M391" s="4360"/>
      <c r="N391" s="4360"/>
      <c r="O391" s="4360"/>
      <c r="P391" s="4360"/>
      <c r="Q391" s="4360"/>
      <c r="R391" s="4360"/>
      <c r="S391" s="4360"/>
      <c r="T391" s="4360"/>
      <c r="U391" s="4360"/>
      <c r="V391" s="4360"/>
      <c r="W391" s="4360"/>
    </row>
    <row r="392" spans="2:23" s="4273" customFormat="1">
      <c r="B392" s="4360"/>
      <c r="C392" s="4360"/>
      <c r="D392" s="4360"/>
      <c r="E392" s="4360"/>
      <c r="F392" s="4360"/>
      <c r="G392" s="4360"/>
      <c r="H392" s="4360"/>
      <c r="I392" s="4360"/>
      <c r="J392" s="4360"/>
      <c r="K392" s="4360"/>
      <c r="L392" s="4361"/>
      <c r="M392" s="4360"/>
      <c r="N392" s="4360"/>
      <c r="O392" s="4360"/>
      <c r="P392" s="4360"/>
      <c r="Q392" s="4360"/>
      <c r="R392" s="4360"/>
      <c r="S392" s="4360"/>
      <c r="T392" s="4360"/>
      <c r="U392" s="4360"/>
      <c r="V392" s="4360"/>
      <c r="W392" s="4360"/>
    </row>
    <row r="393" spans="2:23" s="4273" customFormat="1">
      <c r="B393" s="4360"/>
      <c r="C393" s="4360"/>
      <c r="D393" s="4360"/>
      <c r="E393" s="4360"/>
      <c r="F393" s="4360"/>
      <c r="G393" s="4360"/>
      <c r="H393" s="4360"/>
      <c r="I393" s="4360"/>
      <c r="J393" s="4360"/>
      <c r="K393" s="4360"/>
      <c r="L393" s="4361"/>
      <c r="M393" s="4360"/>
      <c r="N393" s="4360"/>
      <c r="O393" s="4360"/>
      <c r="P393" s="4360"/>
      <c r="Q393" s="4360"/>
      <c r="R393" s="4360"/>
      <c r="S393" s="4360"/>
      <c r="T393" s="4360"/>
      <c r="U393" s="4360"/>
      <c r="V393" s="4360"/>
      <c r="W393" s="4360"/>
    </row>
    <row r="394" spans="2:23" s="4273" customFormat="1">
      <c r="B394" s="4360"/>
      <c r="C394" s="4360"/>
      <c r="D394" s="4360"/>
      <c r="E394" s="4360"/>
      <c r="F394" s="4360"/>
      <c r="G394" s="4360"/>
      <c r="H394" s="4360"/>
      <c r="I394" s="4360"/>
      <c r="J394" s="4360"/>
      <c r="K394" s="4360"/>
      <c r="L394" s="4361"/>
      <c r="M394" s="4360"/>
      <c r="N394" s="4360"/>
      <c r="O394" s="4360"/>
      <c r="P394" s="4360"/>
      <c r="Q394" s="4360"/>
      <c r="R394" s="4360"/>
      <c r="S394" s="4360"/>
      <c r="T394" s="4360"/>
      <c r="U394" s="4360"/>
      <c r="V394" s="4360"/>
      <c r="W394" s="4360"/>
    </row>
    <row r="395" spans="2:23" s="4273" customFormat="1">
      <c r="B395" s="4360"/>
      <c r="C395" s="4360"/>
      <c r="D395" s="4360"/>
      <c r="E395" s="4360"/>
      <c r="F395" s="4360"/>
      <c r="G395" s="4360"/>
      <c r="H395" s="4360"/>
      <c r="I395" s="4360"/>
      <c r="J395" s="4360"/>
      <c r="K395" s="4360"/>
      <c r="L395" s="4361"/>
      <c r="M395" s="4360"/>
      <c r="N395" s="4360"/>
      <c r="O395" s="4360"/>
      <c r="P395" s="4360"/>
      <c r="Q395" s="4360"/>
      <c r="R395" s="4360"/>
      <c r="S395" s="4360"/>
      <c r="T395" s="4360"/>
      <c r="U395" s="4360"/>
      <c r="V395" s="4360"/>
      <c r="W395" s="4360"/>
    </row>
    <row r="396" spans="2:23" s="4273" customFormat="1">
      <c r="B396" s="4360"/>
      <c r="C396" s="4360"/>
      <c r="D396" s="4360"/>
      <c r="E396" s="4360"/>
      <c r="F396" s="4360"/>
      <c r="G396" s="4360"/>
      <c r="H396" s="4360"/>
      <c r="I396" s="4360"/>
      <c r="J396" s="4360"/>
      <c r="K396" s="4360"/>
      <c r="L396" s="4361"/>
      <c r="M396" s="4360"/>
      <c r="N396" s="4360"/>
      <c r="O396" s="4360"/>
      <c r="P396" s="4360"/>
      <c r="Q396" s="4360"/>
      <c r="R396" s="4360"/>
      <c r="S396" s="4360"/>
      <c r="T396" s="4360"/>
      <c r="U396" s="4360"/>
      <c r="V396" s="4360"/>
      <c r="W396" s="4360"/>
    </row>
    <row r="397" spans="2:23" s="4273" customFormat="1">
      <c r="B397" s="4360"/>
      <c r="C397" s="4360"/>
      <c r="D397" s="4360"/>
      <c r="E397" s="4360"/>
      <c r="F397" s="4360"/>
      <c r="G397" s="4360"/>
      <c r="H397" s="4360"/>
      <c r="I397" s="4360"/>
      <c r="J397" s="4360"/>
      <c r="K397" s="4360"/>
      <c r="L397" s="4361"/>
      <c r="M397" s="4360"/>
      <c r="N397" s="4360"/>
      <c r="O397" s="4360"/>
      <c r="P397" s="4360"/>
      <c r="Q397" s="4360"/>
      <c r="R397" s="4360"/>
      <c r="S397" s="4360"/>
      <c r="T397" s="4360"/>
      <c r="U397" s="4360"/>
      <c r="V397" s="4360"/>
      <c r="W397" s="4360"/>
    </row>
    <row r="398" spans="2:23" s="4273" customFormat="1">
      <c r="B398" s="4360"/>
      <c r="C398" s="4360"/>
      <c r="D398" s="4360"/>
      <c r="E398" s="4360"/>
      <c r="F398" s="4360"/>
      <c r="G398" s="4360"/>
      <c r="H398" s="4360"/>
      <c r="I398" s="4360"/>
      <c r="J398" s="4360"/>
      <c r="K398" s="4360"/>
      <c r="L398" s="4361"/>
      <c r="M398" s="4360"/>
      <c r="N398" s="4360"/>
      <c r="O398" s="4360"/>
      <c r="P398" s="4360"/>
      <c r="Q398" s="4360"/>
      <c r="R398" s="4360"/>
      <c r="S398" s="4360"/>
      <c r="T398" s="4360"/>
      <c r="U398" s="4360"/>
      <c r="V398" s="4360"/>
      <c r="W398" s="4360"/>
    </row>
    <row r="399" spans="2:23" s="4273" customFormat="1">
      <c r="B399" s="4360"/>
      <c r="C399" s="4360"/>
      <c r="D399" s="4360"/>
      <c r="E399" s="4360"/>
      <c r="F399" s="4360"/>
      <c r="G399" s="4360"/>
      <c r="H399" s="4360"/>
      <c r="I399" s="4360"/>
      <c r="J399" s="4360"/>
      <c r="K399" s="4360"/>
      <c r="L399" s="4361"/>
      <c r="M399" s="4360"/>
      <c r="N399" s="4360"/>
      <c r="O399" s="4360"/>
      <c r="P399" s="4360"/>
      <c r="Q399" s="4360"/>
      <c r="R399" s="4360"/>
      <c r="S399" s="4360"/>
      <c r="T399" s="4360"/>
      <c r="U399" s="4360"/>
      <c r="V399" s="4360"/>
      <c r="W399" s="4360"/>
    </row>
    <row r="400" spans="2:23" s="4273" customFormat="1">
      <c r="B400" s="4360"/>
      <c r="C400" s="4360"/>
      <c r="D400" s="4360"/>
      <c r="E400" s="4360"/>
      <c r="F400" s="4360"/>
      <c r="G400" s="4360"/>
      <c r="H400" s="4360"/>
      <c r="I400" s="4360"/>
      <c r="J400" s="4360"/>
      <c r="K400" s="4360"/>
      <c r="L400" s="4361"/>
      <c r="M400" s="4360"/>
      <c r="N400" s="4360"/>
      <c r="O400" s="4360"/>
      <c r="P400" s="4360"/>
      <c r="Q400" s="4360"/>
      <c r="R400" s="4360"/>
      <c r="S400" s="4360"/>
      <c r="T400" s="4360"/>
      <c r="U400" s="4360"/>
      <c r="V400" s="4360"/>
      <c r="W400" s="4360"/>
    </row>
    <row r="401" spans="2:23" s="4273" customFormat="1">
      <c r="B401" s="4360"/>
      <c r="C401" s="4360"/>
      <c r="D401" s="4360"/>
      <c r="E401" s="4360"/>
      <c r="F401" s="4360"/>
      <c r="G401" s="4360"/>
      <c r="H401" s="4360"/>
      <c r="I401" s="4360"/>
      <c r="J401" s="4360"/>
      <c r="K401" s="4360"/>
      <c r="L401" s="4361"/>
      <c r="M401" s="4360"/>
      <c r="N401" s="4360"/>
      <c r="O401" s="4360"/>
      <c r="P401" s="4360"/>
      <c r="Q401" s="4360"/>
      <c r="R401" s="4360"/>
      <c r="S401" s="4360"/>
      <c r="T401" s="4360"/>
      <c r="U401" s="4360"/>
      <c r="V401" s="4360"/>
      <c r="W401" s="4360"/>
    </row>
    <row r="402" spans="2:23" s="4273" customFormat="1">
      <c r="B402" s="4360"/>
      <c r="C402" s="4360"/>
      <c r="D402" s="4360"/>
      <c r="E402" s="4360"/>
      <c r="F402" s="4360"/>
      <c r="G402" s="4360"/>
      <c r="H402" s="4360"/>
      <c r="I402" s="4360"/>
      <c r="J402" s="4360"/>
      <c r="K402" s="4360"/>
      <c r="L402" s="4361"/>
      <c r="M402" s="4360"/>
      <c r="N402" s="4360"/>
      <c r="O402" s="4360"/>
      <c r="P402" s="4360"/>
      <c r="Q402" s="4360"/>
      <c r="R402" s="4360"/>
      <c r="S402" s="4360"/>
      <c r="T402" s="4360"/>
      <c r="U402" s="4360"/>
      <c r="V402" s="4360"/>
      <c r="W402" s="4360"/>
    </row>
    <row r="403" spans="2:23" s="4273" customFormat="1">
      <c r="B403" s="4360"/>
      <c r="C403" s="4360"/>
      <c r="D403" s="4360"/>
      <c r="E403" s="4360"/>
      <c r="F403" s="4360"/>
      <c r="G403" s="4360"/>
      <c r="H403" s="4360"/>
      <c r="I403" s="4360"/>
      <c r="J403" s="4360"/>
      <c r="K403" s="4360"/>
      <c r="L403" s="4361"/>
      <c r="M403" s="4360"/>
      <c r="N403" s="4360"/>
      <c r="O403" s="4360"/>
      <c r="P403" s="4360"/>
      <c r="Q403" s="4360"/>
      <c r="R403" s="4360"/>
      <c r="S403" s="4360"/>
      <c r="T403" s="4360"/>
      <c r="U403" s="4360"/>
      <c r="V403" s="4360"/>
      <c r="W403" s="4360"/>
    </row>
    <row r="404" spans="2:23" s="4273" customFormat="1">
      <c r="B404" s="4360"/>
      <c r="C404" s="4360"/>
      <c r="D404" s="4360"/>
      <c r="E404" s="4360"/>
      <c r="F404" s="4360"/>
      <c r="G404" s="4360"/>
      <c r="H404" s="4360"/>
      <c r="I404" s="4360"/>
      <c r="J404" s="4360"/>
      <c r="K404" s="4360"/>
      <c r="L404" s="4361"/>
      <c r="M404" s="4360"/>
      <c r="N404" s="4360"/>
      <c r="O404" s="4360"/>
      <c r="P404" s="4360"/>
      <c r="Q404" s="4360"/>
      <c r="R404" s="4360"/>
      <c r="S404" s="4360"/>
      <c r="T404" s="4360"/>
      <c r="U404" s="4360"/>
      <c r="V404" s="4360"/>
      <c r="W404" s="4360"/>
    </row>
    <row r="405" spans="2:23" s="4273" customFormat="1">
      <c r="B405" s="4360"/>
      <c r="C405" s="4360"/>
      <c r="D405" s="4360"/>
      <c r="E405" s="4360"/>
      <c r="F405" s="4360"/>
      <c r="G405" s="4360"/>
      <c r="H405" s="4360"/>
      <c r="I405" s="4360"/>
      <c r="J405" s="4360"/>
      <c r="K405" s="4360"/>
      <c r="L405" s="4361"/>
      <c r="M405" s="4360"/>
      <c r="N405" s="4360"/>
      <c r="O405" s="4360"/>
      <c r="P405" s="4360"/>
      <c r="Q405" s="4360"/>
      <c r="R405" s="4360"/>
      <c r="S405" s="4360"/>
      <c r="T405" s="4360"/>
      <c r="U405" s="4360"/>
      <c r="V405" s="4360"/>
      <c r="W405" s="4360"/>
    </row>
    <row r="406" spans="2:23" s="4273" customFormat="1">
      <c r="B406" s="4360"/>
      <c r="C406" s="4360"/>
      <c r="D406" s="4360"/>
      <c r="E406" s="4360"/>
      <c r="F406" s="4360"/>
      <c r="G406" s="4360"/>
      <c r="H406" s="4360"/>
      <c r="I406" s="4360"/>
      <c r="J406" s="4360"/>
      <c r="K406" s="4360"/>
      <c r="L406" s="4361"/>
      <c r="M406" s="4360"/>
      <c r="N406" s="4360"/>
      <c r="O406" s="4360"/>
      <c r="P406" s="4360"/>
      <c r="Q406" s="4360"/>
      <c r="R406" s="4360"/>
      <c r="S406" s="4360"/>
      <c r="T406" s="4360"/>
      <c r="U406" s="4360"/>
      <c r="V406" s="4360"/>
      <c r="W406" s="4360"/>
    </row>
    <row r="407" spans="2:23" s="4273" customFormat="1">
      <c r="B407" s="4360"/>
      <c r="C407" s="4360"/>
      <c r="D407" s="4360"/>
      <c r="E407" s="4360"/>
      <c r="F407" s="4360"/>
      <c r="G407" s="4360"/>
      <c r="H407" s="4360"/>
      <c r="I407" s="4360"/>
      <c r="J407" s="4360"/>
      <c r="K407" s="4360"/>
      <c r="L407" s="4361"/>
      <c r="M407" s="4360"/>
      <c r="N407" s="4360"/>
      <c r="O407" s="4360"/>
      <c r="P407" s="4360"/>
      <c r="Q407" s="4360"/>
      <c r="R407" s="4360"/>
      <c r="S407" s="4360"/>
      <c r="T407" s="4360"/>
      <c r="U407" s="4360"/>
      <c r="V407" s="4360"/>
      <c r="W407" s="4360"/>
    </row>
    <row r="408" spans="2:23" s="4273" customFormat="1">
      <c r="B408" s="4360"/>
      <c r="C408" s="4360"/>
      <c r="D408" s="4360"/>
      <c r="E408" s="4360"/>
      <c r="F408" s="4360"/>
      <c r="G408" s="4360"/>
      <c r="H408" s="4360"/>
      <c r="I408" s="4360"/>
      <c r="J408" s="4360"/>
      <c r="K408" s="4360"/>
      <c r="L408" s="4361"/>
      <c r="M408" s="4360"/>
      <c r="N408" s="4360"/>
      <c r="O408" s="4360"/>
      <c r="P408" s="4360"/>
      <c r="Q408" s="4360"/>
      <c r="R408" s="4360"/>
      <c r="S408" s="4360"/>
      <c r="T408" s="4360"/>
      <c r="U408" s="4360"/>
      <c r="V408" s="4360"/>
      <c r="W408" s="4360"/>
    </row>
    <row r="409" spans="2:23" s="4273" customFormat="1">
      <c r="B409" s="4360"/>
      <c r="C409" s="4360"/>
      <c r="D409" s="4360"/>
      <c r="E409" s="4360"/>
      <c r="F409" s="4360"/>
      <c r="G409" s="4360"/>
      <c r="H409" s="4360"/>
      <c r="I409" s="4360"/>
      <c r="J409" s="4360"/>
      <c r="K409" s="4360"/>
      <c r="L409" s="4361"/>
      <c r="M409" s="4360"/>
      <c r="N409" s="4360"/>
      <c r="O409" s="4360"/>
      <c r="P409" s="4360"/>
      <c r="Q409" s="4360"/>
      <c r="R409" s="4360"/>
      <c r="S409" s="4360"/>
      <c r="T409" s="4360"/>
      <c r="U409" s="4360"/>
      <c r="V409" s="4360"/>
      <c r="W409" s="4360"/>
    </row>
    <row r="410" spans="2:23" s="4273" customFormat="1">
      <c r="B410" s="4360"/>
      <c r="C410" s="4360"/>
      <c r="D410" s="4360"/>
      <c r="E410" s="4360"/>
      <c r="F410" s="4360"/>
      <c r="G410" s="4360"/>
      <c r="H410" s="4360"/>
      <c r="I410" s="4360"/>
      <c r="J410" s="4360"/>
      <c r="K410" s="4360"/>
      <c r="L410" s="4361"/>
      <c r="M410" s="4360"/>
      <c r="N410" s="4360"/>
      <c r="O410" s="4360"/>
      <c r="P410" s="4360"/>
      <c r="Q410" s="4360"/>
      <c r="R410" s="4360"/>
      <c r="S410" s="4360"/>
      <c r="T410" s="4360"/>
      <c r="U410" s="4360"/>
      <c r="V410" s="4360"/>
      <c r="W410" s="4360"/>
    </row>
    <row r="411" spans="2:23" s="4273" customFormat="1">
      <c r="B411" s="4360"/>
      <c r="C411" s="4360"/>
      <c r="D411" s="4360"/>
      <c r="E411" s="4360"/>
      <c r="F411" s="4360"/>
      <c r="G411" s="4360"/>
      <c r="H411" s="4360"/>
      <c r="I411" s="4360"/>
      <c r="J411" s="4360"/>
      <c r="K411" s="4360"/>
      <c r="L411" s="4361"/>
      <c r="M411" s="4360"/>
      <c r="N411" s="4360"/>
      <c r="O411" s="4360"/>
      <c r="P411" s="4360"/>
      <c r="Q411" s="4360"/>
      <c r="R411" s="4360"/>
      <c r="S411" s="4360"/>
      <c r="T411" s="4360"/>
      <c r="U411" s="4360"/>
      <c r="V411" s="4360"/>
      <c r="W411" s="4360"/>
    </row>
    <row r="412" spans="2:23" s="4273" customFormat="1">
      <c r="B412" s="4360"/>
      <c r="C412" s="4360"/>
      <c r="D412" s="4360"/>
      <c r="E412" s="4360"/>
      <c r="F412" s="4360"/>
      <c r="G412" s="4360"/>
      <c r="H412" s="4360"/>
      <c r="I412" s="4360"/>
      <c r="J412" s="4360"/>
      <c r="K412" s="4360"/>
      <c r="L412" s="4361"/>
      <c r="M412" s="4360"/>
      <c r="N412" s="4360"/>
      <c r="O412" s="4360"/>
      <c r="P412" s="4360"/>
      <c r="Q412" s="4360"/>
      <c r="R412" s="4360"/>
      <c r="S412" s="4360"/>
      <c r="T412" s="4360"/>
      <c r="U412" s="4360"/>
      <c r="V412" s="4360"/>
      <c r="W412" s="4360"/>
    </row>
    <row r="413" spans="2:23" s="4273" customFormat="1">
      <c r="B413" s="4360"/>
      <c r="C413" s="4360"/>
      <c r="D413" s="4360"/>
      <c r="E413" s="4360"/>
      <c r="F413" s="4360"/>
      <c r="G413" s="4360"/>
      <c r="H413" s="4360"/>
      <c r="I413" s="4360"/>
      <c r="J413" s="4360"/>
      <c r="K413" s="4360"/>
      <c r="L413" s="4361"/>
      <c r="M413" s="4360"/>
      <c r="N413" s="4360"/>
      <c r="O413" s="4360"/>
      <c r="P413" s="4360"/>
      <c r="Q413" s="4360"/>
      <c r="R413" s="4360"/>
      <c r="S413" s="4360"/>
      <c r="T413" s="4360"/>
      <c r="U413" s="4360"/>
      <c r="V413" s="4360"/>
      <c r="W413" s="4360"/>
    </row>
    <row r="414" spans="2:23" s="4273" customFormat="1">
      <c r="B414" s="4360"/>
      <c r="C414" s="4360"/>
      <c r="D414" s="4360"/>
      <c r="E414" s="4360"/>
      <c r="F414" s="4360"/>
      <c r="G414" s="4360"/>
      <c r="H414" s="4360"/>
      <c r="I414" s="4360"/>
      <c r="J414" s="4360"/>
      <c r="K414" s="4360"/>
      <c r="L414" s="4361"/>
      <c r="M414" s="4360"/>
      <c r="N414" s="4360"/>
      <c r="O414" s="4360"/>
      <c r="P414" s="4360"/>
      <c r="Q414" s="4360"/>
      <c r="R414" s="4360"/>
      <c r="S414" s="4360"/>
      <c r="T414" s="4360"/>
      <c r="U414" s="4360"/>
      <c r="V414" s="4360"/>
      <c r="W414" s="4360"/>
    </row>
    <row r="415" spans="2:23" s="4273" customFormat="1">
      <c r="B415" s="4360"/>
      <c r="C415" s="4360"/>
      <c r="D415" s="4360"/>
      <c r="E415" s="4360"/>
      <c r="F415" s="4360"/>
      <c r="G415" s="4360"/>
      <c r="H415" s="4360"/>
      <c r="I415" s="4360"/>
      <c r="J415" s="4360"/>
      <c r="K415" s="4360"/>
      <c r="L415" s="4361"/>
      <c r="M415" s="4360"/>
      <c r="N415" s="4360"/>
      <c r="O415" s="4360"/>
      <c r="P415" s="4360"/>
      <c r="Q415" s="4360"/>
      <c r="R415" s="4360"/>
      <c r="S415" s="4360"/>
      <c r="T415" s="4360"/>
      <c r="U415" s="4360"/>
      <c r="V415" s="4360"/>
      <c r="W415" s="4360"/>
    </row>
    <row r="416" spans="2:23" s="4273" customFormat="1">
      <c r="B416" s="4360"/>
      <c r="C416" s="4360"/>
      <c r="D416" s="4360"/>
      <c r="E416" s="4360"/>
      <c r="F416" s="4360"/>
      <c r="G416" s="4360"/>
      <c r="H416" s="4360"/>
      <c r="I416" s="4360"/>
      <c r="J416" s="4360"/>
      <c r="K416" s="4360"/>
      <c r="L416" s="4361"/>
      <c r="M416" s="4360"/>
      <c r="N416" s="4360"/>
      <c r="O416" s="4360"/>
      <c r="P416" s="4360"/>
      <c r="Q416" s="4360"/>
      <c r="R416" s="4360"/>
      <c r="S416" s="4360"/>
      <c r="T416" s="4360"/>
      <c r="U416" s="4360"/>
      <c r="V416" s="4360"/>
      <c r="W416" s="4360"/>
    </row>
    <row r="417" spans="2:23" s="4273" customFormat="1">
      <c r="B417" s="4360"/>
      <c r="C417" s="4360"/>
      <c r="D417" s="4360"/>
      <c r="E417" s="4360"/>
      <c r="F417" s="4360"/>
      <c r="G417" s="4360"/>
      <c r="H417" s="4360"/>
      <c r="I417" s="4360"/>
      <c r="J417" s="4360"/>
      <c r="K417" s="4360"/>
      <c r="L417" s="4361"/>
      <c r="M417" s="4360"/>
      <c r="N417" s="4360"/>
      <c r="O417" s="4360"/>
      <c r="P417" s="4360"/>
      <c r="Q417" s="4360"/>
      <c r="R417" s="4360"/>
      <c r="S417" s="4360"/>
      <c r="T417" s="4360"/>
      <c r="U417" s="4360"/>
      <c r="V417" s="4360"/>
      <c r="W417" s="4360"/>
    </row>
    <row r="418" spans="2:23" s="4273" customFormat="1">
      <c r="B418" s="4360"/>
      <c r="C418" s="4360"/>
      <c r="D418" s="4360"/>
      <c r="E418" s="4360"/>
      <c r="F418" s="4360"/>
      <c r="G418" s="4360"/>
      <c r="H418" s="4360"/>
      <c r="I418" s="4360"/>
      <c r="J418" s="4360"/>
      <c r="K418" s="4360"/>
      <c r="L418" s="4361"/>
      <c r="M418" s="4360"/>
      <c r="N418" s="4360"/>
      <c r="O418" s="4360"/>
      <c r="P418" s="4360"/>
      <c r="Q418" s="4360"/>
      <c r="R418" s="4360"/>
      <c r="S418" s="4360"/>
      <c r="T418" s="4360"/>
      <c r="U418" s="4360"/>
      <c r="V418" s="4360"/>
      <c r="W418" s="4360"/>
    </row>
    <row r="419" spans="2:23" s="4273" customFormat="1">
      <c r="B419" s="4360"/>
      <c r="C419" s="4360"/>
      <c r="D419" s="4360"/>
      <c r="E419" s="4360"/>
      <c r="F419" s="4360"/>
      <c r="G419" s="4360"/>
      <c r="H419" s="4360"/>
      <c r="I419" s="4360"/>
      <c r="J419" s="4360"/>
      <c r="K419" s="4360"/>
      <c r="L419" s="4361"/>
      <c r="M419" s="4360"/>
      <c r="N419" s="4360"/>
      <c r="O419" s="4360"/>
      <c r="P419" s="4360"/>
      <c r="Q419" s="4360"/>
      <c r="R419" s="4360"/>
      <c r="S419" s="4360"/>
      <c r="T419" s="4360"/>
      <c r="U419" s="4360"/>
      <c r="V419" s="4360"/>
      <c r="W419" s="4360"/>
    </row>
    <row r="420" spans="2:23" s="4273" customFormat="1">
      <c r="B420" s="4360"/>
      <c r="C420" s="4360"/>
      <c r="D420" s="4360"/>
      <c r="E420" s="4360"/>
      <c r="F420" s="4360"/>
      <c r="G420" s="4360"/>
      <c r="H420" s="4360"/>
      <c r="I420" s="4360"/>
      <c r="J420" s="4360"/>
      <c r="K420" s="4360"/>
      <c r="L420" s="4361"/>
      <c r="M420" s="4360"/>
      <c r="N420" s="4360"/>
      <c r="O420" s="4360"/>
      <c r="P420" s="4360"/>
      <c r="Q420" s="4360"/>
      <c r="R420" s="4360"/>
      <c r="S420" s="4360"/>
      <c r="T420" s="4360"/>
      <c r="U420" s="4360"/>
      <c r="V420" s="4360"/>
      <c r="W420" s="4360"/>
    </row>
    <row r="421" spans="2:23" s="4273" customFormat="1">
      <c r="B421" s="4360"/>
      <c r="C421" s="4360"/>
      <c r="D421" s="4360"/>
      <c r="E421" s="4360"/>
      <c r="F421" s="4360"/>
      <c r="G421" s="4360"/>
      <c r="H421" s="4360"/>
      <c r="I421" s="4360"/>
      <c r="J421" s="4360"/>
      <c r="K421" s="4360"/>
      <c r="L421" s="4361"/>
      <c r="M421" s="4360"/>
      <c r="N421" s="4360"/>
      <c r="O421" s="4360"/>
      <c r="P421" s="4360"/>
      <c r="Q421" s="4360"/>
      <c r="R421" s="4360"/>
      <c r="S421" s="4360"/>
      <c r="T421" s="4360"/>
      <c r="U421" s="4360"/>
      <c r="V421" s="4360"/>
      <c r="W421" s="4360"/>
    </row>
    <row r="422" spans="2:23" s="4273" customFormat="1">
      <c r="B422" s="4360"/>
      <c r="C422" s="4360"/>
      <c r="D422" s="4360"/>
      <c r="E422" s="4360"/>
      <c r="F422" s="4360"/>
      <c r="G422" s="4360"/>
      <c r="H422" s="4360"/>
      <c r="I422" s="4360"/>
      <c r="J422" s="4360"/>
      <c r="K422" s="4360"/>
      <c r="L422" s="4361"/>
      <c r="M422" s="4360"/>
      <c r="N422" s="4360"/>
      <c r="O422" s="4360"/>
      <c r="P422" s="4360"/>
      <c r="Q422" s="4360"/>
      <c r="R422" s="4360"/>
      <c r="S422" s="4360"/>
      <c r="T422" s="4360"/>
      <c r="U422" s="4360"/>
      <c r="V422" s="4360"/>
      <c r="W422" s="4360"/>
    </row>
    <row r="423" spans="2:23" s="4273" customFormat="1">
      <c r="B423" s="4360"/>
      <c r="C423" s="4360"/>
      <c r="D423" s="4360"/>
      <c r="E423" s="4360"/>
      <c r="F423" s="4360"/>
      <c r="G423" s="4360"/>
      <c r="H423" s="4360"/>
      <c r="I423" s="4360"/>
      <c r="J423" s="4360"/>
      <c r="K423" s="4360"/>
      <c r="L423" s="4361"/>
      <c r="M423" s="4360"/>
      <c r="N423" s="4360"/>
      <c r="O423" s="4360"/>
      <c r="P423" s="4360"/>
      <c r="Q423" s="4360"/>
      <c r="R423" s="4360"/>
      <c r="S423" s="4360"/>
      <c r="T423" s="4360"/>
      <c r="U423" s="4360"/>
      <c r="V423" s="4360"/>
      <c r="W423" s="4360"/>
    </row>
    <row r="424" spans="2:23" s="4273" customFormat="1">
      <c r="B424" s="4360"/>
      <c r="C424" s="4360"/>
      <c r="D424" s="4360"/>
      <c r="E424" s="4360"/>
      <c r="F424" s="4360"/>
      <c r="G424" s="4360"/>
      <c r="H424" s="4360"/>
      <c r="I424" s="4360"/>
      <c r="J424" s="4360"/>
      <c r="K424" s="4360"/>
      <c r="L424" s="4361"/>
      <c r="M424" s="4360"/>
      <c r="N424" s="4360"/>
      <c r="O424" s="4360"/>
      <c r="P424" s="4360"/>
      <c r="Q424" s="4360"/>
      <c r="R424" s="4360"/>
      <c r="S424" s="4360"/>
      <c r="T424" s="4360"/>
      <c r="U424" s="4360"/>
      <c r="V424" s="4360"/>
      <c r="W424" s="4360"/>
    </row>
    <row r="425" spans="2:23" s="4273" customFormat="1">
      <c r="B425" s="4360"/>
      <c r="C425" s="4360"/>
      <c r="D425" s="4360"/>
      <c r="E425" s="4360"/>
      <c r="F425" s="4360"/>
      <c r="G425" s="4360"/>
      <c r="H425" s="4360"/>
      <c r="I425" s="4360"/>
      <c r="J425" s="4360"/>
      <c r="K425" s="4360"/>
      <c r="L425" s="4361"/>
      <c r="M425" s="4360"/>
      <c r="N425" s="4360"/>
      <c r="O425" s="4360"/>
      <c r="P425" s="4360"/>
      <c r="Q425" s="4360"/>
      <c r="R425" s="4360"/>
      <c r="S425" s="4360"/>
      <c r="T425" s="4360"/>
      <c r="U425" s="4360"/>
      <c r="V425" s="4360"/>
      <c r="W425" s="4360"/>
    </row>
    <row r="426" spans="2:23" s="4273" customFormat="1">
      <c r="B426" s="4360"/>
      <c r="C426" s="4360"/>
      <c r="D426" s="4360"/>
      <c r="E426" s="4360"/>
      <c r="F426" s="4360"/>
      <c r="G426" s="4360"/>
      <c r="H426" s="4360"/>
      <c r="I426" s="4360"/>
      <c r="J426" s="4360"/>
      <c r="K426" s="4360"/>
      <c r="L426" s="4361"/>
      <c r="M426" s="4360"/>
      <c r="N426" s="4360"/>
      <c r="O426" s="4360"/>
      <c r="P426" s="4360"/>
      <c r="Q426" s="4360"/>
      <c r="R426" s="4360"/>
      <c r="S426" s="4360"/>
      <c r="T426" s="4360"/>
      <c r="U426" s="4360"/>
      <c r="V426" s="4360"/>
      <c r="W426" s="4360"/>
    </row>
    <row r="427" spans="2:23" s="4273" customFormat="1">
      <c r="B427" s="4360"/>
      <c r="C427" s="4360"/>
      <c r="D427" s="4360"/>
      <c r="E427" s="4360"/>
      <c r="F427" s="4360"/>
      <c r="G427" s="4360"/>
      <c r="H427" s="4360"/>
      <c r="I427" s="4360"/>
      <c r="J427" s="4360"/>
      <c r="K427" s="4360"/>
      <c r="L427" s="4361"/>
      <c r="M427" s="4360"/>
      <c r="N427" s="4360"/>
      <c r="O427" s="4360"/>
      <c r="P427" s="4360"/>
      <c r="Q427" s="4360"/>
      <c r="R427" s="4360"/>
      <c r="S427" s="4360"/>
      <c r="T427" s="4360"/>
      <c r="U427" s="4360"/>
      <c r="V427" s="4360"/>
      <c r="W427" s="4360"/>
    </row>
    <row r="428" spans="2:23" s="4273" customFormat="1">
      <c r="B428" s="4360"/>
      <c r="C428" s="4360"/>
      <c r="D428" s="4360"/>
      <c r="E428" s="4360"/>
      <c r="F428" s="4360"/>
      <c r="G428" s="4360"/>
      <c r="H428" s="4360"/>
      <c r="I428" s="4360"/>
      <c r="J428" s="4360"/>
      <c r="K428" s="4360"/>
      <c r="L428" s="4361"/>
      <c r="M428" s="4360"/>
      <c r="N428" s="4360"/>
      <c r="O428" s="4360"/>
      <c r="P428" s="4360"/>
      <c r="Q428" s="4360"/>
      <c r="R428" s="4360"/>
      <c r="S428" s="4360"/>
      <c r="T428" s="4360"/>
      <c r="U428" s="4360"/>
      <c r="V428" s="4360"/>
      <c r="W428" s="4360"/>
    </row>
    <row r="429" spans="2:23" s="4273" customFormat="1">
      <c r="B429" s="4360"/>
      <c r="C429" s="4360"/>
      <c r="D429" s="4360"/>
      <c r="E429" s="4360"/>
      <c r="F429" s="4360"/>
      <c r="G429" s="4360"/>
      <c r="H429" s="4360"/>
      <c r="I429" s="4360"/>
      <c r="J429" s="4360"/>
      <c r="K429" s="4360"/>
      <c r="L429" s="4361"/>
      <c r="M429" s="4360"/>
      <c r="N429" s="4360"/>
      <c r="O429" s="4360"/>
      <c r="P429" s="4360"/>
      <c r="Q429" s="4360"/>
      <c r="R429" s="4360"/>
      <c r="S429" s="4360"/>
      <c r="T429" s="4360"/>
      <c r="U429" s="4360"/>
      <c r="V429" s="4360"/>
      <c r="W429" s="4360"/>
    </row>
    <row r="430" spans="2:23" s="4273" customFormat="1">
      <c r="B430" s="4360"/>
      <c r="C430" s="4360"/>
      <c r="D430" s="4360"/>
      <c r="E430" s="4360"/>
      <c r="F430" s="4360"/>
      <c r="G430" s="4360"/>
      <c r="H430" s="4360"/>
      <c r="I430" s="4360"/>
      <c r="J430" s="4360"/>
      <c r="K430" s="4360"/>
      <c r="L430" s="4361"/>
      <c r="M430" s="4360"/>
      <c r="N430" s="4360"/>
      <c r="O430" s="4360"/>
      <c r="P430" s="4360"/>
      <c r="Q430" s="4360"/>
      <c r="R430" s="4360"/>
      <c r="S430" s="4360"/>
      <c r="T430" s="4360"/>
      <c r="U430" s="4360"/>
      <c r="V430" s="4360"/>
      <c r="W430" s="4360"/>
    </row>
    <row r="431" spans="2:23" s="4273" customFormat="1">
      <c r="B431" s="4360"/>
      <c r="C431" s="4360"/>
      <c r="D431" s="4360"/>
      <c r="E431" s="4360"/>
      <c r="F431" s="4360"/>
      <c r="G431" s="4360"/>
      <c r="H431" s="4360"/>
      <c r="I431" s="4360"/>
      <c r="J431" s="4360"/>
      <c r="K431" s="4360"/>
      <c r="L431" s="4361"/>
      <c r="M431" s="4360"/>
      <c r="N431" s="4360"/>
      <c r="O431" s="4360"/>
      <c r="P431" s="4360"/>
      <c r="Q431" s="4360"/>
      <c r="R431" s="4360"/>
      <c r="S431" s="4360"/>
      <c r="T431" s="4360"/>
      <c r="U431" s="4360"/>
      <c r="V431" s="4360"/>
      <c r="W431" s="4360"/>
    </row>
    <row r="432" spans="2:23" s="4273" customFormat="1">
      <c r="B432" s="4360"/>
      <c r="C432" s="4360"/>
      <c r="D432" s="4360"/>
      <c r="E432" s="4360"/>
      <c r="F432" s="4360"/>
      <c r="G432" s="4360"/>
      <c r="H432" s="4360"/>
      <c r="I432" s="4360"/>
      <c r="J432" s="4360"/>
      <c r="K432" s="4360"/>
      <c r="L432" s="4361"/>
      <c r="M432" s="4360"/>
      <c r="N432" s="4360"/>
      <c r="O432" s="4360"/>
      <c r="P432" s="4360"/>
      <c r="Q432" s="4360"/>
      <c r="R432" s="4360"/>
      <c r="S432" s="4360"/>
      <c r="T432" s="4360"/>
      <c r="U432" s="4360"/>
      <c r="V432" s="4360"/>
      <c r="W432" s="4360"/>
    </row>
    <row r="433" spans="2:23" s="4273" customFormat="1">
      <c r="B433" s="4360"/>
      <c r="C433" s="4360"/>
      <c r="D433" s="4360"/>
      <c r="E433" s="4360"/>
      <c r="F433" s="4360"/>
      <c r="G433" s="4360"/>
      <c r="H433" s="4360"/>
      <c r="I433" s="4360"/>
      <c r="J433" s="4360"/>
      <c r="K433" s="4360"/>
      <c r="L433" s="4361"/>
      <c r="M433" s="4360"/>
      <c r="N433" s="4360"/>
      <c r="O433" s="4360"/>
      <c r="P433" s="4360"/>
      <c r="Q433" s="4360"/>
      <c r="R433" s="4360"/>
      <c r="S433" s="4360"/>
      <c r="T433" s="4360"/>
      <c r="U433" s="4360"/>
      <c r="V433" s="4360"/>
      <c r="W433" s="4360"/>
    </row>
    <row r="434" spans="2:23" s="4273" customFormat="1">
      <c r="B434" s="4360"/>
      <c r="C434" s="4360"/>
      <c r="D434" s="4360"/>
      <c r="E434" s="4360"/>
      <c r="F434" s="4360"/>
      <c r="G434" s="4360"/>
      <c r="H434" s="4360"/>
      <c r="I434" s="4360"/>
      <c r="J434" s="4360"/>
      <c r="K434" s="4360"/>
      <c r="L434" s="4361"/>
      <c r="M434" s="4360"/>
      <c r="N434" s="4360"/>
      <c r="O434" s="4360"/>
      <c r="P434" s="4360"/>
      <c r="Q434" s="4360"/>
      <c r="R434" s="4360"/>
      <c r="S434" s="4360"/>
      <c r="T434" s="4360"/>
      <c r="U434" s="4360"/>
      <c r="V434" s="4360"/>
      <c r="W434" s="4360"/>
    </row>
    <row r="435" spans="2:23" s="4273" customFormat="1">
      <c r="B435" s="4360"/>
      <c r="C435" s="4360"/>
      <c r="D435" s="4360"/>
      <c r="E435" s="4360"/>
      <c r="F435" s="4360"/>
      <c r="G435" s="4360"/>
      <c r="H435" s="4360"/>
      <c r="I435" s="4360"/>
      <c r="J435" s="4360"/>
      <c r="K435" s="4360"/>
      <c r="L435" s="4361"/>
      <c r="M435" s="4360"/>
      <c r="N435" s="4360"/>
      <c r="O435" s="4360"/>
      <c r="P435" s="4360"/>
      <c r="Q435" s="4360"/>
      <c r="R435" s="4360"/>
      <c r="S435" s="4360"/>
      <c r="T435" s="4360"/>
      <c r="U435" s="4360"/>
      <c r="V435" s="4360"/>
      <c r="W435" s="4360"/>
    </row>
    <row r="436" spans="2:23" s="4273" customFormat="1">
      <c r="B436" s="4360"/>
      <c r="C436" s="4360"/>
      <c r="D436" s="4360"/>
      <c r="E436" s="4360"/>
      <c r="F436" s="4360"/>
      <c r="G436" s="4360"/>
      <c r="H436" s="4360"/>
      <c r="I436" s="4360"/>
      <c r="J436" s="4360"/>
      <c r="K436" s="4360"/>
      <c r="L436" s="4361"/>
      <c r="M436" s="4360"/>
      <c r="N436" s="4360"/>
      <c r="O436" s="4360"/>
      <c r="P436" s="4360"/>
      <c r="Q436" s="4360"/>
      <c r="R436" s="4360"/>
      <c r="S436" s="4360"/>
      <c r="T436" s="4360"/>
      <c r="U436" s="4360"/>
      <c r="V436" s="4360"/>
      <c r="W436" s="4360"/>
    </row>
    <row r="437" spans="2:23" s="4273" customFormat="1">
      <c r="B437" s="4360"/>
      <c r="C437" s="4360"/>
      <c r="D437" s="4360"/>
      <c r="E437" s="4360"/>
      <c r="F437" s="4360"/>
      <c r="G437" s="4360"/>
      <c r="H437" s="4360"/>
      <c r="I437" s="4360"/>
      <c r="J437" s="4360"/>
      <c r="K437" s="4360"/>
      <c r="L437" s="4361"/>
      <c r="M437" s="4360"/>
      <c r="N437" s="4360"/>
      <c r="O437" s="4360"/>
      <c r="P437" s="4360"/>
      <c r="Q437" s="4360"/>
      <c r="R437" s="4360"/>
      <c r="S437" s="4360"/>
      <c r="T437" s="4360"/>
      <c r="U437" s="4360"/>
      <c r="V437" s="4360"/>
      <c r="W437" s="4360"/>
    </row>
    <row r="438" spans="2:23" s="4273" customFormat="1">
      <c r="B438" s="4360"/>
      <c r="C438" s="4360"/>
      <c r="D438" s="4360"/>
      <c r="E438" s="4360"/>
      <c r="F438" s="4360"/>
      <c r="G438" s="4360"/>
      <c r="H438" s="4360"/>
      <c r="I438" s="4360"/>
      <c r="J438" s="4360"/>
      <c r="K438" s="4360"/>
      <c r="L438" s="4361"/>
      <c r="M438" s="4360"/>
      <c r="N438" s="4360"/>
      <c r="O438" s="4360"/>
      <c r="P438" s="4360"/>
      <c r="Q438" s="4360"/>
      <c r="R438" s="4360"/>
      <c r="S438" s="4360"/>
      <c r="T438" s="4360"/>
      <c r="U438" s="4360"/>
      <c r="V438" s="4360"/>
      <c r="W438" s="4360"/>
    </row>
    <row r="439" spans="2:23" s="4273" customFormat="1">
      <c r="B439" s="4360"/>
      <c r="C439" s="4360"/>
      <c r="D439" s="4360"/>
      <c r="E439" s="4360"/>
      <c r="F439" s="4360"/>
      <c r="G439" s="4360"/>
      <c r="H439" s="4360"/>
      <c r="I439" s="4360"/>
      <c r="J439" s="4360"/>
      <c r="K439" s="4360"/>
      <c r="L439" s="4361"/>
      <c r="M439" s="4360"/>
      <c r="N439" s="4360"/>
      <c r="O439" s="4360"/>
      <c r="P439" s="4360"/>
      <c r="Q439" s="4360"/>
      <c r="R439" s="4360"/>
      <c r="S439" s="4360"/>
      <c r="T439" s="4360"/>
      <c r="U439" s="4360"/>
      <c r="V439" s="4360"/>
      <c r="W439" s="4360"/>
    </row>
    <row r="440" spans="2:23" s="4273" customFormat="1">
      <c r="B440" s="4360"/>
      <c r="C440" s="4360"/>
      <c r="D440" s="4360"/>
      <c r="E440" s="4360"/>
      <c r="F440" s="4360"/>
      <c r="G440" s="4360"/>
      <c r="H440" s="4360"/>
      <c r="I440" s="4360"/>
      <c r="J440" s="4360"/>
      <c r="K440" s="4360"/>
      <c r="L440" s="4361"/>
      <c r="M440" s="4360"/>
      <c r="N440" s="4360"/>
      <c r="O440" s="4360"/>
      <c r="P440" s="4360"/>
      <c r="Q440" s="4360"/>
      <c r="R440" s="4360"/>
      <c r="S440" s="4360"/>
      <c r="T440" s="4360"/>
      <c r="U440" s="4360"/>
      <c r="V440" s="4360"/>
      <c r="W440" s="4360"/>
    </row>
    <row r="441" spans="2:23" s="4273" customFormat="1">
      <c r="B441" s="4360"/>
      <c r="C441" s="4360"/>
      <c r="D441" s="4360"/>
      <c r="E441" s="4360"/>
      <c r="F441" s="4360"/>
      <c r="G441" s="4360"/>
      <c r="H441" s="4360"/>
      <c r="I441" s="4360"/>
      <c r="J441" s="4360"/>
      <c r="K441" s="4360"/>
      <c r="L441" s="4361"/>
      <c r="M441" s="4360"/>
      <c r="N441" s="4360"/>
      <c r="O441" s="4360"/>
      <c r="P441" s="4360"/>
      <c r="Q441" s="4360"/>
      <c r="R441" s="4360"/>
      <c r="S441" s="4360"/>
      <c r="T441" s="4360"/>
      <c r="U441" s="4360"/>
      <c r="V441" s="4360"/>
      <c r="W441" s="4360"/>
    </row>
    <row r="442" spans="2:23" s="4273" customFormat="1">
      <c r="B442" s="4360"/>
      <c r="C442" s="4360"/>
      <c r="D442" s="4360"/>
      <c r="E442" s="4360"/>
      <c r="F442" s="4360"/>
      <c r="G442" s="4360"/>
      <c r="H442" s="4360"/>
      <c r="I442" s="4360"/>
      <c r="J442" s="4360"/>
      <c r="K442" s="4360"/>
      <c r="L442" s="4361"/>
      <c r="M442" s="4360"/>
      <c r="N442" s="4360"/>
      <c r="O442" s="4360"/>
      <c r="P442" s="4360"/>
      <c r="Q442" s="4360"/>
      <c r="R442" s="4360"/>
      <c r="S442" s="4360"/>
      <c r="T442" s="4360"/>
      <c r="U442" s="4360"/>
      <c r="V442" s="4360"/>
      <c r="W442" s="4360"/>
    </row>
    <row r="443" spans="2:23" s="4273" customFormat="1">
      <c r="B443" s="4360"/>
      <c r="C443" s="4360"/>
      <c r="D443" s="4360"/>
      <c r="E443" s="4360"/>
      <c r="F443" s="4360"/>
      <c r="G443" s="4360"/>
      <c r="H443" s="4360"/>
      <c r="I443" s="4360"/>
      <c r="J443" s="4360"/>
      <c r="K443" s="4360"/>
      <c r="L443" s="4361"/>
      <c r="M443" s="4360"/>
      <c r="N443" s="4360"/>
      <c r="O443" s="4360"/>
      <c r="P443" s="4360"/>
      <c r="Q443" s="4360"/>
      <c r="R443" s="4360"/>
      <c r="S443" s="4360"/>
      <c r="T443" s="4360"/>
      <c r="U443" s="4360"/>
      <c r="V443" s="4360"/>
      <c r="W443" s="4360"/>
    </row>
    <row r="444" spans="2:23" s="4273" customFormat="1">
      <c r="B444" s="4360"/>
      <c r="C444" s="4360"/>
      <c r="D444" s="4360"/>
      <c r="E444" s="4360"/>
      <c r="F444" s="4360"/>
      <c r="G444" s="4360"/>
      <c r="H444" s="4360"/>
      <c r="I444" s="4360"/>
      <c r="J444" s="4360"/>
      <c r="K444" s="4360"/>
      <c r="L444" s="4361"/>
      <c r="M444" s="4360"/>
      <c r="N444" s="4360"/>
      <c r="O444" s="4360"/>
      <c r="P444" s="4360"/>
      <c r="Q444" s="4360"/>
      <c r="R444" s="4360"/>
      <c r="S444" s="4360"/>
      <c r="T444" s="4360"/>
      <c r="U444" s="4360"/>
      <c r="V444" s="4360"/>
      <c r="W444" s="4360"/>
    </row>
    <row r="445" spans="2:23" s="4273" customFormat="1">
      <c r="B445" s="4360"/>
      <c r="C445" s="4360"/>
      <c r="D445" s="4360"/>
      <c r="E445" s="4360"/>
      <c r="F445" s="4360"/>
      <c r="G445" s="4360"/>
      <c r="H445" s="4360"/>
      <c r="I445" s="4360"/>
      <c r="J445" s="4360"/>
      <c r="K445" s="4360"/>
      <c r="L445" s="4361"/>
      <c r="M445" s="4360"/>
      <c r="N445" s="4360"/>
      <c r="O445" s="4360"/>
      <c r="P445" s="4360"/>
      <c r="Q445" s="4360"/>
      <c r="R445" s="4360"/>
      <c r="S445" s="4360"/>
      <c r="T445" s="4360"/>
      <c r="U445" s="4360"/>
      <c r="V445" s="4360"/>
      <c r="W445" s="4360"/>
    </row>
    <row r="446" spans="2:23" s="4273" customFormat="1">
      <c r="B446" s="4360"/>
      <c r="C446" s="4360"/>
      <c r="D446" s="4360"/>
      <c r="E446" s="4360"/>
      <c r="F446" s="4360"/>
      <c r="G446" s="4360"/>
      <c r="H446" s="4360"/>
      <c r="I446" s="4360"/>
      <c r="J446" s="4360"/>
      <c r="K446" s="4360"/>
      <c r="L446" s="4361"/>
      <c r="M446" s="4360"/>
      <c r="N446" s="4360"/>
      <c r="O446" s="4360"/>
      <c r="P446" s="4360"/>
      <c r="Q446" s="4360"/>
      <c r="R446" s="4360"/>
      <c r="S446" s="4360"/>
      <c r="T446" s="4360"/>
      <c r="U446" s="4360"/>
      <c r="V446" s="4360"/>
      <c r="W446" s="4360"/>
    </row>
    <row r="447" spans="2:23" s="4273" customFormat="1">
      <c r="B447" s="4360"/>
      <c r="C447" s="4360"/>
      <c r="D447" s="4360"/>
      <c r="E447" s="4360"/>
      <c r="F447" s="4360"/>
      <c r="G447" s="4360"/>
      <c r="H447" s="4360"/>
      <c r="I447" s="4360"/>
      <c r="J447" s="4360"/>
      <c r="K447" s="4360"/>
      <c r="L447" s="4361"/>
      <c r="M447" s="4360"/>
      <c r="N447" s="4360"/>
      <c r="O447" s="4360"/>
      <c r="P447" s="4360"/>
      <c r="Q447" s="4360"/>
      <c r="R447" s="4360"/>
      <c r="S447" s="4360"/>
      <c r="T447" s="4360"/>
      <c r="U447" s="4360"/>
      <c r="V447" s="4360"/>
      <c r="W447" s="4360"/>
    </row>
    <row r="448" spans="2:23" s="4273" customFormat="1">
      <c r="B448" s="4360"/>
      <c r="C448" s="4360"/>
      <c r="D448" s="4360"/>
      <c r="E448" s="4360"/>
      <c r="F448" s="4360"/>
      <c r="G448" s="4360"/>
      <c r="H448" s="4360"/>
      <c r="I448" s="4360"/>
      <c r="J448" s="4360"/>
      <c r="K448" s="4360"/>
      <c r="L448" s="4361"/>
      <c r="M448" s="4360"/>
      <c r="N448" s="4360"/>
      <c r="O448" s="4360"/>
      <c r="P448" s="4360"/>
      <c r="Q448" s="4360"/>
      <c r="R448" s="4360"/>
      <c r="S448" s="4360"/>
      <c r="T448" s="4360"/>
      <c r="U448" s="4360"/>
      <c r="V448" s="4360"/>
      <c r="W448" s="4360"/>
    </row>
    <row r="449" spans="2:23" s="4273" customFormat="1">
      <c r="B449" s="4360"/>
      <c r="C449" s="4360"/>
      <c r="D449" s="4360"/>
      <c r="E449" s="4360"/>
      <c r="F449" s="4360"/>
      <c r="G449" s="4360"/>
      <c r="H449" s="4360"/>
      <c r="I449" s="4360"/>
      <c r="J449" s="4360"/>
      <c r="K449" s="4360"/>
      <c r="L449" s="4361"/>
      <c r="M449" s="4360"/>
      <c r="N449" s="4360"/>
      <c r="O449" s="4360"/>
      <c r="P449" s="4360"/>
      <c r="Q449" s="4360"/>
      <c r="R449" s="4360"/>
      <c r="S449" s="4360"/>
      <c r="T449" s="4360"/>
      <c r="U449" s="4360"/>
      <c r="V449" s="4360"/>
      <c r="W449" s="4360"/>
    </row>
    <row r="450" spans="2:23" s="4273" customFormat="1">
      <c r="B450" s="4360"/>
      <c r="C450" s="4360"/>
      <c r="D450" s="4360"/>
      <c r="E450" s="4360"/>
      <c r="F450" s="4360"/>
      <c r="G450" s="4360"/>
      <c r="H450" s="4360"/>
      <c r="I450" s="4360"/>
      <c r="J450" s="4360"/>
      <c r="K450" s="4360"/>
      <c r="L450" s="4361"/>
      <c r="M450" s="4360"/>
      <c r="N450" s="4360"/>
      <c r="O450" s="4360"/>
      <c r="P450" s="4360"/>
      <c r="Q450" s="4360"/>
      <c r="R450" s="4360"/>
      <c r="S450" s="4360"/>
      <c r="T450" s="4360"/>
      <c r="U450" s="4360"/>
      <c r="V450" s="4360"/>
      <c r="W450" s="4360"/>
    </row>
    <row r="451" spans="2:23" s="4273" customFormat="1">
      <c r="B451" s="4360"/>
      <c r="C451" s="4360"/>
      <c r="D451" s="4360"/>
      <c r="E451" s="4360"/>
      <c r="F451" s="4360"/>
      <c r="G451" s="4360"/>
      <c r="H451" s="4360"/>
      <c r="I451" s="4360"/>
      <c r="J451" s="4360"/>
      <c r="K451" s="4360"/>
      <c r="L451" s="4361"/>
      <c r="M451" s="4360"/>
      <c r="N451" s="4360"/>
      <c r="O451" s="4360"/>
      <c r="P451" s="4360"/>
      <c r="Q451" s="4360"/>
      <c r="R451" s="4360"/>
      <c r="S451" s="4360"/>
      <c r="T451" s="4360"/>
      <c r="U451" s="4360"/>
      <c r="V451" s="4360"/>
      <c r="W451" s="4360"/>
    </row>
    <row r="452" spans="2:23" s="4273" customFormat="1">
      <c r="B452" s="4360"/>
      <c r="C452" s="4360"/>
      <c r="D452" s="4360"/>
      <c r="E452" s="4360"/>
      <c r="F452" s="4360"/>
      <c r="G452" s="4360"/>
      <c r="H452" s="4360"/>
      <c r="I452" s="4360"/>
      <c r="J452" s="4360"/>
      <c r="K452" s="4360"/>
      <c r="L452" s="4361"/>
      <c r="M452" s="4360"/>
      <c r="N452" s="4360"/>
      <c r="O452" s="4360"/>
      <c r="P452" s="4360"/>
      <c r="Q452" s="4360"/>
      <c r="R452" s="4360"/>
      <c r="S452" s="4360"/>
      <c r="T452" s="4360"/>
      <c r="U452" s="4360"/>
      <c r="V452" s="4360"/>
      <c r="W452" s="4360"/>
    </row>
    <row r="453" spans="2:23" s="4273" customFormat="1">
      <c r="B453" s="4360"/>
      <c r="C453" s="4360"/>
      <c r="D453" s="4360"/>
      <c r="E453" s="4360"/>
      <c r="F453" s="4360"/>
      <c r="G453" s="4360"/>
      <c r="H453" s="4360"/>
      <c r="I453" s="4360"/>
      <c r="J453" s="4360"/>
      <c r="K453" s="4360"/>
      <c r="L453" s="4361"/>
      <c r="M453" s="4360"/>
      <c r="N453" s="4360"/>
      <c r="O453" s="4360"/>
      <c r="P453" s="4360"/>
      <c r="Q453" s="4360"/>
      <c r="R453" s="4360"/>
      <c r="S453" s="4360"/>
      <c r="T453" s="4360"/>
      <c r="U453" s="4360"/>
      <c r="V453" s="4360"/>
      <c r="W453" s="4360"/>
    </row>
    <row r="454" spans="2:23" s="4273" customFormat="1">
      <c r="B454" s="4360"/>
      <c r="C454" s="4360"/>
      <c r="D454" s="4360"/>
      <c r="E454" s="4360"/>
      <c r="F454" s="4360"/>
      <c r="G454" s="4360"/>
      <c r="H454" s="4360"/>
      <c r="I454" s="4360"/>
      <c r="J454" s="4360"/>
      <c r="K454" s="4360"/>
      <c r="L454" s="4361"/>
      <c r="M454" s="4360"/>
      <c r="N454" s="4360"/>
      <c r="O454" s="4360"/>
      <c r="P454" s="4360"/>
      <c r="Q454" s="4360"/>
      <c r="R454" s="4360"/>
      <c r="S454" s="4360"/>
      <c r="T454" s="4360"/>
      <c r="U454" s="4360"/>
      <c r="V454" s="4360"/>
      <c r="W454" s="4360"/>
    </row>
    <row r="455" spans="2:23" s="4273" customFormat="1">
      <c r="B455" s="4360"/>
      <c r="C455" s="4360"/>
      <c r="D455" s="4360"/>
      <c r="E455" s="4360"/>
      <c r="F455" s="4360"/>
      <c r="G455" s="4360"/>
      <c r="H455" s="4360"/>
      <c r="I455" s="4360"/>
      <c r="J455" s="4360"/>
      <c r="K455" s="4360"/>
      <c r="L455" s="4361"/>
      <c r="M455" s="4360"/>
      <c r="N455" s="4360"/>
      <c r="O455" s="4360"/>
      <c r="P455" s="4360"/>
      <c r="Q455" s="4360"/>
      <c r="R455" s="4360"/>
      <c r="S455" s="4360"/>
      <c r="T455" s="4360"/>
      <c r="U455" s="4360"/>
      <c r="V455" s="4360"/>
      <c r="W455" s="4360"/>
    </row>
    <row r="456" spans="2:23" s="4273" customFormat="1">
      <c r="B456" s="4360"/>
      <c r="C456" s="4360"/>
      <c r="D456" s="4360"/>
      <c r="E456" s="4360"/>
      <c r="F456" s="4360"/>
      <c r="G456" s="4360"/>
      <c r="H456" s="4360"/>
      <c r="I456" s="4360"/>
      <c r="J456" s="4360"/>
      <c r="K456" s="4360"/>
      <c r="L456" s="4361"/>
      <c r="M456" s="4360"/>
      <c r="N456" s="4360"/>
      <c r="O456" s="4360"/>
      <c r="P456" s="4360"/>
      <c r="Q456" s="4360"/>
      <c r="R456" s="4360"/>
      <c r="S456" s="4360"/>
      <c r="T456" s="4360"/>
      <c r="U456" s="4360"/>
      <c r="V456" s="4360"/>
      <c r="W456" s="4360"/>
    </row>
    <row r="457" spans="2:23" s="4273" customFormat="1">
      <c r="B457" s="4360"/>
      <c r="C457" s="4360"/>
      <c r="D457" s="4360"/>
      <c r="E457" s="4360"/>
      <c r="F457" s="4360"/>
      <c r="G457" s="4360"/>
      <c r="H457" s="4360"/>
      <c r="I457" s="4360"/>
      <c r="J457" s="4360"/>
      <c r="K457" s="4360"/>
      <c r="L457" s="4361"/>
      <c r="M457" s="4360"/>
      <c r="N457" s="4360"/>
      <c r="O457" s="4360"/>
      <c r="P457" s="4360"/>
      <c r="Q457" s="4360"/>
      <c r="R457" s="4360"/>
      <c r="S457" s="4360"/>
      <c r="T457" s="4360"/>
      <c r="U457" s="4360"/>
      <c r="V457" s="4360"/>
      <c r="W457" s="4360"/>
    </row>
    <row r="458" spans="2:23" s="4273" customFormat="1">
      <c r="B458" s="4360"/>
      <c r="C458" s="4360"/>
      <c r="D458" s="4360"/>
      <c r="E458" s="4360"/>
      <c r="F458" s="4360"/>
      <c r="G458" s="4360"/>
      <c r="H458" s="4360"/>
      <c r="I458" s="4360"/>
      <c r="J458" s="4360"/>
      <c r="K458" s="4360"/>
      <c r="L458" s="4361"/>
      <c r="M458" s="4360"/>
      <c r="N458" s="4360"/>
      <c r="O458" s="4360"/>
      <c r="P458" s="4360"/>
      <c r="Q458" s="4360"/>
      <c r="R458" s="4360"/>
      <c r="S458" s="4360"/>
      <c r="T458" s="4360"/>
      <c r="U458" s="4360"/>
      <c r="V458" s="4360"/>
      <c r="W458" s="4360"/>
    </row>
    <row r="459" spans="2:23" s="4273" customFormat="1">
      <c r="B459" s="4360"/>
      <c r="C459" s="4360"/>
      <c r="D459" s="4360"/>
      <c r="E459" s="4360"/>
      <c r="F459" s="4360"/>
      <c r="G459" s="4360"/>
      <c r="H459" s="4360"/>
      <c r="I459" s="4360"/>
      <c r="J459" s="4360"/>
      <c r="K459" s="4360"/>
      <c r="L459" s="4361"/>
      <c r="M459" s="4360"/>
      <c r="N459" s="4360"/>
      <c r="O459" s="4360"/>
      <c r="P459" s="4360"/>
      <c r="Q459" s="4360"/>
      <c r="R459" s="4360"/>
      <c r="S459" s="4360"/>
      <c r="T459" s="4360"/>
      <c r="U459" s="4360"/>
      <c r="V459" s="4360"/>
      <c r="W459" s="4360"/>
    </row>
    <row r="460" spans="2:23" s="4273" customFormat="1">
      <c r="B460" s="4360"/>
      <c r="C460" s="4360"/>
      <c r="D460" s="4360"/>
      <c r="E460" s="4360"/>
      <c r="F460" s="4360"/>
      <c r="G460" s="4360"/>
      <c r="H460" s="4360"/>
      <c r="I460" s="4360"/>
      <c r="J460" s="4360"/>
      <c r="K460" s="4360"/>
      <c r="L460" s="4361"/>
      <c r="M460" s="4360"/>
      <c r="N460" s="4360"/>
      <c r="O460" s="4360"/>
      <c r="P460" s="4360"/>
      <c r="Q460" s="4360"/>
      <c r="R460" s="4360"/>
      <c r="S460" s="4360"/>
      <c r="T460" s="4360"/>
      <c r="U460" s="4360"/>
      <c r="V460" s="4360"/>
      <c r="W460" s="4360"/>
    </row>
    <row r="461" spans="2:23" s="4273" customFormat="1">
      <c r="B461" s="4360"/>
      <c r="C461" s="4360"/>
      <c r="D461" s="4360"/>
      <c r="E461" s="4360"/>
      <c r="F461" s="4360"/>
      <c r="G461" s="4360"/>
      <c r="H461" s="4360"/>
      <c r="I461" s="4360"/>
      <c r="J461" s="4360"/>
      <c r="K461" s="4360"/>
      <c r="L461" s="4361"/>
      <c r="M461" s="4360"/>
      <c r="N461" s="4360"/>
      <c r="O461" s="4360"/>
      <c r="P461" s="4360"/>
      <c r="Q461" s="4360"/>
      <c r="R461" s="4360"/>
      <c r="S461" s="4360"/>
      <c r="T461" s="4360"/>
      <c r="U461" s="4360"/>
      <c r="V461" s="4360"/>
      <c r="W461" s="4360"/>
    </row>
    <row r="462" spans="2:23" s="4273" customFormat="1">
      <c r="B462" s="4360"/>
      <c r="C462" s="4360"/>
      <c r="D462" s="4360"/>
      <c r="E462" s="4360"/>
      <c r="F462" s="4360"/>
      <c r="G462" s="4360"/>
      <c r="H462" s="4360"/>
      <c r="I462" s="4360"/>
      <c r="J462" s="4360"/>
      <c r="K462" s="4360"/>
      <c r="L462" s="4361"/>
      <c r="M462" s="4360"/>
      <c r="N462" s="4360"/>
      <c r="O462" s="4360"/>
      <c r="P462" s="4360"/>
      <c r="Q462" s="4360"/>
      <c r="R462" s="4360"/>
      <c r="S462" s="4360"/>
      <c r="T462" s="4360"/>
      <c r="U462" s="4360"/>
      <c r="V462" s="4360"/>
      <c r="W462" s="4360"/>
    </row>
    <row r="463" spans="2:23" s="4273" customFormat="1">
      <c r="B463" s="4360"/>
      <c r="C463" s="4360"/>
      <c r="D463" s="4360"/>
      <c r="E463" s="4360"/>
      <c r="F463" s="4360"/>
      <c r="G463" s="4360"/>
      <c r="H463" s="4360"/>
      <c r="I463" s="4360"/>
      <c r="J463" s="4360"/>
      <c r="K463" s="4360"/>
      <c r="L463" s="4361"/>
      <c r="M463" s="4360"/>
      <c r="N463" s="4360"/>
      <c r="O463" s="4360"/>
      <c r="P463" s="4360"/>
      <c r="Q463" s="4360"/>
      <c r="R463" s="4360"/>
      <c r="S463" s="4360"/>
      <c r="T463" s="4360"/>
      <c r="U463" s="4360"/>
      <c r="V463" s="4360"/>
      <c r="W463" s="4360"/>
    </row>
    <row r="464" spans="2:23" s="4273" customFormat="1">
      <c r="B464" s="4360"/>
      <c r="C464" s="4360"/>
      <c r="D464" s="4360"/>
      <c r="E464" s="4360"/>
      <c r="F464" s="4360"/>
      <c r="G464" s="4360"/>
      <c r="H464" s="4360"/>
      <c r="I464" s="4360"/>
      <c r="J464" s="4360"/>
      <c r="K464" s="4360"/>
      <c r="L464" s="4361"/>
      <c r="M464" s="4360"/>
      <c r="N464" s="4360"/>
      <c r="O464" s="4360"/>
      <c r="P464" s="4360"/>
      <c r="Q464" s="4360"/>
      <c r="R464" s="4360"/>
      <c r="S464" s="4360"/>
      <c r="T464" s="4360"/>
      <c r="U464" s="4360"/>
      <c r="V464" s="4360"/>
      <c r="W464" s="4360"/>
    </row>
    <row r="465" spans="2:23" s="4273" customFormat="1">
      <c r="B465" s="4360"/>
      <c r="C465" s="4360"/>
      <c r="D465" s="4360"/>
      <c r="E465" s="4360"/>
      <c r="F465" s="4360"/>
      <c r="G465" s="4360"/>
      <c r="H465" s="4360"/>
      <c r="I465" s="4360"/>
      <c r="J465" s="4360"/>
      <c r="K465" s="4360"/>
      <c r="L465" s="4361"/>
      <c r="M465" s="4360"/>
      <c r="N465" s="4360"/>
      <c r="O465" s="4360"/>
      <c r="P465" s="4360"/>
      <c r="Q465" s="4360"/>
      <c r="R465" s="4360"/>
      <c r="S465" s="4360"/>
      <c r="T465" s="4360"/>
      <c r="U465" s="4360"/>
      <c r="V465" s="4360"/>
      <c r="W465" s="4360"/>
    </row>
    <row r="466" spans="2:23" s="4273" customFormat="1">
      <c r="B466" s="4360"/>
      <c r="C466" s="4360"/>
      <c r="D466" s="4360"/>
      <c r="E466" s="4360"/>
      <c r="F466" s="4360"/>
      <c r="G466" s="4360"/>
      <c r="H466" s="4360"/>
      <c r="I466" s="4360"/>
      <c r="J466" s="4360"/>
      <c r="K466" s="4360"/>
      <c r="L466" s="4361"/>
      <c r="M466" s="4360"/>
      <c r="N466" s="4360"/>
      <c r="O466" s="4360"/>
      <c r="P466" s="4360"/>
      <c r="Q466" s="4360"/>
      <c r="R466" s="4360"/>
      <c r="S466" s="4360"/>
      <c r="T466" s="4360"/>
      <c r="U466" s="4360"/>
      <c r="V466" s="4360"/>
      <c r="W466" s="4360"/>
    </row>
    <row r="467" spans="2:23" s="4273" customFormat="1">
      <c r="B467" s="4360"/>
      <c r="C467" s="4360"/>
      <c r="D467" s="4360"/>
      <c r="E467" s="4360"/>
      <c r="F467" s="4360"/>
      <c r="G467" s="4360"/>
      <c r="H467" s="4360"/>
      <c r="I467" s="4360"/>
      <c r="J467" s="4360"/>
      <c r="K467" s="4360"/>
      <c r="L467" s="4361"/>
      <c r="M467" s="4360"/>
      <c r="N467" s="4360"/>
      <c r="O467" s="4360"/>
      <c r="P467" s="4360"/>
      <c r="Q467" s="4360"/>
      <c r="R467" s="4360"/>
      <c r="S467" s="4360"/>
      <c r="T467" s="4360"/>
      <c r="U467" s="4360"/>
      <c r="V467" s="4360"/>
      <c r="W467" s="4360"/>
    </row>
    <row r="468" spans="2:23" s="4273" customFormat="1">
      <c r="B468" s="4360"/>
      <c r="C468" s="4360"/>
      <c r="D468" s="4360"/>
      <c r="E468" s="4360"/>
      <c r="F468" s="4360"/>
      <c r="G468" s="4360"/>
      <c r="H468" s="4360"/>
      <c r="I468" s="4360"/>
      <c r="J468" s="4360"/>
      <c r="K468" s="4360"/>
      <c r="L468" s="4361"/>
      <c r="M468" s="4360"/>
      <c r="N468" s="4360"/>
      <c r="O468" s="4360"/>
      <c r="P468" s="4360"/>
      <c r="Q468" s="4360"/>
      <c r="R468" s="4360"/>
      <c r="S468" s="4360"/>
      <c r="T468" s="4360"/>
      <c r="U468" s="4360"/>
      <c r="V468" s="4360"/>
      <c r="W468" s="4360"/>
    </row>
    <row r="469" spans="2:23" s="4273" customFormat="1">
      <c r="B469" s="4360"/>
      <c r="C469" s="4360"/>
      <c r="D469" s="4360"/>
      <c r="E469" s="4360"/>
      <c r="F469" s="4360"/>
      <c r="G469" s="4360"/>
      <c r="H469" s="4360"/>
      <c r="I469" s="4360"/>
      <c r="J469" s="4360"/>
      <c r="K469" s="4360"/>
      <c r="L469" s="4361"/>
      <c r="M469" s="4360"/>
      <c r="N469" s="4360"/>
      <c r="O469" s="4360"/>
      <c r="P469" s="4360"/>
      <c r="Q469" s="4360"/>
      <c r="R469" s="4360"/>
      <c r="S469" s="4360"/>
      <c r="T469" s="4360"/>
      <c r="U469" s="4360"/>
      <c r="V469" s="4360"/>
      <c r="W469" s="4360"/>
    </row>
    <row r="470" spans="2:23" s="4273" customFormat="1">
      <c r="B470" s="4360"/>
      <c r="C470" s="4360"/>
      <c r="D470" s="4360"/>
      <c r="E470" s="4360"/>
      <c r="F470" s="4360"/>
      <c r="G470" s="4360"/>
      <c r="H470" s="4360"/>
      <c r="I470" s="4360"/>
      <c r="J470" s="4360"/>
      <c r="K470" s="4360"/>
      <c r="L470" s="4361"/>
      <c r="M470" s="4360"/>
      <c r="N470" s="4360"/>
      <c r="O470" s="4360"/>
      <c r="P470" s="4360"/>
      <c r="Q470" s="4360"/>
      <c r="R470" s="4360"/>
      <c r="S470" s="4360"/>
      <c r="T470" s="4360"/>
      <c r="U470" s="4360"/>
      <c r="V470" s="4360"/>
      <c r="W470" s="4360"/>
    </row>
    <row r="471" spans="2:23" s="4273" customFormat="1">
      <c r="B471" s="4360"/>
      <c r="C471" s="4360"/>
      <c r="D471" s="4360"/>
      <c r="E471" s="4360"/>
      <c r="F471" s="4360"/>
      <c r="G471" s="4360"/>
      <c r="H471" s="4360"/>
      <c r="I471" s="4360"/>
      <c r="J471" s="4360"/>
      <c r="K471" s="4360"/>
      <c r="L471" s="4361"/>
      <c r="M471" s="4360"/>
      <c r="N471" s="4360"/>
      <c r="O471" s="4360"/>
      <c r="P471" s="4360"/>
      <c r="Q471" s="4360"/>
      <c r="R471" s="4360"/>
      <c r="S471" s="4360"/>
      <c r="T471" s="4360"/>
      <c r="U471" s="4360"/>
      <c r="V471" s="4360"/>
      <c r="W471" s="4360"/>
    </row>
    <row r="472" spans="2:23" s="4273" customFormat="1">
      <c r="B472" s="4360"/>
      <c r="C472" s="4360"/>
      <c r="D472" s="4360"/>
      <c r="E472" s="4360"/>
      <c r="F472" s="4360"/>
      <c r="G472" s="4360"/>
      <c r="H472" s="4360"/>
      <c r="I472" s="4360"/>
      <c r="J472" s="4360"/>
      <c r="K472" s="4360"/>
      <c r="L472" s="4361"/>
      <c r="M472" s="4360"/>
      <c r="N472" s="4360"/>
      <c r="O472" s="4360"/>
      <c r="P472" s="4360"/>
      <c r="Q472" s="4360"/>
      <c r="R472" s="4360"/>
      <c r="S472" s="4360"/>
      <c r="T472" s="4360"/>
      <c r="U472" s="4360"/>
      <c r="V472" s="4360"/>
      <c r="W472" s="4360"/>
    </row>
    <row r="473" spans="2:23" s="4273" customFormat="1">
      <c r="B473" s="4360"/>
      <c r="C473" s="4360"/>
      <c r="D473" s="4360"/>
      <c r="E473" s="4360"/>
      <c r="F473" s="4360"/>
      <c r="G473" s="4360"/>
      <c r="H473" s="4360"/>
      <c r="I473" s="4360"/>
      <c r="J473" s="4360"/>
      <c r="K473" s="4360"/>
      <c r="L473" s="4361"/>
      <c r="M473" s="4360"/>
      <c r="N473" s="4360"/>
      <c r="O473" s="4360"/>
      <c r="P473" s="4360"/>
      <c r="Q473" s="4360"/>
      <c r="R473" s="4360"/>
      <c r="S473" s="4360"/>
      <c r="T473" s="4360"/>
      <c r="U473" s="4360"/>
      <c r="V473" s="4360"/>
      <c r="W473" s="4360"/>
    </row>
    <row r="474" spans="2:23" s="4273" customFormat="1">
      <c r="B474" s="4360"/>
      <c r="C474" s="4360"/>
      <c r="D474" s="4360"/>
      <c r="E474" s="4360"/>
      <c r="F474" s="4360"/>
      <c r="G474" s="4360"/>
      <c r="H474" s="4360"/>
      <c r="I474" s="4360"/>
      <c r="J474" s="4360"/>
      <c r="K474" s="4360"/>
      <c r="L474" s="4361"/>
      <c r="M474" s="4360"/>
      <c r="N474" s="4360"/>
      <c r="O474" s="4360"/>
      <c r="P474" s="4360"/>
      <c r="Q474" s="4360"/>
      <c r="R474" s="4360"/>
      <c r="S474" s="4360"/>
      <c r="T474" s="4360"/>
      <c r="U474" s="4360"/>
      <c r="V474" s="4360"/>
      <c r="W474" s="4360"/>
    </row>
    <row r="475" spans="2:23" s="4273" customFormat="1">
      <c r="B475" s="4360"/>
      <c r="C475" s="4360"/>
      <c r="D475" s="4360"/>
      <c r="E475" s="4360"/>
      <c r="F475" s="4360"/>
      <c r="G475" s="4360"/>
      <c r="H475" s="4360"/>
      <c r="I475" s="4360"/>
      <c r="J475" s="4360"/>
      <c r="K475" s="4360"/>
      <c r="L475" s="4361"/>
      <c r="M475" s="4360"/>
      <c r="N475" s="4360"/>
      <c r="O475" s="4360"/>
      <c r="P475" s="4360"/>
      <c r="Q475" s="4360"/>
      <c r="R475" s="4360"/>
      <c r="S475" s="4360"/>
      <c r="T475" s="4360"/>
      <c r="U475" s="4360"/>
      <c r="V475" s="4360"/>
      <c r="W475" s="4360"/>
    </row>
    <row r="476" spans="2:23" s="4273" customFormat="1">
      <c r="B476" s="4360"/>
      <c r="C476" s="4360"/>
      <c r="D476" s="4360"/>
      <c r="E476" s="4360"/>
      <c r="F476" s="4360"/>
      <c r="G476" s="4360"/>
      <c r="H476" s="4360"/>
      <c r="I476" s="4360"/>
      <c r="J476" s="4360"/>
      <c r="K476" s="4360"/>
      <c r="L476" s="4361"/>
      <c r="M476" s="4360"/>
      <c r="N476" s="4360"/>
      <c r="O476" s="4360"/>
      <c r="P476" s="4360"/>
      <c r="Q476" s="4360"/>
      <c r="R476" s="4360"/>
      <c r="S476" s="4360"/>
      <c r="T476" s="4360"/>
      <c r="U476" s="4360"/>
      <c r="V476" s="4360"/>
      <c r="W476" s="4360"/>
    </row>
    <row r="477" spans="2:23" s="4273" customFormat="1">
      <c r="B477" s="4360"/>
      <c r="C477" s="4360"/>
      <c r="D477" s="4360"/>
      <c r="E477" s="4360"/>
      <c r="F477" s="4360"/>
      <c r="G477" s="4360"/>
      <c r="H477" s="4360"/>
      <c r="I477" s="4360"/>
      <c r="J477" s="4360"/>
      <c r="K477" s="4360"/>
      <c r="L477" s="4361"/>
      <c r="M477" s="4360"/>
      <c r="N477" s="4360"/>
      <c r="O477" s="4360"/>
      <c r="P477" s="4360"/>
      <c r="Q477" s="4360"/>
      <c r="R477" s="4360"/>
      <c r="S477" s="4360"/>
      <c r="T477" s="4360"/>
      <c r="U477" s="4360"/>
      <c r="V477" s="4360"/>
      <c r="W477" s="4360"/>
    </row>
    <row r="478" spans="2:23" s="4273" customFormat="1">
      <c r="B478" s="4360"/>
      <c r="C478" s="4360"/>
      <c r="D478" s="4360"/>
      <c r="E478" s="4360"/>
      <c r="F478" s="4360"/>
      <c r="G478" s="4360"/>
      <c r="H478" s="4360"/>
      <c r="I478" s="4360"/>
      <c r="J478" s="4360"/>
      <c r="K478" s="4360"/>
      <c r="L478" s="4361"/>
      <c r="M478" s="4360"/>
      <c r="N478" s="4360"/>
      <c r="O478" s="4360"/>
      <c r="P478" s="4360"/>
      <c r="Q478" s="4360"/>
      <c r="R478" s="4360"/>
      <c r="S478" s="4360"/>
      <c r="T478" s="4360"/>
      <c r="U478" s="4360"/>
      <c r="V478" s="4360"/>
      <c r="W478" s="4360"/>
    </row>
    <row r="479" spans="2:23" s="4273" customFormat="1">
      <c r="B479" s="4360"/>
      <c r="C479" s="4360"/>
      <c r="D479" s="4360"/>
      <c r="E479" s="4360"/>
      <c r="F479" s="4360"/>
      <c r="G479" s="4360"/>
      <c r="H479" s="4360"/>
      <c r="I479" s="4360"/>
      <c r="J479" s="4360"/>
      <c r="K479" s="4360"/>
      <c r="L479" s="4361"/>
      <c r="M479" s="4360"/>
      <c r="N479" s="4360"/>
      <c r="O479" s="4360"/>
      <c r="P479" s="4360"/>
      <c r="Q479" s="4360"/>
      <c r="R479" s="4360"/>
      <c r="S479" s="4360"/>
      <c r="T479" s="4360"/>
      <c r="U479" s="4360"/>
      <c r="V479" s="4360"/>
      <c r="W479" s="4360"/>
    </row>
    <row r="480" spans="2:23" s="4273" customFormat="1">
      <c r="B480" s="4360"/>
      <c r="C480" s="4360"/>
      <c r="D480" s="4360"/>
      <c r="E480" s="4360"/>
      <c r="F480" s="4360"/>
      <c r="G480" s="4360"/>
      <c r="H480" s="4360"/>
      <c r="I480" s="4360"/>
      <c r="J480" s="4360"/>
      <c r="K480" s="4360"/>
      <c r="L480" s="4361"/>
      <c r="M480" s="4360"/>
      <c r="N480" s="4360"/>
      <c r="O480" s="4360"/>
      <c r="P480" s="4360"/>
      <c r="Q480" s="4360"/>
      <c r="R480" s="4360"/>
      <c r="S480" s="4360"/>
      <c r="T480" s="4360"/>
      <c r="U480" s="4360"/>
      <c r="V480" s="4360"/>
      <c r="W480" s="4360"/>
    </row>
    <row r="481" spans="2:23" s="4273" customFormat="1">
      <c r="B481" s="4360"/>
      <c r="C481" s="4360"/>
      <c r="D481" s="4360"/>
      <c r="E481" s="4360"/>
      <c r="F481" s="4360"/>
      <c r="G481" s="4360"/>
      <c r="H481" s="4360"/>
      <c r="I481" s="4360"/>
      <c r="J481" s="4360"/>
      <c r="K481" s="4360"/>
      <c r="L481" s="4361"/>
      <c r="M481" s="4360"/>
      <c r="N481" s="4360"/>
      <c r="O481" s="4360"/>
      <c r="P481" s="4360"/>
      <c r="Q481" s="4360"/>
      <c r="R481" s="4360"/>
      <c r="S481" s="4360"/>
      <c r="T481" s="4360"/>
      <c r="U481" s="4360"/>
      <c r="V481" s="4360"/>
      <c r="W481" s="4360"/>
    </row>
    <row r="482" spans="2:23" s="4273" customFormat="1">
      <c r="B482" s="4360"/>
      <c r="C482" s="4360"/>
      <c r="D482" s="4360"/>
      <c r="E482" s="4360"/>
      <c r="F482" s="4360"/>
      <c r="G482" s="4360"/>
      <c r="H482" s="4360"/>
      <c r="I482" s="4360"/>
      <c r="J482" s="4360"/>
      <c r="K482" s="4360"/>
      <c r="L482" s="4361"/>
      <c r="M482" s="4360"/>
      <c r="N482" s="4360"/>
      <c r="O482" s="4360"/>
      <c r="P482" s="4360"/>
      <c r="Q482" s="4360"/>
      <c r="R482" s="4360"/>
      <c r="S482" s="4360"/>
      <c r="T482" s="4360"/>
      <c r="U482" s="4360"/>
      <c r="V482" s="4360"/>
      <c r="W482" s="4360"/>
    </row>
    <row r="483" spans="2:23" s="4273" customFormat="1">
      <c r="B483" s="4360"/>
      <c r="C483" s="4360"/>
      <c r="D483" s="4360"/>
      <c r="E483" s="4360"/>
      <c r="F483" s="4360"/>
      <c r="G483" s="4360"/>
      <c r="H483" s="4360"/>
      <c r="I483" s="4360"/>
      <c r="J483" s="4360"/>
      <c r="K483" s="4360"/>
      <c r="L483" s="4361"/>
      <c r="M483" s="4360"/>
      <c r="N483" s="4360"/>
      <c r="O483" s="4360"/>
      <c r="P483" s="4360"/>
      <c r="Q483" s="4360"/>
      <c r="R483" s="4360"/>
      <c r="S483" s="4360"/>
      <c r="T483" s="4360"/>
      <c r="U483" s="4360"/>
      <c r="V483" s="4360"/>
      <c r="W483" s="4360"/>
    </row>
    <row r="484" spans="2:23" s="4273" customFormat="1">
      <c r="B484" s="4360"/>
      <c r="C484" s="4360"/>
      <c r="D484" s="4360"/>
      <c r="E484" s="4360"/>
      <c r="F484" s="4360"/>
      <c r="G484" s="4360"/>
      <c r="H484" s="4360"/>
      <c r="I484" s="4360"/>
      <c r="J484" s="4360"/>
      <c r="K484" s="4360"/>
      <c r="L484" s="4361"/>
      <c r="M484" s="4360"/>
      <c r="N484" s="4360"/>
      <c r="O484" s="4360"/>
      <c r="P484" s="4360"/>
      <c r="Q484" s="4360"/>
      <c r="R484" s="4360"/>
      <c r="S484" s="4360"/>
      <c r="T484" s="4360"/>
      <c r="U484" s="4360"/>
      <c r="V484" s="4360"/>
      <c r="W484" s="4360"/>
    </row>
    <row r="485" spans="2:23" s="4273" customFormat="1">
      <c r="B485" s="4360"/>
      <c r="C485" s="4360"/>
      <c r="D485" s="4360"/>
      <c r="E485" s="4360"/>
      <c r="F485" s="4360"/>
      <c r="G485" s="4360"/>
      <c r="H485" s="4360"/>
      <c r="I485" s="4360"/>
      <c r="J485" s="4360"/>
      <c r="K485" s="4360"/>
      <c r="L485" s="4361"/>
      <c r="M485" s="4360"/>
      <c r="N485" s="4360"/>
      <c r="O485" s="4360"/>
      <c r="P485" s="4360"/>
      <c r="Q485" s="4360"/>
      <c r="R485" s="4360"/>
      <c r="S485" s="4360"/>
      <c r="T485" s="4360"/>
      <c r="U485" s="4360"/>
      <c r="V485" s="4360"/>
      <c r="W485" s="4360"/>
    </row>
    <row r="486" spans="2:23" s="4273" customFormat="1">
      <c r="B486" s="4360"/>
      <c r="C486" s="4360"/>
      <c r="D486" s="4360"/>
      <c r="E486" s="4360"/>
      <c r="F486" s="4360"/>
      <c r="G486" s="4360"/>
      <c r="H486" s="4360"/>
      <c r="I486" s="4360"/>
      <c r="J486" s="4360"/>
      <c r="K486" s="4360"/>
      <c r="L486" s="4361"/>
      <c r="M486" s="4360"/>
      <c r="N486" s="4360"/>
      <c r="O486" s="4360"/>
      <c r="P486" s="4360"/>
      <c r="Q486" s="4360"/>
      <c r="R486" s="4360"/>
      <c r="S486" s="4360"/>
      <c r="T486" s="4360"/>
      <c r="U486" s="4360"/>
      <c r="V486" s="4360"/>
      <c r="W486" s="4360"/>
    </row>
    <row r="487" spans="2:23" s="4273" customFormat="1">
      <c r="B487" s="4360"/>
      <c r="C487" s="4360"/>
      <c r="D487" s="4360"/>
      <c r="E487" s="4360"/>
      <c r="F487" s="4360"/>
      <c r="G487" s="4360"/>
      <c r="H487" s="4360"/>
      <c r="I487" s="4360"/>
      <c r="J487" s="4360"/>
      <c r="K487" s="4360"/>
      <c r="L487" s="4361"/>
      <c r="M487" s="4360"/>
      <c r="N487" s="4360"/>
      <c r="O487" s="4360"/>
      <c r="P487" s="4360"/>
      <c r="Q487" s="4360"/>
      <c r="R487" s="4360"/>
      <c r="S487" s="4360"/>
      <c r="T487" s="4360"/>
      <c r="U487" s="4360"/>
      <c r="V487" s="4360"/>
      <c r="W487" s="4360"/>
    </row>
    <row r="488" spans="2:23" s="4273" customFormat="1">
      <c r="B488" s="4360"/>
      <c r="C488" s="4360"/>
      <c r="D488" s="4360"/>
      <c r="E488" s="4360"/>
      <c r="F488" s="4360"/>
      <c r="G488" s="4360"/>
      <c r="H488" s="4360"/>
      <c r="I488" s="4360"/>
      <c r="J488" s="4360"/>
      <c r="K488" s="4360"/>
      <c r="L488" s="4361"/>
      <c r="M488" s="4360"/>
      <c r="N488" s="4360"/>
      <c r="O488" s="4360"/>
      <c r="P488" s="4360"/>
      <c r="Q488" s="4360"/>
      <c r="R488" s="4360"/>
      <c r="S488" s="4360"/>
      <c r="T488" s="4360"/>
      <c r="U488" s="4360"/>
      <c r="V488" s="4360"/>
      <c r="W488" s="4360"/>
    </row>
    <row r="489" spans="2:23" s="4273" customFormat="1">
      <c r="B489" s="4360"/>
      <c r="C489" s="4360"/>
      <c r="D489" s="4360"/>
      <c r="E489" s="4360"/>
      <c r="F489" s="4360"/>
      <c r="G489" s="4360"/>
      <c r="H489" s="4360"/>
      <c r="I489" s="4360"/>
      <c r="J489" s="4360"/>
      <c r="K489" s="4360"/>
      <c r="L489" s="4361"/>
      <c r="M489" s="4360"/>
      <c r="N489" s="4360"/>
      <c r="O489" s="4360"/>
      <c r="P489" s="4360"/>
      <c r="Q489" s="4360"/>
      <c r="R489" s="4360"/>
      <c r="S489" s="4360"/>
      <c r="T489" s="4360"/>
      <c r="U489" s="4360"/>
      <c r="V489" s="4360"/>
      <c r="W489" s="4360"/>
    </row>
    <row r="490" spans="2:23" s="4273" customFormat="1">
      <c r="B490" s="4360"/>
      <c r="C490" s="4360"/>
      <c r="D490" s="4360"/>
      <c r="E490" s="4360"/>
      <c r="F490" s="4360"/>
      <c r="G490" s="4360"/>
      <c r="H490" s="4360"/>
      <c r="I490" s="4360"/>
      <c r="J490" s="4360"/>
      <c r="K490" s="4360"/>
      <c r="L490" s="4361"/>
      <c r="M490" s="4360"/>
      <c r="N490" s="4360"/>
      <c r="O490" s="4360"/>
      <c r="P490" s="4360"/>
      <c r="Q490" s="4360"/>
      <c r="R490" s="4360"/>
      <c r="S490" s="4360"/>
      <c r="T490" s="4360"/>
      <c r="U490" s="4360"/>
      <c r="V490" s="4360"/>
      <c r="W490" s="4360"/>
    </row>
    <row r="491" spans="2:23" s="4273" customFormat="1">
      <c r="B491" s="4360"/>
      <c r="C491" s="4360"/>
      <c r="D491" s="4360"/>
      <c r="E491" s="4360"/>
      <c r="F491" s="4360"/>
      <c r="G491" s="4360"/>
      <c r="H491" s="4360"/>
      <c r="I491" s="4360"/>
      <c r="J491" s="4360"/>
      <c r="K491" s="4360"/>
      <c r="L491" s="4361"/>
      <c r="M491" s="4360"/>
      <c r="N491" s="4360"/>
      <c r="O491" s="4360"/>
      <c r="P491" s="4360"/>
      <c r="Q491" s="4360"/>
      <c r="R491" s="4360"/>
      <c r="S491" s="4360"/>
      <c r="T491" s="4360"/>
      <c r="U491" s="4360"/>
      <c r="V491" s="4360"/>
      <c r="W491" s="4360"/>
    </row>
    <row r="492" spans="2:23" s="4273" customFormat="1">
      <c r="B492" s="4360"/>
      <c r="C492" s="4360"/>
      <c r="D492" s="4360"/>
      <c r="E492" s="4360"/>
      <c r="F492" s="4360"/>
      <c r="G492" s="4360"/>
      <c r="H492" s="4360"/>
      <c r="I492" s="4360"/>
      <c r="J492" s="4360"/>
      <c r="K492" s="4360"/>
      <c r="L492" s="4361"/>
      <c r="M492" s="4360"/>
      <c r="N492" s="4360"/>
      <c r="O492" s="4360"/>
      <c r="P492" s="4360"/>
      <c r="Q492" s="4360"/>
      <c r="R492" s="4360"/>
      <c r="S492" s="4360"/>
      <c r="T492" s="4360"/>
      <c r="U492" s="4360"/>
      <c r="V492" s="4360"/>
      <c r="W492" s="4360"/>
    </row>
    <row r="493" spans="2:23" s="4273" customFormat="1">
      <c r="B493" s="4360"/>
      <c r="C493" s="4360"/>
      <c r="D493" s="4360"/>
      <c r="E493" s="4360"/>
      <c r="F493" s="4360"/>
      <c r="G493" s="4360"/>
      <c r="H493" s="4360"/>
      <c r="I493" s="4360"/>
      <c r="J493" s="4360"/>
      <c r="K493" s="4360"/>
      <c r="L493" s="4361"/>
      <c r="M493" s="4360"/>
      <c r="N493" s="4360"/>
      <c r="O493" s="4360"/>
      <c r="P493" s="4360"/>
      <c r="Q493" s="4360"/>
      <c r="R493" s="4360"/>
      <c r="S493" s="4360"/>
      <c r="T493" s="4360"/>
      <c r="U493" s="4360"/>
      <c r="V493" s="4360"/>
      <c r="W493" s="4360"/>
    </row>
    <row r="494" spans="2:23" s="4273" customFormat="1">
      <c r="B494" s="4360"/>
      <c r="C494" s="4360"/>
      <c r="D494" s="4360"/>
      <c r="E494" s="4360"/>
      <c r="F494" s="4360"/>
      <c r="G494" s="4360"/>
      <c r="H494" s="4360"/>
      <c r="I494" s="4360"/>
      <c r="J494" s="4360"/>
      <c r="K494" s="4360"/>
      <c r="L494" s="4361"/>
      <c r="M494" s="4360"/>
      <c r="N494" s="4360"/>
      <c r="O494" s="4360"/>
      <c r="P494" s="4360"/>
      <c r="Q494" s="4360"/>
      <c r="R494" s="4360"/>
      <c r="S494" s="4360"/>
      <c r="T494" s="4360"/>
      <c r="U494" s="4360"/>
      <c r="V494" s="4360"/>
      <c r="W494" s="4360"/>
    </row>
    <row r="495" spans="2:23" s="4273" customFormat="1">
      <c r="B495" s="4360"/>
      <c r="C495" s="4360"/>
      <c r="D495" s="4360"/>
      <c r="E495" s="4360"/>
      <c r="F495" s="4360"/>
      <c r="G495" s="4360"/>
      <c r="H495" s="4360"/>
      <c r="I495" s="4360"/>
      <c r="J495" s="4360"/>
      <c r="K495" s="4360"/>
      <c r="L495" s="4361"/>
      <c r="M495" s="4360"/>
      <c r="N495" s="4360"/>
      <c r="O495" s="4360"/>
      <c r="P495" s="4360"/>
      <c r="Q495" s="4360"/>
      <c r="R495" s="4360"/>
      <c r="S495" s="4360"/>
      <c r="T495" s="4360"/>
      <c r="U495" s="4360"/>
      <c r="V495" s="4360"/>
      <c r="W495" s="4360"/>
    </row>
    <row r="496" spans="2:23" s="4273" customFormat="1">
      <c r="B496" s="4360"/>
      <c r="C496" s="4360"/>
      <c r="D496" s="4360"/>
      <c r="E496" s="4360"/>
      <c r="F496" s="4360"/>
      <c r="G496" s="4360"/>
      <c r="H496" s="4360"/>
      <c r="I496" s="4360"/>
      <c r="J496" s="4360"/>
      <c r="K496" s="4360"/>
      <c r="L496" s="4361"/>
      <c r="M496" s="4360"/>
      <c r="N496" s="4360"/>
      <c r="O496" s="4360"/>
      <c r="P496" s="4360"/>
      <c r="Q496" s="4360"/>
      <c r="R496" s="4360"/>
      <c r="S496" s="4360"/>
      <c r="T496" s="4360"/>
      <c r="U496" s="4360"/>
      <c r="V496" s="4360"/>
      <c r="W496" s="4360"/>
    </row>
    <row r="497" spans="2:23" s="4273" customFormat="1">
      <c r="B497" s="4360"/>
      <c r="C497" s="4360"/>
      <c r="D497" s="4360"/>
      <c r="E497" s="4360"/>
      <c r="F497" s="4360"/>
      <c r="G497" s="4360"/>
      <c r="H497" s="4360"/>
      <c r="I497" s="4360"/>
      <c r="J497" s="4360"/>
      <c r="K497" s="4360"/>
      <c r="L497" s="4361"/>
      <c r="M497" s="4360"/>
      <c r="N497" s="4360"/>
      <c r="O497" s="4360"/>
      <c r="P497" s="4360"/>
      <c r="Q497" s="4360"/>
      <c r="R497" s="4360"/>
      <c r="S497" s="4360"/>
      <c r="T497" s="4360"/>
      <c r="U497" s="4360"/>
      <c r="V497" s="4360"/>
      <c r="W497" s="4360"/>
    </row>
    <row r="498" spans="2:23" s="4273" customFormat="1">
      <c r="B498" s="4360"/>
      <c r="C498" s="4360"/>
      <c r="D498" s="4360"/>
      <c r="E498" s="4360"/>
      <c r="F498" s="4360"/>
      <c r="G498" s="4360"/>
      <c r="H498" s="4360"/>
      <c r="I498" s="4360"/>
      <c r="J498" s="4360"/>
      <c r="K498" s="4360"/>
      <c r="L498" s="4361"/>
      <c r="M498" s="4360"/>
      <c r="N498" s="4360"/>
      <c r="O498" s="4360"/>
      <c r="P498" s="4360"/>
      <c r="Q498" s="4360"/>
      <c r="R498" s="4360"/>
      <c r="S498" s="4360"/>
      <c r="T498" s="4360"/>
      <c r="U498" s="4360"/>
      <c r="V498" s="4360"/>
      <c r="W498" s="4360"/>
    </row>
    <row r="499" spans="2:23" s="4273" customFormat="1">
      <c r="B499" s="4360"/>
      <c r="C499" s="4360"/>
      <c r="D499" s="4360"/>
      <c r="E499" s="4360"/>
      <c r="F499" s="4360"/>
      <c r="G499" s="4360"/>
      <c r="H499" s="4360"/>
      <c r="I499" s="4360"/>
      <c r="J499" s="4360"/>
      <c r="K499" s="4360"/>
      <c r="L499" s="4361"/>
      <c r="M499" s="4360"/>
      <c r="N499" s="4360"/>
      <c r="O499" s="4360"/>
      <c r="P499" s="4360"/>
      <c r="Q499" s="4360"/>
      <c r="R499" s="4360"/>
      <c r="S499" s="4360"/>
      <c r="T499" s="4360"/>
      <c r="U499" s="4360"/>
      <c r="V499" s="4360"/>
      <c r="W499" s="4360"/>
    </row>
    <row r="500" spans="2:23" s="4273" customFormat="1">
      <c r="B500" s="4360"/>
      <c r="C500" s="4360"/>
      <c r="D500" s="4360"/>
      <c r="E500" s="4360"/>
      <c r="F500" s="4360"/>
      <c r="G500" s="4360"/>
      <c r="H500" s="4360"/>
      <c r="I500" s="4360"/>
      <c r="J500" s="4360"/>
      <c r="K500" s="4360"/>
      <c r="L500" s="4361"/>
      <c r="M500" s="4360"/>
      <c r="N500" s="4360"/>
      <c r="O500" s="4360"/>
      <c r="P500" s="4360"/>
      <c r="Q500" s="4360"/>
      <c r="R500" s="4360"/>
      <c r="S500" s="4360"/>
      <c r="T500" s="4360"/>
      <c r="U500" s="4360"/>
      <c r="V500" s="4360"/>
      <c r="W500" s="4360"/>
    </row>
    <row r="501" spans="2:23" s="4273" customFormat="1">
      <c r="B501" s="4360"/>
      <c r="C501" s="4360"/>
      <c r="D501" s="4360"/>
      <c r="E501" s="4360"/>
      <c r="F501" s="4360"/>
      <c r="G501" s="4360"/>
      <c r="H501" s="4360"/>
      <c r="I501" s="4360"/>
      <c r="J501" s="4360"/>
      <c r="K501" s="4360"/>
      <c r="L501" s="4361"/>
      <c r="M501" s="4360"/>
      <c r="N501" s="4360"/>
      <c r="O501" s="4360"/>
      <c r="P501" s="4360"/>
      <c r="Q501" s="4360"/>
      <c r="R501" s="4360"/>
      <c r="S501" s="4360"/>
      <c r="T501" s="4360"/>
      <c r="U501" s="4360"/>
      <c r="V501" s="4360"/>
      <c r="W501" s="4360"/>
    </row>
    <row r="502" spans="2:23" s="4273" customFormat="1">
      <c r="B502" s="4360"/>
      <c r="C502" s="4360"/>
      <c r="D502" s="4360"/>
      <c r="E502" s="4360"/>
      <c r="F502" s="4360"/>
      <c r="G502" s="4360"/>
      <c r="H502" s="4360"/>
      <c r="I502" s="4360"/>
      <c r="J502" s="4360"/>
      <c r="K502" s="4360"/>
      <c r="L502" s="4361"/>
      <c r="M502" s="4360"/>
      <c r="N502" s="4360"/>
      <c r="O502" s="4360"/>
      <c r="P502" s="4360"/>
      <c r="Q502" s="4360"/>
      <c r="R502" s="4360"/>
      <c r="S502" s="4360"/>
      <c r="T502" s="4360"/>
      <c r="U502" s="4360"/>
      <c r="V502" s="4360"/>
      <c r="W502" s="4360"/>
    </row>
    <row r="503" spans="2:23" s="4273" customFormat="1">
      <c r="B503" s="4360"/>
      <c r="C503" s="4360"/>
      <c r="D503" s="4360"/>
      <c r="E503" s="4360"/>
      <c r="F503" s="4360"/>
      <c r="G503" s="4360"/>
      <c r="H503" s="4360"/>
      <c r="I503" s="4360"/>
      <c r="J503" s="4360"/>
      <c r="K503" s="4360"/>
      <c r="L503" s="4361"/>
      <c r="M503" s="4360"/>
      <c r="N503" s="4360"/>
      <c r="O503" s="4360"/>
      <c r="P503" s="4360"/>
      <c r="Q503" s="4360"/>
      <c r="R503" s="4360"/>
      <c r="S503" s="4360"/>
      <c r="T503" s="4360"/>
      <c r="U503" s="4360"/>
      <c r="V503" s="4360"/>
      <c r="W503" s="4360"/>
    </row>
    <row r="504" spans="2:23" s="4273" customFormat="1">
      <c r="B504" s="4360"/>
      <c r="C504" s="4360"/>
      <c r="D504" s="4360"/>
      <c r="E504" s="4360"/>
      <c r="F504" s="4360"/>
      <c r="G504" s="4360"/>
      <c r="H504" s="4360"/>
      <c r="I504" s="4360"/>
      <c r="J504" s="4360"/>
      <c r="K504" s="4360"/>
      <c r="L504" s="4361"/>
      <c r="M504" s="4360"/>
      <c r="N504" s="4360"/>
      <c r="O504" s="4360"/>
      <c r="P504" s="4360"/>
      <c r="Q504" s="4360"/>
      <c r="R504" s="4360"/>
      <c r="S504" s="4360"/>
      <c r="T504" s="4360"/>
      <c r="U504" s="4360"/>
      <c r="V504" s="4360"/>
      <c r="W504" s="4360"/>
    </row>
    <row r="505" spans="2:23" s="4273" customFormat="1">
      <c r="B505" s="4360"/>
      <c r="C505" s="4360"/>
      <c r="D505" s="4360"/>
      <c r="E505" s="4360"/>
      <c r="F505" s="4360"/>
      <c r="G505" s="4360"/>
      <c r="H505" s="4360"/>
      <c r="I505" s="4360"/>
      <c r="J505" s="4360"/>
      <c r="K505" s="4360"/>
      <c r="L505" s="4361"/>
      <c r="M505" s="4360"/>
      <c r="N505" s="4360"/>
      <c r="O505" s="4360"/>
      <c r="P505" s="4360"/>
      <c r="Q505" s="4360"/>
      <c r="R505" s="4360"/>
      <c r="S505" s="4360"/>
      <c r="T505" s="4360"/>
      <c r="U505" s="4360"/>
      <c r="V505" s="4360"/>
      <c r="W505" s="4360"/>
    </row>
    <row r="506" spans="2:23" s="4273" customFormat="1">
      <c r="B506" s="4360"/>
      <c r="C506" s="4360"/>
      <c r="D506" s="4360"/>
      <c r="E506" s="4360"/>
      <c r="F506" s="4360"/>
      <c r="G506" s="4360"/>
      <c r="H506" s="4360"/>
      <c r="I506" s="4360"/>
      <c r="J506" s="4360"/>
      <c r="K506" s="4360"/>
      <c r="L506" s="4361"/>
      <c r="M506" s="4360"/>
      <c r="N506" s="4360"/>
      <c r="O506" s="4360"/>
      <c r="P506" s="4360"/>
      <c r="Q506" s="4360"/>
      <c r="R506" s="4360"/>
      <c r="S506" s="4360"/>
      <c r="T506" s="4360"/>
      <c r="U506" s="4360"/>
      <c r="V506" s="4360"/>
      <c r="W506" s="4360"/>
    </row>
    <row r="507" spans="2:23" s="4273" customFormat="1">
      <c r="B507" s="4360"/>
      <c r="C507" s="4360"/>
      <c r="D507" s="4360"/>
      <c r="E507" s="4360"/>
      <c r="F507" s="4360"/>
      <c r="G507" s="4360"/>
      <c r="H507" s="4360"/>
      <c r="I507" s="4360"/>
      <c r="J507" s="4360"/>
      <c r="K507" s="4360"/>
      <c r="L507" s="4361"/>
      <c r="M507" s="4360"/>
      <c r="N507" s="4360"/>
      <c r="O507" s="4360"/>
      <c r="P507" s="4360"/>
      <c r="Q507" s="4360"/>
      <c r="R507" s="4360"/>
      <c r="S507" s="4360"/>
      <c r="T507" s="4360"/>
      <c r="U507" s="4360"/>
      <c r="V507" s="4360"/>
      <c r="W507" s="4360"/>
    </row>
    <row r="508" spans="2:23" s="4273" customFormat="1">
      <c r="B508" s="4360"/>
      <c r="C508" s="4360"/>
      <c r="D508" s="4360"/>
      <c r="E508" s="4360"/>
      <c r="F508" s="4360"/>
      <c r="G508" s="4360"/>
      <c r="H508" s="4360"/>
      <c r="I508" s="4360"/>
      <c r="J508" s="4360"/>
      <c r="K508" s="4360"/>
      <c r="L508" s="4361"/>
      <c r="M508" s="4360"/>
      <c r="N508" s="4360"/>
      <c r="O508" s="4360"/>
      <c r="P508" s="4360"/>
      <c r="Q508" s="4360"/>
      <c r="R508" s="4360"/>
      <c r="S508" s="4360"/>
      <c r="T508" s="4360"/>
      <c r="U508" s="4360"/>
      <c r="V508" s="4360"/>
      <c r="W508" s="4360"/>
    </row>
    <row r="509" spans="2:23" s="4273" customFormat="1">
      <c r="B509" s="4360"/>
      <c r="C509" s="4360"/>
      <c r="D509" s="4360"/>
      <c r="E509" s="4360"/>
      <c r="F509" s="4360"/>
      <c r="G509" s="4360"/>
      <c r="H509" s="4360"/>
      <c r="I509" s="4360"/>
      <c r="J509" s="4360"/>
      <c r="K509" s="4360"/>
      <c r="L509" s="4361"/>
      <c r="M509" s="4360"/>
      <c r="N509" s="4360"/>
      <c r="O509" s="4360"/>
      <c r="P509" s="4360"/>
      <c r="Q509" s="4360"/>
      <c r="R509" s="4360"/>
      <c r="S509" s="4360"/>
      <c r="T509" s="4360"/>
      <c r="U509" s="4360"/>
      <c r="V509" s="4360"/>
      <c r="W509" s="4360"/>
    </row>
    <row r="510" spans="2:23" s="4273" customFormat="1">
      <c r="B510" s="4360"/>
      <c r="C510" s="4360"/>
      <c r="D510" s="4360"/>
      <c r="E510" s="4360"/>
      <c r="F510" s="4360"/>
      <c r="G510" s="4360"/>
      <c r="H510" s="4360"/>
      <c r="I510" s="4360"/>
      <c r="J510" s="4360"/>
      <c r="K510" s="4360"/>
      <c r="L510" s="4361"/>
      <c r="M510" s="4360"/>
      <c r="N510" s="4360"/>
      <c r="O510" s="4360"/>
      <c r="P510" s="4360"/>
      <c r="Q510" s="4360"/>
      <c r="R510" s="4360"/>
      <c r="S510" s="4360"/>
      <c r="T510" s="4360"/>
      <c r="U510" s="4360"/>
      <c r="V510" s="4360"/>
      <c r="W510" s="4360"/>
    </row>
    <row r="511" spans="2:23" s="4273" customFormat="1">
      <c r="B511" s="4360"/>
      <c r="C511" s="4360"/>
      <c r="D511" s="4360"/>
      <c r="E511" s="4360"/>
      <c r="F511" s="4360"/>
      <c r="G511" s="4360"/>
      <c r="H511" s="4360"/>
      <c r="I511" s="4360"/>
      <c r="J511" s="4360"/>
      <c r="K511" s="4360"/>
      <c r="L511" s="4361"/>
      <c r="M511" s="4360"/>
      <c r="N511" s="4360"/>
      <c r="O511" s="4360"/>
      <c r="P511" s="4360"/>
      <c r="Q511" s="4360"/>
      <c r="R511" s="4360"/>
      <c r="S511" s="4360"/>
      <c r="T511" s="4360"/>
      <c r="U511" s="4360"/>
      <c r="V511" s="4360"/>
      <c r="W511" s="4360"/>
    </row>
    <row r="512" spans="2:23" s="4273" customFormat="1">
      <c r="B512" s="4360"/>
      <c r="C512" s="4360"/>
      <c r="D512" s="4360"/>
      <c r="E512" s="4360"/>
      <c r="F512" s="4360"/>
      <c r="G512" s="4360"/>
      <c r="H512" s="4360"/>
      <c r="I512" s="4360"/>
      <c r="J512" s="4360"/>
      <c r="K512" s="4360"/>
      <c r="L512" s="4361"/>
      <c r="M512" s="4360"/>
      <c r="N512" s="4360"/>
      <c r="O512" s="4360"/>
      <c r="P512" s="4360"/>
      <c r="Q512" s="4360"/>
      <c r="R512" s="4360"/>
      <c r="S512" s="4360"/>
      <c r="T512" s="4360"/>
      <c r="U512" s="4360"/>
      <c r="V512" s="4360"/>
      <c r="W512" s="4360"/>
    </row>
    <row r="513" spans="2:23" s="4273" customFormat="1">
      <c r="B513" s="4360"/>
      <c r="C513" s="4360"/>
      <c r="D513" s="4360"/>
      <c r="E513" s="4360"/>
      <c r="F513" s="4360"/>
      <c r="G513" s="4360"/>
      <c r="H513" s="4360"/>
      <c r="I513" s="4360"/>
      <c r="J513" s="4360"/>
      <c r="K513" s="4360"/>
      <c r="L513" s="4361"/>
      <c r="M513" s="4360"/>
      <c r="N513" s="4360"/>
      <c r="O513" s="4360"/>
      <c r="P513" s="4360"/>
      <c r="Q513" s="4360"/>
      <c r="R513" s="4360"/>
      <c r="S513" s="4360"/>
      <c r="T513" s="4360"/>
      <c r="U513" s="4360"/>
      <c r="V513" s="4360"/>
      <c r="W513" s="4360"/>
    </row>
    <row r="514" spans="2:23" s="4273" customFormat="1">
      <c r="B514" s="4360"/>
      <c r="C514" s="4360"/>
      <c r="D514" s="4360"/>
      <c r="E514" s="4360"/>
      <c r="F514" s="4360"/>
      <c r="G514" s="4360"/>
      <c r="H514" s="4360"/>
      <c r="I514" s="4360"/>
      <c r="J514" s="4360"/>
      <c r="K514" s="4360"/>
      <c r="L514" s="4361"/>
      <c r="M514" s="4360"/>
      <c r="N514" s="4360"/>
      <c r="O514" s="4360"/>
      <c r="P514" s="4360"/>
      <c r="Q514" s="4360"/>
      <c r="R514" s="4360"/>
      <c r="S514" s="4360"/>
      <c r="T514" s="4360"/>
      <c r="U514" s="4360"/>
      <c r="V514" s="4360"/>
      <c r="W514" s="4360"/>
    </row>
    <row r="515" spans="2:23" s="4273" customFormat="1">
      <c r="B515" s="4360"/>
      <c r="C515" s="4360"/>
      <c r="D515" s="4360"/>
      <c r="E515" s="4360"/>
      <c r="F515" s="4360"/>
      <c r="G515" s="4360"/>
      <c r="H515" s="4360"/>
      <c r="I515" s="4360"/>
      <c r="J515" s="4360"/>
      <c r="K515" s="4360"/>
      <c r="L515" s="4361"/>
      <c r="M515" s="4360"/>
      <c r="N515" s="4360"/>
      <c r="O515" s="4360"/>
      <c r="P515" s="4360"/>
      <c r="Q515" s="4360"/>
      <c r="R515" s="4360"/>
      <c r="S515" s="4360"/>
      <c r="T515" s="4360"/>
      <c r="U515" s="4360"/>
      <c r="V515" s="4360"/>
      <c r="W515" s="4360"/>
    </row>
    <row r="516" spans="2:23" s="4273" customFormat="1">
      <c r="B516" s="4360"/>
      <c r="C516" s="4360"/>
      <c r="D516" s="4360"/>
      <c r="E516" s="4360"/>
      <c r="F516" s="4360"/>
      <c r="G516" s="4360"/>
      <c r="H516" s="4360"/>
      <c r="I516" s="4360"/>
      <c r="J516" s="4360"/>
      <c r="K516" s="4360"/>
      <c r="L516" s="4361"/>
      <c r="M516" s="4360"/>
      <c r="N516" s="4360"/>
      <c r="O516" s="4360"/>
      <c r="P516" s="4360"/>
      <c r="Q516" s="4360"/>
      <c r="R516" s="4360"/>
      <c r="S516" s="4360"/>
      <c r="T516" s="4360"/>
      <c r="U516" s="4360"/>
      <c r="V516" s="4360"/>
      <c r="W516" s="4360"/>
    </row>
    <row r="517" spans="2:23" s="4273" customFormat="1">
      <c r="B517" s="4360"/>
      <c r="C517" s="4360"/>
      <c r="D517" s="4360"/>
      <c r="E517" s="4360"/>
      <c r="F517" s="4360"/>
      <c r="G517" s="4360"/>
      <c r="H517" s="4360"/>
      <c r="I517" s="4360"/>
      <c r="J517" s="4360"/>
      <c r="K517" s="4360"/>
      <c r="L517" s="4361"/>
      <c r="M517" s="4360"/>
      <c r="N517" s="4360"/>
      <c r="O517" s="4360"/>
      <c r="P517" s="4360"/>
      <c r="Q517" s="4360"/>
      <c r="R517" s="4360"/>
      <c r="S517" s="4360"/>
      <c r="T517" s="4360"/>
      <c r="U517" s="4360"/>
      <c r="V517" s="4360"/>
      <c r="W517" s="4360"/>
    </row>
    <row r="518" spans="2:23" s="4273" customFormat="1">
      <c r="B518" s="4360"/>
      <c r="C518" s="4360"/>
      <c r="D518" s="4360"/>
      <c r="E518" s="4360"/>
      <c r="F518" s="4360"/>
      <c r="G518" s="4360"/>
      <c r="H518" s="4360"/>
      <c r="I518" s="4360"/>
      <c r="J518" s="4360"/>
      <c r="K518" s="4360"/>
      <c r="L518" s="4361"/>
      <c r="M518" s="4360"/>
      <c r="N518" s="4360"/>
      <c r="O518" s="4360"/>
      <c r="P518" s="4360"/>
      <c r="Q518" s="4360"/>
      <c r="R518" s="4360"/>
      <c r="S518" s="4360"/>
      <c r="T518" s="4360"/>
      <c r="U518" s="4360"/>
      <c r="V518" s="4360"/>
      <c r="W518" s="4360"/>
    </row>
    <row r="519" spans="2:23" s="4273" customFormat="1">
      <c r="B519" s="4360"/>
      <c r="C519" s="4360"/>
      <c r="D519" s="4360"/>
      <c r="E519" s="4360"/>
      <c r="F519" s="4360"/>
      <c r="G519" s="4360"/>
      <c r="H519" s="4360"/>
      <c r="I519" s="4360"/>
      <c r="J519" s="4360"/>
      <c r="K519" s="4360"/>
      <c r="L519" s="4361"/>
      <c r="M519" s="4360"/>
      <c r="N519" s="4360"/>
      <c r="O519" s="4360"/>
      <c r="P519" s="4360"/>
      <c r="Q519" s="4360"/>
      <c r="R519" s="4360"/>
      <c r="S519" s="4360"/>
      <c r="T519" s="4360"/>
      <c r="U519" s="4360"/>
      <c r="V519" s="4360"/>
      <c r="W519" s="4360"/>
    </row>
    <row r="520" spans="2:23" s="4273" customFormat="1">
      <c r="B520" s="4360"/>
      <c r="C520" s="4360"/>
      <c r="D520" s="4360"/>
      <c r="E520" s="4360"/>
      <c r="F520" s="4360"/>
      <c r="G520" s="4360"/>
      <c r="H520" s="4360"/>
      <c r="I520" s="4360"/>
      <c r="J520" s="4360"/>
      <c r="K520" s="4360"/>
      <c r="L520" s="4361"/>
      <c r="M520" s="4360"/>
      <c r="N520" s="4360"/>
      <c r="O520" s="4360"/>
      <c r="P520" s="4360"/>
      <c r="Q520" s="4360"/>
      <c r="R520" s="4360"/>
      <c r="S520" s="4360"/>
      <c r="T520" s="4360"/>
      <c r="U520" s="4360"/>
      <c r="V520" s="4360"/>
      <c r="W520" s="4360"/>
    </row>
    <row r="521" spans="2:23" s="4273" customFormat="1">
      <c r="B521" s="4360"/>
      <c r="C521" s="4360"/>
      <c r="D521" s="4360"/>
      <c r="E521" s="4360"/>
      <c r="F521" s="4360"/>
      <c r="G521" s="4360"/>
      <c r="H521" s="4360"/>
      <c r="I521" s="4360"/>
      <c r="J521" s="4360"/>
      <c r="K521" s="4360"/>
      <c r="L521" s="4361"/>
      <c r="M521" s="4360"/>
      <c r="N521" s="4360"/>
      <c r="O521" s="4360"/>
      <c r="P521" s="4360"/>
      <c r="Q521" s="4360"/>
      <c r="R521" s="4360"/>
      <c r="S521" s="4360"/>
      <c r="T521" s="4360"/>
      <c r="U521" s="4360"/>
      <c r="V521" s="4360"/>
      <c r="W521" s="4360"/>
    </row>
    <row r="522" spans="2:23" s="4273" customFormat="1">
      <c r="B522" s="4360"/>
      <c r="C522" s="4360"/>
      <c r="D522" s="4360"/>
      <c r="E522" s="4360"/>
      <c r="F522" s="4360"/>
      <c r="G522" s="4360"/>
      <c r="H522" s="4360"/>
      <c r="I522" s="4360"/>
      <c r="J522" s="4360"/>
      <c r="K522" s="4360"/>
      <c r="L522" s="4361"/>
      <c r="M522" s="4360"/>
      <c r="N522" s="4360"/>
      <c r="O522" s="4360"/>
      <c r="P522" s="4360"/>
      <c r="Q522" s="4360"/>
      <c r="R522" s="4360"/>
      <c r="S522" s="4360"/>
      <c r="T522" s="4360"/>
      <c r="U522" s="4360"/>
      <c r="V522" s="4360"/>
      <c r="W522" s="4360"/>
    </row>
    <row r="523" spans="2:23" s="4273" customFormat="1">
      <c r="B523" s="4360"/>
      <c r="C523" s="4360"/>
      <c r="D523" s="4360"/>
      <c r="E523" s="4360"/>
      <c r="F523" s="4360"/>
      <c r="G523" s="4360"/>
      <c r="H523" s="4360"/>
      <c r="I523" s="4360"/>
      <c r="J523" s="4360"/>
      <c r="K523" s="4360"/>
      <c r="L523" s="4361"/>
      <c r="M523" s="4360"/>
      <c r="N523" s="4360"/>
      <c r="O523" s="4360"/>
      <c r="P523" s="4360"/>
      <c r="Q523" s="4360"/>
      <c r="R523" s="4360"/>
      <c r="S523" s="4360"/>
      <c r="T523" s="4360"/>
      <c r="U523" s="4360"/>
      <c r="V523" s="4360"/>
      <c r="W523" s="4360"/>
    </row>
    <row r="524" spans="2:23" s="4273" customFormat="1">
      <c r="B524" s="4360"/>
      <c r="C524" s="4360"/>
      <c r="D524" s="4360"/>
      <c r="E524" s="4360"/>
      <c r="F524" s="4360"/>
      <c r="G524" s="4360"/>
      <c r="H524" s="4360"/>
      <c r="I524" s="4360"/>
      <c r="J524" s="4360"/>
      <c r="K524" s="4360"/>
      <c r="L524" s="4361"/>
      <c r="M524" s="4360"/>
      <c r="N524" s="4360"/>
      <c r="O524" s="4360"/>
      <c r="P524" s="4360"/>
      <c r="Q524" s="4360"/>
      <c r="R524" s="4360"/>
      <c r="S524" s="4360"/>
      <c r="T524" s="4360"/>
      <c r="U524" s="4360"/>
      <c r="V524" s="4360"/>
      <c r="W524" s="4360"/>
    </row>
    <row r="525" spans="2:23" s="4273" customFormat="1">
      <c r="B525" s="4360"/>
      <c r="C525" s="4360"/>
      <c r="D525" s="4360"/>
      <c r="E525" s="4360"/>
      <c r="F525" s="4360"/>
      <c r="G525" s="4360"/>
      <c r="H525" s="4360"/>
      <c r="I525" s="4360"/>
      <c r="J525" s="4360"/>
      <c r="K525" s="4360"/>
      <c r="L525" s="4361"/>
      <c r="M525" s="4360"/>
      <c r="N525" s="4360"/>
      <c r="O525" s="4360"/>
      <c r="P525" s="4360"/>
      <c r="Q525" s="4360"/>
      <c r="R525" s="4360"/>
      <c r="S525" s="4360"/>
      <c r="T525" s="4360"/>
      <c r="U525" s="4360"/>
      <c r="V525" s="4360"/>
      <c r="W525" s="4360"/>
    </row>
    <row r="526" spans="2:23" s="4273" customFormat="1">
      <c r="B526" s="4360"/>
      <c r="C526" s="4360"/>
      <c r="D526" s="4360"/>
      <c r="E526" s="4360"/>
      <c r="F526" s="4360"/>
      <c r="G526" s="4360"/>
      <c r="H526" s="4360"/>
      <c r="I526" s="4360"/>
      <c r="J526" s="4360"/>
      <c r="K526" s="4360"/>
      <c r="L526" s="4361"/>
      <c r="M526" s="4360"/>
      <c r="N526" s="4360"/>
      <c r="O526" s="4360"/>
      <c r="P526" s="4360"/>
      <c r="Q526" s="4360"/>
      <c r="R526" s="4360"/>
      <c r="S526" s="4360"/>
      <c r="T526" s="4360"/>
      <c r="U526" s="4360"/>
      <c r="V526" s="4360"/>
      <c r="W526" s="4360"/>
    </row>
    <row r="527" spans="2:23" s="4273" customFormat="1">
      <c r="B527" s="4360"/>
      <c r="C527" s="4360"/>
      <c r="D527" s="4360"/>
      <c r="E527" s="4360"/>
      <c r="F527" s="4360"/>
      <c r="G527" s="4360"/>
      <c r="H527" s="4360"/>
      <c r="I527" s="4360"/>
      <c r="J527" s="4360"/>
      <c r="K527" s="4360"/>
      <c r="L527" s="4361"/>
      <c r="M527" s="4360"/>
      <c r="N527" s="4360"/>
      <c r="O527" s="4360"/>
      <c r="P527" s="4360"/>
      <c r="Q527" s="4360"/>
      <c r="R527" s="4360"/>
      <c r="S527" s="4360"/>
      <c r="T527" s="4360"/>
      <c r="U527" s="4360"/>
      <c r="V527" s="4360"/>
      <c r="W527" s="4360"/>
    </row>
    <row r="528" spans="2:23" s="4273" customFormat="1">
      <c r="B528" s="4360"/>
      <c r="C528" s="4360"/>
      <c r="D528" s="4360"/>
      <c r="E528" s="4360"/>
      <c r="F528" s="4360"/>
      <c r="G528" s="4360"/>
      <c r="H528" s="4360"/>
      <c r="I528" s="4360"/>
      <c r="J528" s="4360"/>
      <c r="K528" s="4360"/>
      <c r="L528" s="4361"/>
      <c r="M528" s="4360"/>
      <c r="N528" s="4360"/>
      <c r="O528" s="4360"/>
      <c r="P528" s="4360"/>
      <c r="Q528" s="4360"/>
      <c r="R528" s="4360"/>
      <c r="S528" s="4360"/>
      <c r="T528" s="4360"/>
      <c r="U528" s="4360"/>
      <c r="V528" s="4360"/>
      <c r="W528" s="4360"/>
    </row>
    <row r="529" spans="2:23" s="4273" customFormat="1">
      <c r="B529" s="4360"/>
      <c r="C529" s="4360"/>
      <c r="D529" s="4360"/>
      <c r="E529" s="4360"/>
      <c r="F529" s="4360"/>
      <c r="G529" s="4360"/>
      <c r="H529" s="4360"/>
      <c r="I529" s="4360"/>
      <c r="J529" s="4360"/>
      <c r="K529" s="4360"/>
      <c r="L529" s="4361"/>
      <c r="M529" s="4360"/>
      <c r="N529" s="4360"/>
      <c r="O529" s="4360"/>
      <c r="P529" s="4360"/>
      <c r="Q529" s="4360"/>
      <c r="R529" s="4360"/>
      <c r="S529" s="4360"/>
      <c r="T529" s="4360"/>
      <c r="U529" s="4360"/>
      <c r="V529" s="4360"/>
      <c r="W529" s="4360"/>
    </row>
    <row r="530" spans="2:23" s="4273" customFormat="1">
      <c r="B530" s="4360"/>
      <c r="C530" s="4360"/>
      <c r="D530" s="4360"/>
      <c r="E530" s="4360"/>
      <c r="F530" s="4360"/>
      <c r="G530" s="4360"/>
      <c r="H530" s="4360"/>
      <c r="I530" s="4360"/>
      <c r="J530" s="4360"/>
      <c r="K530" s="4360"/>
      <c r="L530" s="4361"/>
      <c r="M530" s="4360"/>
      <c r="N530" s="4360"/>
      <c r="O530" s="4360"/>
      <c r="P530" s="4360"/>
      <c r="Q530" s="4360"/>
      <c r="R530" s="4360"/>
      <c r="S530" s="4360"/>
      <c r="T530" s="4360"/>
      <c r="U530" s="4360"/>
      <c r="V530" s="4360"/>
      <c r="W530" s="4360"/>
    </row>
    <row r="531" spans="2:23" s="4273" customFormat="1">
      <c r="B531" s="4360"/>
      <c r="C531" s="4360"/>
      <c r="D531" s="4360"/>
      <c r="E531" s="4360"/>
      <c r="F531" s="4360"/>
      <c r="G531" s="4360"/>
      <c r="H531" s="4360"/>
      <c r="I531" s="4360"/>
      <c r="J531" s="4360"/>
      <c r="K531" s="4360"/>
      <c r="L531" s="4361"/>
      <c r="M531" s="4360"/>
      <c r="N531" s="4360"/>
      <c r="O531" s="4360"/>
      <c r="P531" s="4360"/>
      <c r="Q531" s="4360"/>
      <c r="R531" s="4360"/>
      <c r="S531" s="4360"/>
      <c r="T531" s="4360"/>
      <c r="U531" s="4360"/>
      <c r="V531" s="4360"/>
      <c r="W531" s="4360"/>
    </row>
    <row r="532" spans="2:23" s="4273" customFormat="1">
      <c r="B532" s="4360"/>
      <c r="C532" s="4360"/>
      <c r="D532" s="4360"/>
      <c r="E532" s="4360"/>
      <c r="F532" s="4360"/>
      <c r="G532" s="4360"/>
      <c r="H532" s="4360"/>
      <c r="I532" s="4360"/>
      <c r="J532" s="4360"/>
      <c r="K532" s="4360"/>
      <c r="L532" s="4361"/>
      <c r="M532" s="4360"/>
      <c r="N532" s="4360"/>
      <c r="O532" s="4360"/>
      <c r="P532" s="4360"/>
      <c r="Q532" s="4360"/>
      <c r="R532" s="4360"/>
      <c r="S532" s="4360"/>
      <c r="T532" s="4360"/>
      <c r="U532" s="4360"/>
      <c r="V532" s="4360"/>
      <c r="W532" s="4360"/>
    </row>
    <row r="533" spans="2:23" s="4273" customFormat="1">
      <c r="B533" s="4360"/>
      <c r="C533" s="4360"/>
      <c r="D533" s="4360"/>
      <c r="E533" s="4360"/>
      <c r="F533" s="4360"/>
      <c r="G533" s="4360"/>
      <c r="H533" s="4360"/>
      <c r="I533" s="4360"/>
      <c r="J533" s="4360"/>
      <c r="K533" s="4360"/>
      <c r="L533" s="4361"/>
      <c r="M533" s="4360"/>
      <c r="N533" s="4360"/>
      <c r="O533" s="4360"/>
      <c r="P533" s="4360"/>
      <c r="Q533" s="4360"/>
      <c r="R533" s="4360"/>
      <c r="S533" s="4360"/>
      <c r="T533" s="4360"/>
      <c r="U533" s="4360"/>
      <c r="V533" s="4360"/>
      <c r="W533" s="4360"/>
    </row>
    <row r="534" spans="2:23" s="4273" customFormat="1">
      <c r="B534" s="4360"/>
      <c r="C534" s="4360"/>
      <c r="D534" s="4360"/>
      <c r="E534" s="4360"/>
      <c r="F534" s="4360"/>
      <c r="G534" s="4360"/>
      <c r="H534" s="4360"/>
      <c r="I534" s="4360"/>
      <c r="J534" s="4360"/>
      <c r="K534" s="4360"/>
      <c r="L534" s="4361"/>
      <c r="M534" s="4360"/>
      <c r="N534" s="4360"/>
      <c r="O534" s="4360"/>
      <c r="P534" s="4360"/>
      <c r="Q534" s="4360"/>
      <c r="R534" s="4360"/>
      <c r="S534" s="4360"/>
      <c r="T534" s="4360"/>
      <c r="U534" s="4360"/>
      <c r="V534" s="4360"/>
      <c r="W534" s="4360"/>
    </row>
    <row r="535" spans="2:23" s="4273" customFormat="1">
      <c r="B535" s="4360"/>
      <c r="C535" s="4360"/>
      <c r="D535" s="4360"/>
      <c r="E535" s="4360"/>
      <c r="F535" s="4360"/>
      <c r="G535" s="4360"/>
      <c r="H535" s="4360"/>
      <c r="I535" s="4360"/>
      <c r="J535" s="4360"/>
      <c r="K535" s="4360"/>
      <c r="L535" s="4361"/>
      <c r="M535" s="4360"/>
      <c r="N535" s="4360"/>
      <c r="O535" s="4360"/>
      <c r="P535" s="4360"/>
      <c r="Q535" s="4360"/>
      <c r="R535" s="4360"/>
      <c r="S535" s="4360"/>
      <c r="T535" s="4360"/>
      <c r="U535" s="4360"/>
      <c r="V535" s="4360"/>
      <c r="W535" s="4360"/>
    </row>
    <row r="536" spans="2:23" s="4273" customFormat="1">
      <c r="B536" s="4360"/>
      <c r="C536" s="4360"/>
      <c r="D536" s="4360"/>
      <c r="E536" s="4360"/>
      <c r="F536" s="4360"/>
      <c r="G536" s="4360"/>
      <c r="H536" s="4360"/>
      <c r="I536" s="4360"/>
      <c r="J536" s="4360"/>
      <c r="K536" s="4360"/>
      <c r="L536" s="4361"/>
      <c r="M536" s="4360"/>
      <c r="N536" s="4360"/>
      <c r="O536" s="4360"/>
      <c r="P536" s="4360"/>
      <c r="Q536" s="4360"/>
      <c r="R536" s="4360"/>
      <c r="S536" s="4360"/>
      <c r="T536" s="4360"/>
      <c r="U536" s="4360"/>
      <c r="V536" s="4360"/>
      <c r="W536" s="4360"/>
    </row>
    <row r="537" spans="2:23" s="4273" customFormat="1">
      <c r="B537" s="4360"/>
      <c r="C537" s="4360"/>
      <c r="D537" s="4360"/>
      <c r="E537" s="4360"/>
      <c r="F537" s="4360"/>
      <c r="G537" s="4360"/>
      <c r="H537" s="4360"/>
      <c r="I537" s="4360"/>
      <c r="J537" s="4360"/>
      <c r="K537" s="4360"/>
      <c r="L537" s="4361"/>
      <c r="M537" s="4360"/>
      <c r="N537" s="4360"/>
      <c r="O537" s="4360"/>
      <c r="P537" s="4360"/>
      <c r="Q537" s="4360"/>
      <c r="R537" s="4360"/>
      <c r="S537" s="4360"/>
      <c r="T537" s="4360"/>
      <c r="U537" s="4360"/>
      <c r="V537" s="4360"/>
      <c r="W537" s="4360"/>
    </row>
    <row r="538" spans="2:23" s="4273" customFormat="1">
      <c r="B538" s="4360"/>
      <c r="C538" s="4360"/>
      <c r="D538" s="4360"/>
      <c r="E538" s="4360"/>
      <c r="F538" s="4360"/>
      <c r="G538" s="4360"/>
      <c r="H538" s="4360"/>
      <c r="I538" s="4360"/>
      <c r="J538" s="4360"/>
      <c r="K538" s="4360"/>
      <c r="L538" s="4361"/>
      <c r="M538" s="4360"/>
      <c r="N538" s="4360"/>
      <c r="O538" s="4360"/>
      <c r="P538" s="4360"/>
      <c r="Q538" s="4360"/>
      <c r="R538" s="4360"/>
      <c r="S538" s="4360"/>
      <c r="T538" s="4360"/>
      <c r="U538" s="4360"/>
      <c r="V538" s="4360"/>
      <c r="W538" s="4360"/>
    </row>
    <row r="539" spans="2:23" s="4273" customFormat="1">
      <c r="B539" s="4360"/>
      <c r="C539" s="4360"/>
      <c r="D539" s="4360"/>
      <c r="E539" s="4360"/>
      <c r="F539" s="4360"/>
      <c r="G539" s="4360"/>
      <c r="H539" s="4360"/>
      <c r="I539" s="4360"/>
      <c r="J539" s="4360"/>
      <c r="K539" s="4360"/>
      <c r="L539" s="4361"/>
      <c r="M539" s="4360"/>
      <c r="N539" s="4360"/>
      <c r="O539" s="4360"/>
      <c r="P539" s="4360"/>
      <c r="Q539" s="4360"/>
      <c r="R539" s="4360"/>
      <c r="S539" s="4360"/>
      <c r="T539" s="4360"/>
      <c r="U539" s="4360"/>
      <c r="V539" s="4360"/>
      <c r="W539" s="4360"/>
    </row>
    <row r="540" spans="2:23" s="4273" customFormat="1">
      <c r="B540" s="4360"/>
      <c r="C540" s="4360"/>
      <c r="D540" s="4360"/>
      <c r="E540" s="4360"/>
      <c r="F540" s="4360"/>
      <c r="G540" s="4360"/>
      <c r="H540" s="4360"/>
      <c r="I540" s="4360"/>
      <c r="J540" s="4360"/>
      <c r="K540" s="4360"/>
      <c r="L540" s="4361"/>
      <c r="M540" s="4360"/>
      <c r="N540" s="4360"/>
      <c r="O540" s="4360"/>
      <c r="P540" s="4360"/>
      <c r="Q540" s="4360"/>
      <c r="R540" s="4360"/>
      <c r="S540" s="4360"/>
      <c r="T540" s="4360"/>
      <c r="U540" s="4360"/>
      <c r="V540" s="4360"/>
      <c r="W540" s="4360"/>
    </row>
    <row r="541" spans="2:23" s="4273" customFormat="1">
      <c r="B541" s="4360"/>
      <c r="C541" s="4360"/>
      <c r="D541" s="4360"/>
      <c r="E541" s="4360"/>
      <c r="F541" s="4360"/>
      <c r="G541" s="4360"/>
      <c r="H541" s="4360"/>
      <c r="I541" s="4360"/>
      <c r="J541" s="4360"/>
      <c r="K541" s="4360"/>
      <c r="L541" s="4361"/>
      <c r="M541" s="4360"/>
      <c r="N541" s="4360"/>
      <c r="O541" s="4360"/>
      <c r="P541" s="4360"/>
      <c r="Q541" s="4360"/>
      <c r="R541" s="4360"/>
      <c r="S541" s="4360"/>
      <c r="T541" s="4360"/>
      <c r="U541" s="4360"/>
      <c r="V541" s="4360"/>
      <c r="W541" s="4360"/>
    </row>
    <row r="542" spans="2:23" s="4273" customFormat="1">
      <c r="B542" s="4360"/>
      <c r="C542" s="4360"/>
      <c r="D542" s="4360"/>
      <c r="E542" s="4360"/>
      <c r="F542" s="4360"/>
      <c r="G542" s="4360"/>
      <c r="H542" s="4360"/>
      <c r="I542" s="4360"/>
      <c r="J542" s="4360"/>
      <c r="K542" s="4360"/>
      <c r="L542" s="4361"/>
      <c r="M542" s="4360"/>
      <c r="N542" s="4360"/>
      <c r="O542" s="4360"/>
      <c r="P542" s="4360"/>
      <c r="Q542" s="4360"/>
      <c r="R542" s="4360"/>
      <c r="S542" s="4360"/>
      <c r="T542" s="4360"/>
      <c r="U542" s="4360"/>
      <c r="V542" s="4360"/>
      <c r="W542" s="4360"/>
    </row>
    <row r="543" spans="2:23" s="4273" customFormat="1">
      <c r="B543" s="4360"/>
      <c r="C543" s="4360"/>
      <c r="D543" s="4360"/>
      <c r="E543" s="4360"/>
      <c r="F543" s="4360"/>
      <c r="G543" s="4360"/>
      <c r="H543" s="4360"/>
      <c r="I543" s="4360"/>
      <c r="J543" s="4360"/>
      <c r="K543" s="4360"/>
      <c r="L543" s="4361"/>
      <c r="M543" s="4360"/>
      <c r="N543" s="4360"/>
      <c r="O543" s="4360"/>
      <c r="P543" s="4360"/>
      <c r="Q543" s="4360"/>
      <c r="R543" s="4360"/>
      <c r="S543" s="4360"/>
      <c r="T543" s="4360"/>
      <c r="U543" s="4360"/>
      <c r="V543" s="4360"/>
      <c r="W543" s="4360"/>
    </row>
    <row r="544" spans="2:23" s="4273" customFormat="1">
      <c r="B544" s="4360"/>
      <c r="C544" s="4360"/>
      <c r="D544" s="4360"/>
      <c r="E544" s="4360"/>
      <c r="F544" s="4360"/>
      <c r="G544" s="4360"/>
      <c r="H544" s="4360"/>
      <c r="I544" s="4360"/>
      <c r="J544" s="4360"/>
      <c r="K544" s="4360"/>
      <c r="L544" s="4361"/>
      <c r="M544" s="4360"/>
      <c r="N544" s="4360"/>
      <c r="O544" s="4360"/>
      <c r="P544" s="4360"/>
      <c r="Q544" s="4360"/>
      <c r="R544" s="4360"/>
      <c r="S544" s="4360"/>
      <c r="T544" s="4360"/>
      <c r="U544" s="4360"/>
      <c r="V544" s="4360"/>
      <c r="W544" s="4360"/>
    </row>
    <row r="545" spans="2:23" s="4273" customFormat="1">
      <c r="B545" s="4360"/>
      <c r="C545" s="4360"/>
      <c r="D545" s="4360"/>
      <c r="E545" s="4360"/>
      <c r="F545" s="4360"/>
      <c r="G545" s="4360"/>
      <c r="H545" s="4360"/>
      <c r="I545" s="4360"/>
      <c r="J545" s="4360"/>
      <c r="K545" s="4360"/>
      <c r="L545" s="4361"/>
      <c r="M545" s="4360"/>
      <c r="N545" s="4360"/>
      <c r="O545" s="4360"/>
      <c r="P545" s="4360"/>
      <c r="Q545" s="4360"/>
      <c r="R545" s="4360"/>
      <c r="S545" s="4360"/>
      <c r="T545" s="4360"/>
      <c r="U545" s="4360"/>
      <c r="V545" s="4360"/>
      <c r="W545" s="4360"/>
    </row>
    <row r="546" spans="2:23" s="4273" customFormat="1">
      <c r="B546" s="4360"/>
      <c r="C546" s="4360"/>
      <c r="D546" s="4360"/>
      <c r="E546" s="4360"/>
      <c r="F546" s="4360"/>
      <c r="G546" s="4360"/>
      <c r="H546" s="4360"/>
      <c r="I546" s="4360"/>
      <c r="J546" s="4360"/>
      <c r="K546" s="4360"/>
      <c r="L546" s="4361"/>
      <c r="M546" s="4360"/>
      <c r="N546" s="4360"/>
      <c r="O546" s="4360"/>
      <c r="P546" s="4360"/>
      <c r="Q546" s="4360"/>
      <c r="R546" s="4360"/>
      <c r="S546" s="4360"/>
      <c r="T546" s="4360"/>
      <c r="U546" s="4360"/>
      <c r="V546" s="4360"/>
      <c r="W546" s="4360"/>
    </row>
    <row r="547" spans="2:23" s="4273" customFormat="1">
      <c r="B547" s="4360"/>
      <c r="C547" s="4360"/>
      <c r="D547" s="4360"/>
      <c r="E547" s="4360"/>
      <c r="F547" s="4360"/>
      <c r="G547" s="4360"/>
      <c r="H547" s="4360"/>
      <c r="I547" s="4360"/>
      <c r="J547" s="4360"/>
      <c r="K547" s="4360"/>
      <c r="L547" s="4361"/>
      <c r="M547" s="4360"/>
      <c r="N547" s="4360"/>
      <c r="O547" s="4360"/>
      <c r="P547" s="4360"/>
      <c r="Q547" s="4360"/>
      <c r="R547" s="4360"/>
      <c r="S547" s="4360"/>
      <c r="T547" s="4360"/>
      <c r="U547" s="4360"/>
      <c r="V547" s="4360"/>
      <c r="W547" s="4360"/>
    </row>
    <row r="548" spans="2:23" s="4273" customFormat="1">
      <c r="B548" s="4360"/>
      <c r="C548" s="4360"/>
      <c r="D548" s="4360"/>
      <c r="E548" s="4360"/>
      <c r="F548" s="4360"/>
      <c r="G548" s="4360"/>
      <c r="H548" s="4360"/>
      <c r="I548" s="4360"/>
      <c r="J548" s="4360"/>
      <c r="K548" s="4360"/>
      <c r="L548" s="4361"/>
      <c r="M548" s="4360"/>
      <c r="N548" s="4360"/>
      <c r="O548" s="4360"/>
      <c r="P548" s="4360"/>
      <c r="Q548" s="4360"/>
      <c r="R548" s="4360"/>
      <c r="S548" s="4360"/>
      <c r="T548" s="4360"/>
      <c r="U548" s="4360"/>
      <c r="V548" s="4360"/>
      <c r="W548" s="4360"/>
    </row>
    <row r="549" spans="2:23" s="4273" customFormat="1">
      <c r="B549" s="4360"/>
      <c r="C549" s="4360"/>
      <c r="D549" s="4360"/>
      <c r="E549" s="4360"/>
      <c r="F549" s="4360"/>
      <c r="G549" s="4360"/>
      <c r="H549" s="4360"/>
      <c r="I549" s="4360"/>
      <c r="J549" s="4360"/>
      <c r="K549" s="4360"/>
      <c r="L549" s="4361"/>
      <c r="M549" s="4360"/>
      <c r="N549" s="4360"/>
      <c r="O549" s="4360"/>
      <c r="P549" s="4360"/>
      <c r="Q549" s="4360"/>
      <c r="R549" s="4360"/>
      <c r="S549" s="4360"/>
      <c r="T549" s="4360"/>
      <c r="U549" s="4360"/>
      <c r="V549" s="4360"/>
      <c r="W549" s="4360"/>
    </row>
    <row r="550" spans="2:23" s="4273" customFormat="1">
      <c r="B550" s="4360"/>
      <c r="C550" s="4360"/>
      <c r="D550" s="4360"/>
      <c r="E550" s="4360"/>
      <c r="F550" s="4360"/>
      <c r="G550" s="4360"/>
      <c r="H550" s="4360"/>
      <c r="I550" s="4360"/>
      <c r="J550" s="4360"/>
      <c r="K550" s="4360"/>
      <c r="L550" s="4361"/>
      <c r="M550" s="4360"/>
      <c r="N550" s="4360"/>
      <c r="O550" s="4360"/>
      <c r="P550" s="4360"/>
      <c r="Q550" s="4360"/>
      <c r="R550" s="4360"/>
      <c r="S550" s="4360"/>
      <c r="T550" s="4360"/>
      <c r="U550" s="4360"/>
      <c r="V550" s="4360"/>
      <c r="W550" s="4360"/>
    </row>
    <row r="551" spans="2:23" s="4273" customFormat="1">
      <c r="B551" s="4360"/>
      <c r="C551" s="4360"/>
      <c r="D551" s="4360"/>
      <c r="E551" s="4360"/>
      <c r="F551" s="4360"/>
      <c r="G551" s="4360"/>
      <c r="H551" s="4360"/>
      <c r="I551" s="4360"/>
      <c r="J551" s="4360"/>
      <c r="K551" s="4360"/>
      <c r="L551" s="4361"/>
      <c r="M551" s="4360"/>
      <c r="N551" s="4360"/>
      <c r="O551" s="4360"/>
      <c r="P551" s="4360"/>
      <c r="Q551" s="4360"/>
      <c r="R551" s="4360"/>
      <c r="S551" s="4360"/>
      <c r="T551" s="4360"/>
      <c r="U551" s="4360"/>
      <c r="V551" s="4360"/>
      <c r="W551" s="4360"/>
    </row>
    <row r="552" spans="2:23" s="4273" customFormat="1">
      <c r="B552" s="4360"/>
      <c r="C552" s="4360"/>
      <c r="D552" s="4360"/>
      <c r="E552" s="4360"/>
      <c r="F552" s="4360"/>
      <c r="G552" s="4360"/>
      <c r="H552" s="4360"/>
      <c r="I552" s="4360"/>
      <c r="J552" s="4360"/>
      <c r="K552" s="4360"/>
      <c r="L552" s="4361"/>
      <c r="M552" s="4360"/>
      <c r="N552" s="4360"/>
      <c r="O552" s="4360"/>
      <c r="P552" s="4360"/>
      <c r="Q552" s="4360"/>
      <c r="R552" s="4360"/>
      <c r="S552" s="4360"/>
      <c r="T552" s="4360"/>
      <c r="U552" s="4360"/>
      <c r="V552" s="4360"/>
      <c r="W552" s="4360"/>
    </row>
    <row r="553" spans="2:23" s="4273" customFormat="1">
      <c r="B553" s="4360"/>
      <c r="C553" s="4360"/>
      <c r="D553" s="4360"/>
      <c r="E553" s="4360"/>
      <c r="F553" s="4360"/>
      <c r="G553" s="4360"/>
      <c r="H553" s="4360"/>
      <c r="I553" s="4360"/>
      <c r="J553" s="4360"/>
      <c r="K553" s="4360"/>
      <c r="L553" s="4361"/>
      <c r="M553" s="4360"/>
      <c r="N553" s="4360"/>
      <c r="O553" s="4360"/>
      <c r="P553" s="4360"/>
      <c r="Q553" s="4360"/>
      <c r="R553" s="4360"/>
      <c r="S553" s="4360"/>
      <c r="T553" s="4360"/>
      <c r="U553" s="4360"/>
      <c r="V553" s="4360"/>
      <c r="W553" s="4360"/>
    </row>
    <row r="554" spans="2:23" s="4273" customFormat="1">
      <c r="B554" s="4360"/>
      <c r="C554" s="4360"/>
      <c r="D554" s="4360"/>
      <c r="E554" s="4360"/>
      <c r="F554" s="4360"/>
      <c r="G554" s="4360"/>
      <c r="H554" s="4360"/>
      <c r="I554" s="4360"/>
      <c r="J554" s="4360"/>
      <c r="K554" s="4360"/>
      <c r="L554" s="4361"/>
      <c r="M554" s="4360"/>
      <c r="N554" s="4360"/>
      <c r="O554" s="4360"/>
      <c r="P554" s="4360"/>
      <c r="Q554" s="4360"/>
      <c r="R554" s="4360"/>
      <c r="S554" s="4360"/>
      <c r="T554" s="4360"/>
      <c r="U554" s="4360"/>
      <c r="V554" s="4360"/>
      <c r="W554" s="4360"/>
    </row>
    <row r="555" spans="2:23" s="4273" customFormat="1">
      <c r="B555" s="4360"/>
      <c r="C555" s="4360"/>
      <c r="D555" s="4360"/>
      <c r="E555" s="4360"/>
      <c r="F555" s="4360"/>
      <c r="G555" s="4360"/>
      <c r="H555" s="4360"/>
      <c r="I555" s="4360"/>
      <c r="J555" s="4360"/>
      <c r="K555" s="4360"/>
      <c r="L555" s="4361"/>
      <c r="M555" s="4360"/>
      <c r="N555" s="4360"/>
      <c r="O555" s="4360"/>
      <c r="P555" s="4360"/>
      <c r="Q555" s="4360"/>
      <c r="R555" s="4360"/>
      <c r="S555" s="4360"/>
      <c r="T555" s="4360"/>
      <c r="U555" s="4360"/>
      <c r="V555" s="4360"/>
      <c r="W555" s="4360"/>
    </row>
    <row r="556" spans="2:23" s="4273" customFormat="1">
      <c r="B556" s="4360"/>
      <c r="C556" s="4360"/>
      <c r="D556" s="4360"/>
      <c r="E556" s="4360"/>
      <c r="F556" s="4360"/>
      <c r="G556" s="4360"/>
      <c r="H556" s="4360"/>
      <c r="I556" s="4360"/>
      <c r="J556" s="4360"/>
      <c r="K556" s="4360"/>
      <c r="L556" s="4361"/>
      <c r="M556" s="4360"/>
      <c r="N556" s="4360"/>
      <c r="O556" s="4360"/>
      <c r="P556" s="4360"/>
      <c r="Q556" s="4360"/>
      <c r="R556" s="4360"/>
      <c r="S556" s="4360"/>
      <c r="T556" s="4360"/>
      <c r="U556" s="4360"/>
      <c r="V556" s="4360"/>
      <c r="W556" s="4360"/>
    </row>
    <row r="557" spans="2:23" s="4273" customFormat="1">
      <c r="B557" s="4360"/>
      <c r="C557" s="4360"/>
      <c r="D557" s="4360"/>
      <c r="E557" s="4360"/>
      <c r="F557" s="4360"/>
      <c r="G557" s="4360"/>
      <c r="H557" s="4360"/>
      <c r="I557" s="4360"/>
      <c r="J557" s="4360"/>
      <c r="K557" s="4360"/>
      <c r="L557" s="4361"/>
      <c r="M557" s="4360"/>
      <c r="N557" s="4360"/>
      <c r="O557" s="4360"/>
      <c r="P557" s="4360"/>
      <c r="Q557" s="4360"/>
      <c r="R557" s="4360"/>
      <c r="S557" s="4360"/>
      <c r="T557" s="4360"/>
      <c r="U557" s="4360"/>
      <c r="V557" s="4360"/>
      <c r="W557" s="4360"/>
    </row>
    <row r="558" spans="2:23" s="4273" customFormat="1">
      <c r="B558" s="4360"/>
      <c r="C558" s="4360"/>
      <c r="D558" s="4360"/>
      <c r="E558" s="4360"/>
      <c r="F558" s="4360"/>
      <c r="G558" s="4360"/>
      <c r="H558" s="4360"/>
      <c r="I558" s="4360"/>
      <c r="J558" s="4360"/>
      <c r="K558" s="4360"/>
      <c r="L558" s="4361"/>
      <c r="M558" s="4360"/>
      <c r="N558" s="4360"/>
      <c r="O558" s="4360"/>
      <c r="P558" s="4360"/>
      <c r="Q558" s="4360"/>
      <c r="R558" s="4360"/>
      <c r="S558" s="4360"/>
      <c r="T558" s="4360"/>
      <c r="U558" s="4360"/>
      <c r="V558" s="4360"/>
      <c r="W558" s="4360"/>
    </row>
    <row r="559" spans="2:23" s="4273" customFormat="1">
      <c r="B559" s="4360"/>
      <c r="C559" s="4360"/>
      <c r="D559" s="4360"/>
      <c r="E559" s="4360"/>
      <c r="F559" s="4360"/>
      <c r="G559" s="4360"/>
      <c r="H559" s="4360"/>
      <c r="I559" s="4360"/>
      <c r="J559" s="4360"/>
      <c r="K559" s="4360"/>
      <c r="L559" s="4361"/>
      <c r="M559" s="4360"/>
      <c r="N559" s="4360"/>
      <c r="O559" s="4360"/>
      <c r="P559" s="4360"/>
      <c r="Q559" s="4360"/>
      <c r="R559" s="4360"/>
      <c r="S559" s="4360"/>
      <c r="T559" s="4360"/>
      <c r="U559" s="4360"/>
      <c r="V559" s="4360"/>
      <c r="W559" s="4360"/>
    </row>
    <row r="560" spans="2:23" s="4273" customFormat="1">
      <c r="B560" s="4360"/>
      <c r="C560" s="4360"/>
      <c r="D560" s="4360"/>
      <c r="E560" s="4360"/>
      <c r="F560" s="4360"/>
      <c r="G560" s="4360"/>
      <c r="H560" s="4360"/>
      <c r="I560" s="4360"/>
      <c r="J560" s="4360"/>
      <c r="K560" s="4360"/>
      <c r="L560" s="4361"/>
      <c r="M560" s="4360"/>
      <c r="N560" s="4360"/>
      <c r="O560" s="4360"/>
      <c r="P560" s="4360"/>
      <c r="Q560" s="4360"/>
      <c r="R560" s="4360"/>
      <c r="S560" s="4360"/>
      <c r="T560" s="4360"/>
      <c r="U560" s="4360"/>
      <c r="V560" s="4360"/>
      <c r="W560" s="4360"/>
    </row>
    <row r="561" spans="2:23" s="4273" customFormat="1">
      <c r="B561" s="4360"/>
      <c r="C561" s="4360"/>
      <c r="D561" s="4360"/>
      <c r="E561" s="4360"/>
      <c r="F561" s="4360"/>
      <c r="G561" s="4360"/>
      <c r="H561" s="4360"/>
      <c r="I561" s="4360"/>
      <c r="J561" s="4360"/>
      <c r="K561" s="4360"/>
      <c r="L561" s="4361"/>
      <c r="M561" s="4360"/>
      <c r="N561" s="4360"/>
      <c r="O561" s="4360"/>
      <c r="P561" s="4360"/>
      <c r="Q561" s="4360"/>
      <c r="R561" s="4360"/>
      <c r="S561" s="4360"/>
      <c r="T561" s="4360"/>
      <c r="U561" s="4360"/>
      <c r="V561" s="4360"/>
      <c r="W561" s="4360"/>
    </row>
    <row r="562" spans="2:23" s="4273" customFormat="1">
      <c r="B562" s="4360"/>
      <c r="C562" s="4360"/>
      <c r="D562" s="4360"/>
      <c r="E562" s="4360"/>
      <c r="F562" s="4360"/>
      <c r="G562" s="4360"/>
      <c r="H562" s="4360"/>
      <c r="I562" s="4360"/>
      <c r="J562" s="4360"/>
      <c r="K562" s="4360"/>
      <c r="L562" s="4361"/>
      <c r="M562" s="4360"/>
      <c r="N562" s="4360"/>
      <c r="O562" s="4360"/>
      <c r="P562" s="4360"/>
      <c r="Q562" s="4360"/>
      <c r="R562" s="4360"/>
      <c r="S562" s="4360"/>
      <c r="T562" s="4360"/>
      <c r="U562" s="4360"/>
      <c r="V562" s="4360"/>
      <c r="W562" s="4360"/>
    </row>
    <row r="563" spans="2:23" s="4273" customFormat="1">
      <c r="B563" s="4360"/>
      <c r="C563" s="4360"/>
      <c r="D563" s="4360"/>
      <c r="E563" s="4360"/>
      <c r="F563" s="4360"/>
      <c r="G563" s="4360"/>
      <c r="H563" s="4360"/>
      <c r="I563" s="4360"/>
      <c r="J563" s="4360"/>
      <c r="K563" s="4360"/>
      <c r="L563" s="4361"/>
      <c r="M563" s="4360"/>
      <c r="N563" s="4360"/>
      <c r="O563" s="4360"/>
      <c r="P563" s="4360"/>
      <c r="Q563" s="4360"/>
      <c r="R563" s="4360"/>
      <c r="S563" s="4360"/>
      <c r="T563" s="4360"/>
      <c r="U563" s="4360"/>
      <c r="V563" s="4360"/>
      <c r="W563" s="4360"/>
    </row>
    <row r="564" spans="2:23" s="4273" customFormat="1">
      <c r="B564" s="4360"/>
      <c r="C564" s="4360"/>
      <c r="D564" s="4360"/>
      <c r="E564" s="4360"/>
      <c r="F564" s="4360"/>
      <c r="G564" s="4360"/>
      <c r="H564" s="4360"/>
      <c r="I564" s="4360"/>
      <c r="J564" s="4360"/>
      <c r="K564" s="4360"/>
      <c r="L564" s="4361"/>
      <c r="M564" s="4360"/>
      <c r="N564" s="4360"/>
      <c r="O564" s="4360"/>
      <c r="P564" s="4360"/>
      <c r="Q564" s="4360"/>
      <c r="R564" s="4360"/>
      <c r="S564" s="4360"/>
      <c r="T564" s="4360"/>
      <c r="U564" s="4360"/>
      <c r="V564" s="4360"/>
      <c r="W564" s="4360"/>
    </row>
    <row r="565" spans="2:23" s="4273" customFormat="1">
      <c r="B565" s="4360"/>
      <c r="C565" s="4360"/>
      <c r="D565" s="4360"/>
      <c r="E565" s="4360"/>
      <c r="F565" s="4360"/>
      <c r="G565" s="4360"/>
      <c r="H565" s="4360"/>
      <c r="I565" s="4360"/>
      <c r="J565" s="4360"/>
      <c r="K565" s="4360"/>
      <c r="L565" s="4361"/>
      <c r="M565" s="4360"/>
      <c r="N565" s="4360"/>
      <c r="O565" s="4360"/>
      <c r="P565" s="4360"/>
      <c r="Q565" s="4360"/>
      <c r="R565" s="4360"/>
      <c r="S565" s="4360"/>
      <c r="T565" s="4360"/>
      <c r="U565" s="4360"/>
      <c r="V565" s="4360"/>
      <c r="W565" s="4360"/>
    </row>
    <row r="566" spans="2:23" s="4273" customFormat="1">
      <c r="B566" s="4360"/>
      <c r="C566" s="4360"/>
      <c r="D566" s="4360"/>
      <c r="E566" s="4360"/>
      <c r="F566" s="4360"/>
      <c r="G566" s="4360"/>
      <c r="H566" s="4360"/>
      <c r="I566" s="4360"/>
      <c r="J566" s="4360"/>
      <c r="K566" s="4360"/>
      <c r="L566" s="4361"/>
      <c r="M566" s="4360"/>
      <c r="N566" s="4360"/>
      <c r="O566" s="4360"/>
      <c r="P566" s="4360"/>
      <c r="Q566" s="4360"/>
      <c r="R566" s="4360"/>
      <c r="S566" s="4360"/>
      <c r="T566" s="4360"/>
      <c r="U566" s="4360"/>
      <c r="V566" s="4360"/>
      <c r="W566" s="4360"/>
    </row>
    <row r="567" spans="2:23" s="4273" customFormat="1">
      <c r="B567" s="4360"/>
      <c r="C567" s="4360"/>
      <c r="D567" s="4360"/>
      <c r="E567" s="4360"/>
      <c r="F567" s="4360"/>
      <c r="G567" s="4360"/>
      <c r="H567" s="4360"/>
      <c r="I567" s="4360"/>
      <c r="J567" s="4360"/>
      <c r="K567" s="4360"/>
      <c r="L567" s="4361"/>
      <c r="M567" s="4360"/>
      <c r="N567" s="4360"/>
      <c r="O567" s="4360"/>
      <c r="P567" s="4360"/>
      <c r="Q567" s="4360"/>
      <c r="R567" s="4360"/>
      <c r="S567" s="4360"/>
      <c r="T567" s="4360"/>
      <c r="U567" s="4360"/>
      <c r="V567" s="4360"/>
      <c r="W567" s="4360"/>
    </row>
    <row r="568" spans="2:23" s="4273" customFormat="1">
      <c r="B568" s="4360"/>
      <c r="C568" s="4360"/>
      <c r="D568" s="4360"/>
      <c r="E568" s="4360"/>
      <c r="F568" s="4360"/>
      <c r="G568" s="4360"/>
      <c r="H568" s="4360"/>
      <c r="I568" s="4360"/>
      <c r="J568" s="4360"/>
      <c r="K568" s="4360"/>
      <c r="L568" s="4361"/>
      <c r="M568" s="4360"/>
      <c r="N568" s="4360"/>
      <c r="O568" s="4360"/>
      <c r="P568" s="4360"/>
      <c r="Q568" s="4360"/>
      <c r="R568" s="4360"/>
      <c r="S568" s="4360"/>
      <c r="T568" s="4360"/>
      <c r="U568" s="4360"/>
      <c r="V568" s="4360"/>
      <c r="W568" s="4360"/>
    </row>
    <row r="569" spans="2:23" s="4273" customFormat="1">
      <c r="B569" s="4360"/>
      <c r="C569" s="4360"/>
      <c r="D569" s="4360"/>
      <c r="E569" s="4360"/>
      <c r="F569" s="4360"/>
      <c r="G569" s="4360"/>
      <c r="H569" s="4360"/>
      <c r="I569" s="4360"/>
      <c r="J569" s="4360"/>
      <c r="K569" s="4360"/>
      <c r="L569" s="4361"/>
      <c r="M569" s="4360"/>
      <c r="N569" s="4360"/>
      <c r="O569" s="4360"/>
      <c r="P569" s="4360"/>
      <c r="Q569" s="4360"/>
      <c r="R569" s="4360"/>
      <c r="S569" s="4360"/>
      <c r="T569" s="4360"/>
      <c r="U569" s="4360"/>
      <c r="V569" s="4360"/>
      <c r="W569" s="4360"/>
    </row>
    <row r="570" spans="2:23" s="4273" customFormat="1">
      <c r="B570" s="4360"/>
      <c r="C570" s="4360"/>
      <c r="D570" s="4360"/>
      <c r="E570" s="4360"/>
      <c r="F570" s="4360"/>
      <c r="G570" s="4360"/>
      <c r="H570" s="4360"/>
      <c r="I570" s="4360"/>
      <c r="J570" s="4360"/>
      <c r="K570" s="4360"/>
      <c r="L570" s="4361"/>
      <c r="M570" s="4360"/>
      <c r="N570" s="4360"/>
      <c r="O570" s="4360"/>
      <c r="P570" s="4360"/>
      <c r="Q570" s="4360"/>
      <c r="R570" s="4360"/>
      <c r="S570" s="4360"/>
      <c r="T570" s="4360"/>
      <c r="U570" s="4360"/>
      <c r="V570" s="4360"/>
      <c r="W570" s="4360"/>
    </row>
    <row r="571" spans="2:23" s="4273" customFormat="1">
      <c r="B571" s="4360"/>
      <c r="C571" s="4360"/>
      <c r="D571" s="4360"/>
      <c r="E571" s="4360"/>
      <c r="F571" s="4360"/>
      <c r="G571" s="4360"/>
      <c r="H571" s="4360"/>
      <c r="I571" s="4360"/>
      <c r="J571" s="4360"/>
      <c r="K571" s="4360"/>
      <c r="L571" s="4361"/>
      <c r="M571" s="4360"/>
      <c r="N571" s="4360"/>
      <c r="O571" s="4360"/>
      <c r="P571" s="4360"/>
      <c r="Q571" s="4360"/>
      <c r="R571" s="4360"/>
      <c r="S571" s="4360"/>
      <c r="T571" s="4360"/>
      <c r="U571" s="4360"/>
      <c r="V571" s="4360"/>
      <c r="W571" s="4360"/>
    </row>
    <row r="572" spans="2:23" s="4273" customFormat="1">
      <c r="B572" s="4360"/>
      <c r="C572" s="4360"/>
      <c r="D572" s="4360"/>
      <c r="E572" s="4360"/>
      <c r="F572" s="4360"/>
      <c r="G572" s="4360"/>
      <c r="H572" s="4360"/>
      <c r="I572" s="4360"/>
      <c r="J572" s="4360"/>
      <c r="K572" s="4360"/>
      <c r="L572" s="4361"/>
      <c r="M572" s="4360"/>
      <c r="N572" s="4360"/>
      <c r="O572" s="4360"/>
      <c r="P572" s="4360"/>
      <c r="Q572" s="4360"/>
      <c r="R572" s="4360"/>
      <c r="S572" s="4360"/>
      <c r="T572" s="4360"/>
      <c r="U572" s="4360"/>
      <c r="V572" s="4360"/>
      <c r="W572" s="4360"/>
    </row>
    <row r="573" spans="2:23" s="4273" customFormat="1">
      <c r="B573" s="4360"/>
      <c r="C573" s="4360"/>
      <c r="D573" s="4360"/>
      <c r="E573" s="4360"/>
      <c r="F573" s="4360"/>
      <c r="G573" s="4360"/>
      <c r="H573" s="4360"/>
      <c r="I573" s="4360"/>
      <c r="J573" s="4360"/>
      <c r="K573" s="4360"/>
      <c r="L573" s="4361"/>
      <c r="M573" s="4360"/>
      <c r="N573" s="4360"/>
      <c r="O573" s="4360"/>
      <c r="P573" s="4360"/>
      <c r="Q573" s="4360"/>
      <c r="R573" s="4360"/>
      <c r="S573" s="4360"/>
      <c r="T573" s="4360"/>
      <c r="U573" s="4360"/>
      <c r="V573" s="4360"/>
      <c r="W573" s="4360"/>
    </row>
    <row r="574" spans="2:23" s="4273" customFormat="1">
      <c r="B574" s="4360"/>
      <c r="C574" s="4360"/>
      <c r="D574" s="4360"/>
      <c r="E574" s="4360"/>
      <c r="F574" s="4360"/>
      <c r="G574" s="4360"/>
      <c r="H574" s="4360"/>
      <c r="I574" s="4360"/>
      <c r="J574" s="4360"/>
      <c r="K574" s="4360"/>
      <c r="L574" s="4361"/>
      <c r="M574" s="4360"/>
      <c r="N574" s="4360"/>
      <c r="O574" s="4360"/>
      <c r="P574" s="4360"/>
      <c r="Q574" s="4360"/>
      <c r="R574" s="4360"/>
      <c r="S574" s="4360"/>
      <c r="T574" s="4360"/>
      <c r="U574" s="4360"/>
      <c r="V574" s="4360"/>
      <c r="W574" s="4360"/>
    </row>
    <row r="575" spans="2:23" s="4273" customFormat="1">
      <c r="B575" s="4360"/>
      <c r="C575" s="4360"/>
      <c r="D575" s="4360"/>
      <c r="E575" s="4360"/>
      <c r="F575" s="4360"/>
      <c r="G575" s="4360"/>
      <c r="H575" s="4360"/>
      <c r="I575" s="4360"/>
      <c r="J575" s="4360"/>
      <c r="K575" s="4360"/>
      <c r="L575" s="4361"/>
      <c r="M575" s="4360"/>
      <c r="N575" s="4360"/>
      <c r="O575" s="4360"/>
      <c r="P575" s="4360"/>
      <c r="Q575" s="4360"/>
      <c r="R575" s="4360"/>
      <c r="S575" s="4360"/>
      <c r="T575" s="4360"/>
      <c r="U575" s="4360"/>
      <c r="V575" s="4360"/>
      <c r="W575" s="4360"/>
    </row>
    <row r="576" spans="2:23" s="4273" customFormat="1">
      <c r="B576" s="4360"/>
      <c r="C576" s="4360"/>
      <c r="D576" s="4360"/>
      <c r="E576" s="4360"/>
      <c r="F576" s="4360"/>
      <c r="G576" s="4360"/>
      <c r="H576" s="4360"/>
      <c r="I576" s="4360"/>
      <c r="J576" s="4360"/>
      <c r="K576" s="4360"/>
      <c r="L576" s="4361"/>
      <c r="M576" s="4360"/>
      <c r="N576" s="4360"/>
      <c r="O576" s="4360"/>
      <c r="P576" s="4360"/>
      <c r="Q576" s="4360"/>
      <c r="R576" s="4360"/>
      <c r="S576" s="4360"/>
      <c r="T576" s="4360"/>
      <c r="U576" s="4360"/>
      <c r="V576" s="4360"/>
      <c r="W576" s="4360"/>
    </row>
    <row r="577" spans="2:23" s="4273" customFormat="1">
      <c r="B577" s="4360"/>
      <c r="C577" s="4360"/>
      <c r="D577" s="4360"/>
      <c r="E577" s="4360"/>
      <c r="F577" s="4360"/>
      <c r="G577" s="4360"/>
      <c r="H577" s="4360"/>
      <c r="I577" s="4360"/>
      <c r="J577" s="4360"/>
      <c r="K577" s="4360"/>
      <c r="L577" s="4361"/>
      <c r="M577" s="4360"/>
      <c r="N577" s="4360"/>
      <c r="O577" s="4360"/>
      <c r="P577" s="4360"/>
      <c r="Q577" s="4360"/>
      <c r="R577" s="4360"/>
      <c r="S577" s="4360"/>
      <c r="T577" s="4360"/>
      <c r="U577" s="4360"/>
      <c r="V577" s="4360"/>
      <c r="W577" s="4360"/>
    </row>
    <row r="578" spans="2:23" s="4273" customFormat="1">
      <c r="B578" s="4360"/>
      <c r="C578" s="4360"/>
      <c r="D578" s="4360"/>
      <c r="E578" s="4360"/>
      <c r="F578" s="4360"/>
      <c r="G578" s="4360"/>
      <c r="H578" s="4360"/>
      <c r="I578" s="4360"/>
      <c r="J578" s="4360"/>
      <c r="K578" s="4360"/>
      <c r="L578" s="4361"/>
      <c r="M578" s="4360"/>
      <c r="N578" s="4360"/>
      <c r="O578" s="4360"/>
      <c r="P578" s="4360"/>
      <c r="Q578" s="4360"/>
      <c r="R578" s="4360"/>
      <c r="S578" s="4360"/>
      <c r="T578" s="4360"/>
      <c r="U578" s="4360"/>
      <c r="V578" s="4360"/>
      <c r="W578" s="4360"/>
    </row>
    <row r="579" spans="2:23" s="4273" customFormat="1">
      <c r="B579" s="4360"/>
      <c r="C579" s="4360"/>
      <c r="D579" s="4360"/>
      <c r="E579" s="4360"/>
      <c r="F579" s="4360"/>
      <c r="G579" s="4360"/>
      <c r="H579" s="4360"/>
      <c r="I579" s="4360"/>
      <c r="J579" s="4360"/>
      <c r="K579" s="4360"/>
      <c r="L579" s="4361"/>
      <c r="M579" s="4360"/>
      <c r="N579" s="4360"/>
      <c r="O579" s="4360"/>
      <c r="P579" s="4360"/>
      <c r="Q579" s="4360"/>
      <c r="R579" s="4360"/>
      <c r="S579" s="4360"/>
      <c r="T579" s="4360"/>
      <c r="U579" s="4360"/>
      <c r="V579" s="4360"/>
      <c r="W579" s="4360"/>
    </row>
    <row r="580" spans="2:23" s="4273" customFormat="1">
      <c r="B580" s="4360"/>
      <c r="C580" s="4360"/>
      <c r="D580" s="4360"/>
      <c r="E580" s="4360"/>
      <c r="F580" s="4360"/>
      <c r="G580" s="4360"/>
      <c r="H580" s="4360"/>
      <c r="I580" s="4360"/>
      <c r="J580" s="4360"/>
      <c r="K580" s="4360"/>
      <c r="L580" s="4361"/>
      <c r="M580" s="4360"/>
      <c r="N580" s="4360"/>
      <c r="O580" s="4360"/>
      <c r="P580" s="4360"/>
      <c r="Q580" s="4360"/>
      <c r="R580" s="4360"/>
      <c r="S580" s="4360"/>
      <c r="T580" s="4360"/>
      <c r="U580" s="4360"/>
      <c r="V580" s="4360"/>
      <c r="W580" s="4360"/>
    </row>
    <row r="581" spans="2:23" s="4273" customFormat="1">
      <c r="B581" s="4360"/>
      <c r="C581" s="4360"/>
      <c r="D581" s="4360"/>
      <c r="E581" s="4360"/>
      <c r="F581" s="4360"/>
      <c r="G581" s="4360"/>
      <c r="H581" s="4360"/>
      <c r="I581" s="4360"/>
      <c r="J581" s="4360"/>
      <c r="K581" s="4360"/>
      <c r="L581" s="4361"/>
      <c r="M581" s="4360"/>
      <c r="N581" s="4360"/>
      <c r="O581" s="4360"/>
      <c r="P581" s="4360"/>
      <c r="Q581" s="4360"/>
      <c r="R581" s="4360"/>
      <c r="S581" s="4360"/>
      <c r="T581" s="4360"/>
      <c r="U581" s="4360"/>
      <c r="V581" s="4360"/>
      <c r="W581" s="4360"/>
    </row>
    <row r="582" spans="2:23" s="4273" customFormat="1">
      <c r="B582" s="4360"/>
      <c r="C582" s="4360"/>
      <c r="D582" s="4360"/>
      <c r="E582" s="4360"/>
      <c r="F582" s="4360"/>
      <c r="G582" s="4360"/>
      <c r="H582" s="4360"/>
      <c r="I582" s="4360"/>
      <c r="J582" s="4360"/>
      <c r="K582" s="4360"/>
      <c r="L582" s="4361"/>
      <c r="M582" s="4360"/>
      <c r="N582" s="4360"/>
      <c r="O582" s="4360"/>
      <c r="P582" s="4360"/>
      <c r="Q582" s="4360"/>
      <c r="R582" s="4360"/>
      <c r="S582" s="4360"/>
      <c r="T582" s="4360"/>
      <c r="U582" s="4360"/>
      <c r="V582" s="4360"/>
      <c r="W582" s="4360"/>
    </row>
    <row r="583" spans="2:23" s="4273" customFormat="1">
      <c r="B583" s="4360"/>
      <c r="C583" s="4360"/>
      <c r="D583" s="4360"/>
      <c r="E583" s="4360"/>
      <c r="F583" s="4360"/>
      <c r="G583" s="4360"/>
      <c r="H583" s="4360"/>
      <c r="I583" s="4360"/>
      <c r="J583" s="4360"/>
      <c r="K583" s="4360"/>
      <c r="L583" s="4361"/>
      <c r="M583" s="4360"/>
      <c r="N583" s="4360"/>
      <c r="O583" s="4360"/>
      <c r="P583" s="4360"/>
      <c r="Q583" s="4360"/>
      <c r="R583" s="4360"/>
      <c r="S583" s="4360"/>
      <c r="T583" s="4360"/>
      <c r="U583" s="4360"/>
      <c r="V583" s="4360"/>
      <c r="W583" s="4360"/>
    </row>
    <row r="584" spans="2:23" s="4273" customFormat="1">
      <c r="B584" s="4360"/>
      <c r="C584" s="4360"/>
      <c r="D584" s="4360"/>
      <c r="E584" s="4360"/>
      <c r="F584" s="4360"/>
      <c r="G584" s="4360"/>
      <c r="H584" s="4360"/>
      <c r="I584" s="4360"/>
      <c r="J584" s="4360"/>
      <c r="K584" s="4360"/>
      <c r="L584" s="4361"/>
      <c r="M584" s="4360"/>
      <c r="N584" s="4360"/>
      <c r="O584" s="4360"/>
      <c r="P584" s="4360"/>
      <c r="Q584" s="4360"/>
      <c r="R584" s="4360"/>
      <c r="S584" s="4360"/>
      <c r="T584" s="4360"/>
      <c r="U584" s="4360"/>
      <c r="V584" s="4360"/>
      <c r="W584" s="4360"/>
    </row>
    <row r="585" spans="2:23" s="4273" customFormat="1">
      <c r="B585" s="4360"/>
      <c r="C585" s="4360"/>
      <c r="D585" s="4360"/>
      <c r="E585" s="4360"/>
      <c r="F585" s="4360"/>
      <c r="G585" s="4360"/>
      <c r="H585" s="4360"/>
      <c r="I585" s="4360"/>
      <c r="J585" s="4360"/>
      <c r="K585" s="4360"/>
      <c r="L585" s="4361"/>
      <c r="M585" s="4360"/>
      <c r="N585" s="4360"/>
      <c r="O585" s="4360"/>
      <c r="P585" s="4360"/>
      <c r="Q585" s="4360"/>
      <c r="R585" s="4360"/>
      <c r="S585" s="4360"/>
      <c r="T585" s="4360"/>
      <c r="U585" s="4360"/>
      <c r="V585" s="4360"/>
      <c r="W585" s="4360"/>
    </row>
    <row r="586" spans="2:23" s="4273" customFormat="1">
      <c r="B586" s="4360"/>
      <c r="C586" s="4360"/>
      <c r="D586" s="4360"/>
      <c r="E586" s="4360"/>
      <c r="F586" s="4360"/>
      <c r="G586" s="4360"/>
      <c r="H586" s="4360"/>
      <c r="I586" s="4360"/>
      <c r="J586" s="4360"/>
      <c r="K586" s="4360"/>
      <c r="L586" s="4361"/>
      <c r="M586" s="4360"/>
      <c r="N586" s="4360"/>
      <c r="O586" s="4360"/>
      <c r="P586" s="4360"/>
      <c r="Q586" s="4360"/>
      <c r="R586" s="4360"/>
      <c r="S586" s="4360"/>
      <c r="T586" s="4360"/>
      <c r="U586" s="4360"/>
      <c r="V586" s="4360"/>
      <c r="W586" s="4360"/>
    </row>
    <row r="587" spans="2:23" s="4273" customFormat="1">
      <c r="B587" s="4360"/>
      <c r="C587" s="4360"/>
      <c r="D587" s="4360"/>
      <c r="E587" s="4360"/>
      <c r="F587" s="4360"/>
      <c r="G587" s="4360"/>
      <c r="H587" s="4360"/>
      <c r="I587" s="4360"/>
      <c r="J587" s="4360"/>
      <c r="K587" s="4360"/>
      <c r="L587" s="4361"/>
      <c r="M587" s="4360"/>
      <c r="N587" s="4360"/>
      <c r="O587" s="4360"/>
      <c r="P587" s="4360"/>
      <c r="Q587" s="4360"/>
      <c r="R587" s="4360"/>
      <c r="S587" s="4360"/>
      <c r="T587" s="4360"/>
      <c r="U587" s="4360"/>
      <c r="V587" s="4360"/>
      <c r="W587" s="4360"/>
    </row>
    <row r="588" spans="2:23" s="4273" customFormat="1">
      <c r="B588" s="4360"/>
      <c r="C588" s="4360"/>
      <c r="D588" s="4360"/>
      <c r="E588" s="4360"/>
      <c r="F588" s="4360"/>
      <c r="G588" s="4360"/>
      <c r="H588" s="4360"/>
      <c r="I588" s="4360"/>
      <c r="J588" s="4360"/>
      <c r="K588" s="4360"/>
      <c r="L588" s="4361"/>
      <c r="M588" s="4360"/>
      <c r="N588" s="4360"/>
      <c r="O588" s="4360"/>
      <c r="P588" s="4360"/>
      <c r="Q588" s="4360"/>
      <c r="R588" s="4360"/>
      <c r="S588" s="4360"/>
      <c r="T588" s="4360"/>
      <c r="U588" s="4360"/>
      <c r="V588" s="4360"/>
      <c r="W588" s="4360"/>
    </row>
    <row r="589" spans="2:23" s="4273" customFormat="1">
      <c r="B589" s="4360"/>
      <c r="C589" s="4360"/>
      <c r="D589" s="4360"/>
      <c r="E589" s="4360"/>
      <c r="F589" s="4360"/>
      <c r="G589" s="4360"/>
      <c r="H589" s="4360"/>
      <c r="I589" s="4360"/>
      <c r="J589" s="4360"/>
      <c r="K589" s="4360"/>
      <c r="L589" s="4361"/>
      <c r="M589" s="4360"/>
      <c r="N589" s="4360"/>
      <c r="O589" s="4360"/>
      <c r="P589" s="4360"/>
      <c r="Q589" s="4360"/>
      <c r="R589" s="4360"/>
      <c r="S589" s="4360"/>
      <c r="T589" s="4360"/>
      <c r="U589" s="4360"/>
      <c r="V589" s="4360"/>
      <c r="W589" s="4360"/>
    </row>
    <row r="590" spans="2:23" s="4273" customFormat="1">
      <c r="B590" s="4360"/>
      <c r="C590" s="4360"/>
      <c r="D590" s="4360"/>
      <c r="E590" s="4360"/>
      <c r="F590" s="4360"/>
      <c r="G590" s="4360"/>
      <c r="H590" s="4360"/>
      <c r="I590" s="4360"/>
      <c r="J590" s="4360"/>
      <c r="K590" s="4360"/>
      <c r="L590" s="4361"/>
      <c r="M590" s="4360"/>
      <c r="N590" s="4360"/>
      <c r="O590" s="4360"/>
      <c r="P590" s="4360"/>
      <c r="Q590" s="4360"/>
      <c r="R590" s="4360"/>
      <c r="S590" s="4360"/>
      <c r="T590" s="4360"/>
      <c r="U590" s="4360"/>
      <c r="V590" s="4360"/>
      <c r="W590" s="4360"/>
    </row>
    <row r="591" spans="2:23" s="4273" customFormat="1">
      <c r="B591" s="4360"/>
      <c r="C591" s="4360"/>
      <c r="D591" s="4360"/>
      <c r="E591" s="4360"/>
      <c r="F591" s="4360"/>
      <c r="G591" s="4360"/>
      <c r="H591" s="4360"/>
      <c r="I591" s="4360"/>
      <c r="J591" s="4360"/>
      <c r="K591" s="4360"/>
      <c r="L591" s="4361"/>
      <c r="M591" s="4360"/>
      <c r="N591" s="4360"/>
      <c r="O591" s="4360"/>
      <c r="P591" s="4360"/>
      <c r="Q591" s="4360"/>
      <c r="R591" s="4360"/>
      <c r="S591" s="4360"/>
      <c r="T591" s="4360"/>
      <c r="U591" s="4360"/>
      <c r="V591" s="4360"/>
      <c r="W591" s="4360"/>
    </row>
    <row r="592" spans="2:23" s="4273" customFormat="1">
      <c r="B592" s="4360"/>
      <c r="C592" s="4360"/>
      <c r="D592" s="4360"/>
      <c r="E592" s="4360"/>
      <c r="F592" s="4360"/>
      <c r="G592" s="4360"/>
      <c r="H592" s="4360"/>
      <c r="I592" s="4360"/>
      <c r="J592" s="4360"/>
      <c r="K592" s="4360"/>
      <c r="L592" s="4361"/>
      <c r="M592" s="4360"/>
      <c r="N592" s="4360"/>
      <c r="O592" s="4360"/>
      <c r="P592" s="4360"/>
      <c r="Q592" s="4360"/>
      <c r="R592" s="4360"/>
      <c r="S592" s="4360"/>
      <c r="T592" s="4360"/>
      <c r="U592" s="4360"/>
      <c r="V592" s="4360"/>
      <c r="W592" s="4360"/>
    </row>
    <row r="593" spans="2:23" s="4273" customFormat="1">
      <c r="B593" s="4360"/>
      <c r="C593" s="4360"/>
      <c r="D593" s="4360"/>
      <c r="E593" s="4360"/>
      <c r="F593" s="4360"/>
      <c r="G593" s="4360"/>
      <c r="H593" s="4360"/>
      <c r="I593" s="4360"/>
      <c r="J593" s="4360"/>
      <c r="K593" s="4360"/>
      <c r="L593" s="4361"/>
      <c r="M593" s="4360"/>
      <c r="N593" s="4360"/>
      <c r="O593" s="4360"/>
      <c r="P593" s="4360"/>
      <c r="Q593" s="4360"/>
      <c r="R593" s="4360"/>
      <c r="S593" s="4360"/>
      <c r="T593" s="4360"/>
      <c r="U593" s="4360"/>
      <c r="V593" s="4360"/>
      <c r="W593" s="4360"/>
    </row>
    <row r="594" spans="2:23" s="4273" customFormat="1">
      <c r="B594" s="4360"/>
      <c r="C594" s="4360"/>
      <c r="D594" s="4360"/>
      <c r="E594" s="4360"/>
      <c r="F594" s="4360"/>
      <c r="G594" s="4360"/>
      <c r="H594" s="4360"/>
      <c r="I594" s="4360"/>
      <c r="J594" s="4360"/>
      <c r="K594" s="4360"/>
      <c r="L594" s="4361"/>
      <c r="M594" s="4360"/>
      <c r="N594" s="4360"/>
      <c r="O594" s="4360"/>
      <c r="P594" s="4360"/>
      <c r="Q594" s="4360"/>
      <c r="R594" s="4360"/>
      <c r="S594" s="4360"/>
      <c r="T594" s="4360"/>
      <c r="U594" s="4360"/>
      <c r="V594" s="4360"/>
      <c r="W594" s="4360"/>
    </row>
    <row r="595" spans="2:23" s="4273" customFormat="1">
      <c r="B595" s="4360"/>
      <c r="C595" s="4360"/>
      <c r="D595" s="4360"/>
      <c r="E595" s="4360"/>
      <c r="F595" s="4360"/>
      <c r="G595" s="4360"/>
      <c r="H595" s="4360"/>
      <c r="I595" s="4360"/>
      <c r="J595" s="4360"/>
      <c r="K595" s="4360"/>
      <c r="L595" s="4361"/>
      <c r="M595" s="4360"/>
      <c r="N595" s="4360"/>
      <c r="O595" s="4360"/>
      <c r="P595" s="4360"/>
      <c r="Q595" s="4360"/>
      <c r="R595" s="4360"/>
      <c r="S595" s="4360"/>
      <c r="T595" s="4360"/>
      <c r="U595" s="4360"/>
      <c r="V595" s="4360"/>
      <c r="W595" s="4360"/>
    </row>
    <row r="596" spans="2:23" s="4273" customFormat="1">
      <c r="B596" s="4360"/>
      <c r="C596" s="4360"/>
      <c r="D596" s="4360"/>
      <c r="E596" s="4360"/>
      <c r="F596" s="4360"/>
      <c r="G596" s="4360"/>
      <c r="H596" s="4360"/>
      <c r="I596" s="4360"/>
      <c r="J596" s="4360"/>
      <c r="K596" s="4360"/>
      <c r="L596" s="4361"/>
      <c r="M596" s="4360"/>
      <c r="N596" s="4360"/>
      <c r="O596" s="4360"/>
      <c r="P596" s="4360"/>
      <c r="Q596" s="4360"/>
      <c r="R596" s="4360"/>
      <c r="S596" s="4360"/>
      <c r="T596" s="4360"/>
      <c r="U596" s="4360"/>
      <c r="V596" s="4360"/>
      <c r="W596" s="4360"/>
    </row>
    <row r="597" spans="2:23" s="4273" customFormat="1">
      <c r="B597" s="4360"/>
      <c r="C597" s="4360"/>
      <c r="D597" s="4360"/>
      <c r="E597" s="4360"/>
      <c r="F597" s="4360"/>
      <c r="G597" s="4360"/>
      <c r="H597" s="4360"/>
      <c r="I597" s="4360"/>
      <c r="J597" s="4360"/>
      <c r="K597" s="4360"/>
      <c r="L597" s="4361"/>
      <c r="M597" s="4360"/>
      <c r="N597" s="4360"/>
      <c r="O597" s="4360"/>
      <c r="P597" s="4360"/>
      <c r="Q597" s="4360"/>
      <c r="R597" s="4360"/>
      <c r="S597" s="4360"/>
      <c r="T597" s="4360"/>
      <c r="U597" s="4360"/>
      <c r="V597" s="4360"/>
      <c r="W597" s="4360"/>
    </row>
    <row r="598" spans="2:23" s="4273" customFormat="1">
      <c r="B598" s="4360"/>
      <c r="C598" s="4360"/>
      <c r="D598" s="4360"/>
      <c r="E598" s="4360"/>
      <c r="F598" s="4360"/>
      <c r="G598" s="4360"/>
      <c r="H598" s="4360"/>
      <c r="I598" s="4360"/>
      <c r="J598" s="4360"/>
      <c r="K598" s="4360"/>
      <c r="L598" s="4361"/>
      <c r="M598" s="4360"/>
      <c r="N598" s="4360"/>
      <c r="O598" s="4360"/>
      <c r="P598" s="4360"/>
      <c r="Q598" s="4360"/>
      <c r="R598" s="4360"/>
      <c r="S598" s="4360"/>
      <c r="T598" s="4360"/>
      <c r="U598" s="4360"/>
      <c r="V598" s="4360"/>
      <c r="W598" s="4360"/>
    </row>
    <row r="599" spans="2:23" s="4273" customFormat="1">
      <c r="B599" s="4360"/>
      <c r="C599" s="4360"/>
      <c r="D599" s="4360"/>
      <c r="E599" s="4360"/>
      <c r="F599" s="4360"/>
      <c r="G599" s="4360"/>
      <c r="H599" s="4360"/>
      <c r="I599" s="4360"/>
      <c r="J599" s="4360"/>
      <c r="K599" s="4360"/>
      <c r="L599" s="4361"/>
      <c r="M599" s="4360"/>
      <c r="N599" s="4360"/>
      <c r="O599" s="4360"/>
      <c r="P599" s="4360"/>
      <c r="Q599" s="4360"/>
      <c r="R599" s="4360"/>
      <c r="S599" s="4360"/>
      <c r="T599" s="4360"/>
      <c r="U599" s="4360"/>
      <c r="V599" s="4360"/>
      <c r="W599" s="4360"/>
    </row>
    <row r="600" spans="2:23" s="4273" customFormat="1">
      <c r="B600" s="4360"/>
      <c r="C600" s="4360"/>
      <c r="D600" s="4360"/>
      <c r="E600" s="4360"/>
      <c r="F600" s="4360"/>
      <c r="G600" s="4360"/>
      <c r="H600" s="4360"/>
      <c r="I600" s="4360"/>
      <c r="J600" s="4360"/>
      <c r="K600" s="4360"/>
      <c r="L600" s="4361"/>
      <c r="M600" s="4360"/>
      <c r="N600" s="4360"/>
      <c r="O600" s="4360"/>
      <c r="P600" s="4360"/>
      <c r="Q600" s="4360"/>
      <c r="R600" s="4360"/>
      <c r="S600" s="4360"/>
      <c r="T600" s="4360"/>
      <c r="U600" s="4360"/>
      <c r="V600" s="4360"/>
      <c r="W600" s="4360"/>
    </row>
    <row r="601" spans="2:23" s="4273" customFormat="1">
      <c r="B601" s="4360"/>
      <c r="C601" s="4360"/>
      <c r="D601" s="4360"/>
      <c r="E601" s="4360"/>
      <c r="F601" s="4360"/>
      <c r="G601" s="4360"/>
      <c r="H601" s="4360"/>
      <c r="I601" s="4360"/>
      <c r="J601" s="4360"/>
      <c r="K601" s="4360"/>
      <c r="L601" s="4361"/>
      <c r="M601" s="4360"/>
      <c r="N601" s="4360"/>
      <c r="O601" s="4360"/>
      <c r="P601" s="4360"/>
      <c r="Q601" s="4360"/>
      <c r="R601" s="4360"/>
      <c r="S601" s="4360"/>
      <c r="T601" s="4360"/>
      <c r="U601" s="4360"/>
      <c r="V601" s="4360"/>
      <c r="W601" s="4360"/>
    </row>
    <row r="602" spans="2:23" s="4273" customFormat="1">
      <c r="B602" s="4360"/>
      <c r="C602" s="4360"/>
      <c r="D602" s="4360"/>
      <c r="E602" s="4360"/>
      <c r="F602" s="4360"/>
      <c r="G602" s="4360"/>
      <c r="H602" s="4360"/>
      <c r="I602" s="4360"/>
      <c r="J602" s="4360"/>
      <c r="K602" s="4360"/>
      <c r="L602" s="4361"/>
      <c r="M602" s="4360"/>
      <c r="N602" s="4360"/>
      <c r="O602" s="4360"/>
      <c r="P602" s="4360"/>
      <c r="Q602" s="4360"/>
      <c r="R602" s="4360"/>
      <c r="S602" s="4360"/>
      <c r="T602" s="4360"/>
      <c r="U602" s="4360"/>
      <c r="V602" s="4360"/>
      <c r="W602" s="4360"/>
    </row>
    <row r="603" spans="2:23" s="4273" customFormat="1">
      <c r="B603" s="4360"/>
      <c r="C603" s="4360"/>
      <c r="D603" s="4360"/>
      <c r="E603" s="4360"/>
      <c r="F603" s="4360"/>
      <c r="G603" s="4360"/>
      <c r="H603" s="4360"/>
      <c r="I603" s="4360"/>
      <c r="J603" s="4360"/>
      <c r="K603" s="4360"/>
      <c r="L603" s="4361"/>
      <c r="M603" s="4360"/>
      <c r="N603" s="4360"/>
      <c r="O603" s="4360"/>
      <c r="P603" s="4360"/>
      <c r="Q603" s="4360"/>
      <c r="R603" s="4360"/>
      <c r="S603" s="4360"/>
      <c r="T603" s="4360"/>
      <c r="U603" s="4360"/>
      <c r="V603" s="4360"/>
      <c r="W603" s="4360"/>
    </row>
    <row r="604" spans="2:23" s="4273" customFormat="1">
      <c r="B604" s="4360"/>
      <c r="C604" s="4360"/>
      <c r="D604" s="4360"/>
      <c r="E604" s="4360"/>
      <c r="F604" s="4360"/>
      <c r="G604" s="4360"/>
      <c r="H604" s="4360"/>
      <c r="I604" s="4360"/>
      <c r="J604" s="4360"/>
      <c r="K604" s="4360"/>
      <c r="L604" s="4361"/>
      <c r="M604" s="4360"/>
      <c r="N604" s="4360"/>
      <c r="O604" s="4360"/>
      <c r="P604" s="4360"/>
      <c r="Q604" s="4360"/>
      <c r="R604" s="4360"/>
      <c r="S604" s="4360"/>
      <c r="T604" s="4360"/>
      <c r="U604" s="4360"/>
      <c r="V604" s="4360"/>
      <c r="W604" s="4360"/>
    </row>
    <row r="605" spans="2:23" s="4273" customFormat="1">
      <c r="B605" s="4360"/>
      <c r="C605" s="4360"/>
      <c r="D605" s="4360"/>
      <c r="E605" s="4360"/>
      <c r="F605" s="4360"/>
      <c r="G605" s="4360"/>
      <c r="H605" s="4360"/>
      <c r="I605" s="4360"/>
      <c r="J605" s="4360"/>
      <c r="K605" s="4360"/>
      <c r="L605" s="4361"/>
      <c r="M605" s="4360"/>
      <c r="N605" s="4360"/>
      <c r="O605" s="4360"/>
      <c r="P605" s="4360"/>
      <c r="Q605" s="4360"/>
      <c r="R605" s="4360"/>
      <c r="S605" s="4360"/>
      <c r="T605" s="4360"/>
      <c r="U605" s="4360"/>
      <c r="V605" s="4360"/>
      <c r="W605" s="4360"/>
    </row>
    <row r="606" spans="2:23" s="4273" customFormat="1">
      <c r="B606" s="4360"/>
      <c r="C606" s="4360"/>
      <c r="D606" s="4360"/>
      <c r="E606" s="4360"/>
      <c r="F606" s="4360"/>
      <c r="G606" s="4360"/>
      <c r="H606" s="4360"/>
      <c r="I606" s="4360"/>
      <c r="J606" s="4360"/>
      <c r="K606" s="4360"/>
      <c r="L606" s="4361"/>
      <c r="M606" s="4360"/>
      <c r="N606" s="4360"/>
      <c r="O606" s="4360"/>
      <c r="P606" s="4360"/>
      <c r="Q606" s="4360"/>
      <c r="R606" s="4360"/>
      <c r="S606" s="4360"/>
      <c r="T606" s="4360"/>
      <c r="U606" s="4360"/>
      <c r="V606" s="4360"/>
      <c r="W606" s="4360"/>
    </row>
    <row r="607" spans="2:23" s="4273" customFormat="1">
      <c r="B607" s="4360"/>
      <c r="C607" s="4360"/>
      <c r="D607" s="4360"/>
      <c r="E607" s="4360"/>
      <c r="F607" s="4360"/>
      <c r="G607" s="4360"/>
      <c r="H607" s="4360"/>
      <c r="I607" s="4360"/>
      <c r="J607" s="4360"/>
      <c r="K607" s="4360"/>
      <c r="L607" s="4361"/>
      <c r="M607" s="4360"/>
      <c r="N607" s="4360"/>
      <c r="O607" s="4360"/>
      <c r="P607" s="4360"/>
      <c r="Q607" s="4360"/>
      <c r="R607" s="4360"/>
      <c r="S607" s="4360"/>
      <c r="T607" s="4360"/>
      <c r="U607" s="4360"/>
      <c r="V607" s="4360"/>
      <c r="W607" s="4360"/>
    </row>
    <row r="608" spans="2:23" s="4273" customFormat="1">
      <c r="B608" s="4360"/>
      <c r="C608" s="4360"/>
      <c r="D608" s="4360"/>
      <c r="E608" s="4360"/>
      <c r="F608" s="4360"/>
      <c r="G608" s="4360"/>
      <c r="H608" s="4360"/>
      <c r="I608" s="4360"/>
      <c r="J608" s="4360"/>
      <c r="K608" s="4360"/>
      <c r="L608" s="4361"/>
      <c r="M608" s="4360"/>
      <c r="N608" s="4360"/>
      <c r="O608" s="4360"/>
      <c r="P608" s="4360"/>
      <c r="Q608" s="4360"/>
      <c r="R608" s="4360"/>
      <c r="S608" s="4360"/>
      <c r="T608" s="4360"/>
      <c r="U608" s="4360"/>
      <c r="V608" s="4360"/>
      <c r="W608" s="4360"/>
    </row>
    <row r="609" spans="2:23" s="4273" customFormat="1">
      <c r="B609" s="4360"/>
      <c r="C609" s="4360"/>
      <c r="D609" s="4360"/>
      <c r="E609" s="4360"/>
      <c r="F609" s="4360"/>
      <c r="G609" s="4360"/>
      <c r="H609" s="4360"/>
      <c r="I609" s="4360"/>
      <c r="J609" s="4360"/>
      <c r="K609" s="4360"/>
      <c r="L609" s="4361"/>
      <c r="M609" s="4360"/>
      <c r="N609" s="4360"/>
      <c r="O609" s="4360"/>
      <c r="P609" s="4360"/>
      <c r="Q609" s="4360"/>
      <c r="R609" s="4360"/>
      <c r="S609" s="4360"/>
      <c r="T609" s="4360"/>
      <c r="U609" s="4360"/>
      <c r="V609" s="4360"/>
      <c r="W609" s="4360"/>
    </row>
    <row r="610" spans="2:23" s="4273" customFormat="1">
      <c r="B610" s="4360"/>
      <c r="C610" s="4360"/>
      <c r="D610" s="4360"/>
      <c r="E610" s="4360"/>
      <c r="F610" s="4360"/>
      <c r="G610" s="4360"/>
      <c r="H610" s="4360"/>
      <c r="I610" s="4360"/>
      <c r="J610" s="4360"/>
      <c r="K610" s="4360"/>
      <c r="L610" s="4361"/>
      <c r="M610" s="4360"/>
      <c r="N610" s="4360"/>
      <c r="O610" s="4360"/>
      <c r="P610" s="4360"/>
      <c r="Q610" s="4360"/>
      <c r="R610" s="4360"/>
      <c r="S610" s="4360"/>
      <c r="T610" s="4360"/>
      <c r="U610" s="4360"/>
      <c r="V610" s="4360"/>
      <c r="W610" s="4360"/>
    </row>
    <row r="611" spans="2:23" s="4273" customFormat="1">
      <c r="B611" s="4360"/>
      <c r="C611" s="4360"/>
      <c r="D611" s="4360"/>
      <c r="E611" s="4360"/>
      <c r="F611" s="4360"/>
      <c r="G611" s="4360"/>
      <c r="H611" s="4360"/>
      <c r="I611" s="4360"/>
      <c r="J611" s="4360"/>
      <c r="K611" s="4360"/>
      <c r="L611" s="4361"/>
      <c r="M611" s="4360"/>
      <c r="N611" s="4360"/>
      <c r="O611" s="4360"/>
      <c r="P611" s="4360"/>
      <c r="Q611" s="4360"/>
      <c r="R611" s="4360"/>
      <c r="S611" s="4360"/>
      <c r="T611" s="4360"/>
      <c r="U611" s="4360"/>
      <c r="V611" s="4360"/>
      <c r="W611" s="4360"/>
    </row>
    <row r="612" spans="2:23" s="4273" customFormat="1">
      <c r="B612" s="4360"/>
      <c r="C612" s="4360"/>
      <c r="D612" s="4360"/>
      <c r="E612" s="4360"/>
      <c r="F612" s="4360"/>
      <c r="G612" s="4360"/>
      <c r="H612" s="4360"/>
      <c r="I612" s="4360"/>
      <c r="J612" s="4360"/>
      <c r="K612" s="4360"/>
      <c r="L612" s="4361"/>
      <c r="M612" s="4360"/>
      <c r="N612" s="4360"/>
      <c r="O612" s="4360"/>
      <c r="P612" s="4360"/>
      <c r="Q612" s="4360"/>
      <c r="R612" s="4360"/>
      <c r="S612" s="4360"/>
      <c r="T612" s="4360"/>
      <c r="U612" s="4360"/>
      <c r="V612" s="4360"/>
      <c r="W612" s="4360"/>
    </row>
    <row r="613" spans="2:23" s="4273" customFormat="1">
      <c r="B613" s="4360"/>
      <c r="C613" s="4360"/>
      <c r="D613" s="4360"/>
      <c r="E613" s="4360"/>
      <c r="F613" s="4360"/>
      <c r="G613" s="4360"/>
      <c r="H613" s="4360"/>
      <c r="I613" s="4360"/>
      <c r="J613" s="4360"/>
      <c r="K613" s="4360"/>
      <c r="L613" s="4361"/>
      <c r="M613" s="4360"/>
      <c r="N613" s="4360"/>
      <c r="O613" s="4360"/>
      <c r="P613" s="4360"/>
      <c r="Q613" s="4360"/>
      <c r="R613" s="4360"/>
      <c r="S613" s="4360"/>
      <c r="T613" s="4360"/>
      <c r="U613" s="4360"/>
      <c r="V613" s="4360"/>
      <c r="W613" s="4360"/>
    </row>
    <row r="614" spans="2:23" s="4273" customFormat="1">
      <c r="B614" s="4360"/>
      <c r="C614" s="4360"/>
      <c r="D614" s="4360"/>
      <c r="E614" s="4360"/>
      <c r="F614" s="4360"/>
      <c r="G614" s="4360"/>
      <c r="H614" s="4360"/>
      <c r="I614" s="4360"/>
      <c r="J614" s="4360"/>
      <c r="K614" s="4360"/>
      <c r="L614" s="4361"/>
      <c r="M614" s="4360"/>
      <c r="N614" s="4360"/>
      <c r="O614" s="4360"/>
      <c r="P614" s="4360"/>
      <c r="Q614" s="4360"/>
      <c r="R614" s="4360"/>
      <c r="S614" s="4360"/>
      <c r="T614" s="4360"/>
      <c r="U614" s="4360"/>
      <c r="V614" s="4360"/>
      <c r="W614" s="4360"/>
    </row>
    <row r="615" spans="2:23" s="4273" customFormat="1">
      <c r="B615" s="4360"/>
      <c r="C615" s="4360"/>
      <c r="D615" s="4360"/>
      <c r="E615" s="4360"/>
      <c r="F615" s="4360"/>
      <c r="G615" s="4360"/>
      <c r="H615" s="4360"/>
      <c r="I615" s="4360"/>
      <c r="J615" s="4360"/>
      <c r="K615" s="4360"/>
      <c r="L615" s="4361"/>
      <c r="M615" s="4360"/>
      <c r="N615" s="4360"/>
      <c r="O615" s="4360"/>
      <c r="P615" s="4360"/>
      <c r="Q615" s="4360"/>
      <c r="R615" s="4360"/>
      <c r="S615" s="4360"/>
      <c r="T615" s="4360"/>
      <c r="U615" s="4360"/>
      <c r="V615" s="4360"/>
      <c r="W615" s="4360"/>
    </row>
    <row r="616" spans="2:23" s="4273" customFormat="1">
      <c r="B616" s="4360"/>
      <c r="C616" s="4360"/>
      <c r="D616" s="4360"/>
      <c r="E616" s="4360"/>
      <c r="F616" s="4360"/>
      <c r="G616" s="4360"/>
      <c r="H616" s="4360"/>
      <c r="I616" s="4360"/>
      <c r="J616" s="4360"/>
      <c r="K616" s="4360"/>
      <c r="L616" s="4361"/>
      <c r="M616" s="4360"/>
      <c r="N616" s="4360"/>
      <c r="O616" s="4360"/>
      <c r="P616" s="4360"/>
      <c r="Q616" s="4360"/>
      <c r="R616" s="4360"/>
      <c r="S616" s="4360"/>
      <c r="T616" s="4360"/>
      <c r="U616" s="4360"/>
      <c r="V616" s="4360"/>
      <c r="W616" s="4360"/>
    </row>
    <row r="617" spans="2:23" s="4273" customFormat="1">
      <c r="B617" s="4360"/>
      <c r="C617" s="4360"/>
      <c r="D617" s="4360"/>
      <c r="E617" s="4360"/>
      <c r="F617" s="4360"/>
      <c r="G617" s="4360"/>
      <c r="H617" s="4360"/>
      <c r="I617" s="4360"/>
      <c r="J617" s="4360"/>
      <c r="K617" s="4360"/>
      <c r="L617" s="4361"/>
      <c r="M617" s="4360"/>
      <c r="N617" s="4360"/>
      <c r="O617" s="4360"/>
      <c r="P617" s="4360"/>
      <c r="Q617" s="4360"/>
      <c r="R617" s="4360"/>
      <c r="S617" s="4360"/>
      <c r="T617" s="4360"/>
      <c r="U617" s="4360"/>
      <c r="V617" s="4360"/>
      <c r="W617" s="4360"/>
    </row>
    <row r="618" spans="2:23" s="4273" customFormat="1">
      <c r="B618" s="4360"/>
      <c r="C618" s="4360"/>
      <c r="D618" s="4360"/>
      <c r="E618" s="4360"/>
      <c r="F618" s="4360"/>
      <c r="G618" s="4360"/>
      <c r="H618" s="4360"/>
      <c r="I618" s="4360"/>
      <c r="J618" s="4360"/>
      <c r="K618" s="4360"/>
      <c r="L618" s="4361"/>
      <c r="M618" s="4360"/>
      <c r="N618" s="4360"/>
      <c r="O618" s="4360"/>
      <c r="P618" s="4360"/>
      <c r="Q618" s="4360"/>
      <c r="R618" s="4360"/>
      <c r="S618" s="4360"/>
      <c r="T618" s="4360"/>
      <c r="U618" s="4360"/>
      <c r="V618" s="4360"/>
      <c r="W618" s="4360"/>
    </row>
    <row r="619" spans="2:23" s="4273" customFormat="1">
      <c r="B619" s="4360"/>
      <c r="C619" s="4360"/>
      <c r="D619" s="4360"/>
      <c r="E619" s="4360"/>
      <c r="F619" s="4360"/>
      <c r="G619" s="4360"/>
      <c r="H619" s="4360"/>
      <c r="I619" s="4360"/>
      <c r="J619" s="4360"/>
      <c r="K619" s="4360"/>
      <c r="L619" s="4361"/>
      <c r="M619" s="4360"/>
      <c r="N619" s="4360"/>
      <c r="O619" s="4360"/>
      <c r="P619" s="4360"/>
      <c r="Q619" s="4360"/>
      <c r="R619" s="4360"/>
      <c r="S619" s="4360"/>
      <c r="T619" s="4360"/>
      <c r="U619" s="4360"/>
      <c r="V619" s="4360"/>
      <c r="W619" s="4360"/>
    </row>
    <row r="620" spans="2:23" s="4273" customFormat="1">
      <c r="B620" s="4360"/>
      <c r="C620" s="4360"/>
      <c r="D620" s="4360"/>
      <c r="E620" s="4360"/>
      <c r="F620" s="4360"/>
      <c r="G620" s="4360"/>
      <c r="H620" s="4360"/>
      <c r="I620" s="4360"/>
      <c r="J620" s="4360"/>
      <c r="K620" s="4360"/>
      <c r="L620" s="4361"/>
      <c r="M620" s="4360"/>
      <c r="N620" s="4360"/>
      <c r="O620" s="4360"/>
      <c r="P620" s="4360"/>
      <c r="Q620" s="4360"/>
      <c r="R620" s="4360"/>
      <c r="S620" s="4360"/>
      <c r="T620" s="4360"/>
      <c r="U620" s="4360"/>
      <c r="V620" s="4360"/>
      <c r="W620" s="4360"/>
    </row>
    <row r="621" spans="2:23" s="4273" customFormat="1">
      <c r="B621" s="4360"/>
      <c r="C621" s="4360"/>
      <c r="D621" s="4360"/>
      <c r="E621" s="4360"/>
      <c r="F621" s="4360"/>
      <c r="G621" s="4360"/>
      <c r="H621" s="4360"/>
      <c r="I621" s="4360"/>
      <c r="J621" s="4360"/>
      <c r="K621" s="4360"/>
      <c r="L621" s="4361"/>
      <c r="M621" s="4360"/>
      <c r="N621" s="4360"/>
      <c r="O621" s="4360"/>
      <c r="P621" s="4360"/>
      <c r="Q621" s="4360"/>
      <c r="R621" s="4360"/>
      <c r="S621" s="4360"/>
      <c r="T621" s="4360"/>
      <c r="U621" s="4360"/>
      <c r="V621" s="4360"/>
      <c r="W621" s="4360"/>
    </row>
    <row r="622" spans="2:23" s="4273" customFormat="1">
      <c r="B622" s="4360"/>
      <c r="C622" s="4360"/>
      <c r="D622" s="4360"/>
      <c r="E622" s="4360"/>
      <c r="F622" s="4360"/>
      <c r="G622" s="4360"/>
      <c r="H622" s="4360"/>
      <c r="I622" s="4360"/>
      <c r="J622" s="4360"/>
      <c r="K622" s="4360"/>
      <c r="L622" s="4361"/>
      <c r="M622" s="4360"/>
      <c r="N622" s="4360"/>
      <c r="O622" s="4360"/>
      <c r="P622" s="4360"/>
      <c r="Q622" s="4360"/>
      <c r="R622" s="4360"/>
      <c r="S622" s="4360"/>
      <c r="T622" s="4360"/>
      <c r="U622" s="4360"/>
      <c r="V622" s="4360"/>
      <c r="W622" s="4360"/>
    </row>
    <row r="623" spans="2:23" s="4273" customFormat="1">
      <c r="B623" s="4360"/>
      <c r="C623" s="4360"/>
      <c r="D623" s="4360"/>
      <c r="E623" s="4360"/>
      <c r="F623" s="4360"/>
      <c r="G623" s="4360"/>
      <c r="H623" s="4360"/>
      <c r="I623" s="4360"/>
      <c r="J623" s="4360"/>
      <c r="K623" s="4360"/>
      <c r="L623" s="4361"/>
      <c r="M623" s="4360"/>
      <c r="N623" s="4360"/>
      <c r="O623" s="4360"/>
      <c r="P623" s="4360"/>
      <c r="Q623" s="4360"/>
      <c r="R623" s="4360"/>
      <c r="S623" s="4360"/>
      <c r="T623" s="4360"/>
      <c r="U623" s="4360"/>
      <c r="V623" s="4360"/>
      <c r="W623" s="4360"/>
    </row>
    <row r="624" spans="2:23" s="4273" customFormat="1">
      <c r="B624" s="4360"/>
      <c r="C624" s="4360"/>
      <c r="D624" s="4360"/>
      <c r="E624" s="4360"/>
      <c r="F624" s="4360"/>
      <c r="G624" s="4360"/>
      <c r="H624" s="4360"/>
      <c r="I624" s="4360"/>
      <c r="J624" s="4360"/>
      <c r="K624" s="4360"/>
      <c r="L624" s="4361"/>
      <c r="M624" s="4360"/>
      <c r="N624" s="4360"/>
      <c r="O624" s="4360"/>
      <c r="P624" s="4360"/>
      <c r="Q624" s="4360"/>
      <c r="R624" s="4360"/>
      <c r="S624" s="4360"/>
      <c r="T624" s="4360"/>
      <c r="U624" s="4360"/>
      <c r="V624" s="4360"/>
      <c r="W624" s="4360"/>
    </row>
    <row r="625" spans="2:23" s="4273" customFormat="1">
      <c r="B625" s="4360"/>
      <c r="C625" s="4360"/>
      <c r="D625" s="4360"/>
      <c r="E625" s="4360"/>
      <c r="F625" s="4360"/>
      <c r="G625" s="4360"/>
      <c r="H625" s="4360"/>
      <c r="I625" s="4360"/>
      <c r="J625" s="4360"/>
      <c r="K625" s="4360"/>
      <c r="L625" s="4361"/>
      <c r="M625" s="4360"/>
      <c r="N625" s="4360"/>
      <c r="O625" s="4360"/>
      <c r="P625" s="4360"/>
      <c r="Q625" s="4360"/>
      <c r="R625" s="4360"/>
      <c r="S625" s="4360"/>
      <c r="T625" s="4360"/>
      <c r="U625" s="4360"/>
      <c r="V625" s="4360"/>
      <c r="W625" s="4360"/>
    </row>
    <row r="626" spans="2:23" s="4273" customFormat="1">
      <c r="B626" s="4360"/>
      <c r="C626" s="4360"/>
      <c r="D626" s="4360"/>
      <c r="E626" s="4360"/>
      <c r="F626" s="4360"/>
      <c r="G626" s="4360"/>
      <c r="H626" s="4360"/>
      <c r="I626" s="4360"/>
      <c r="J626" s="4360"/>
      <c r="K626" s="4360"/>
      <c r="L626" s="4361"/>
      <c r="M626" s="4360"/>
      <c r="N626" s="4360"/>
      <c r="O626" s="4360"/>
      <c r="P626" s="4360"/>
      <c r="Q626" s="4360"/>
      <c r="R626" s="4360"/>
      <c r="S626" s="4360"/>
      <c r="T626" s="4360"/>
      <c r="U626" s="4360"/>
      <c r="V626" s="4360"/>
      <c r="W626" s="4360"/>
    </row>
    <row r="627" spans="2:23" s="4273" customFormat="1">
      <c r="B627" s="4360"/>
      <c r="C627" s="4360"/>
      <c r="D627" s="4360"/>
      <c r="E627" s="4360"/>
      <c r="F627" s="4360"/>
      <c r="G627" s="4360"/>
      <c r="H627" s="4360"/>
      <c r="I627" s="4360"/>
      <c r="J627" s="4360"/>
      <c r="K627" s="4360"/>
      <c r="L627" s="4361"/>
      <c r="M627" s="4360"/>
      <c r="N627" s="4360"/>
      <c r="O627" s="4360"/>
      <c r="P627" s="4360"/>
      <c r="Q627" s="4360"/>
      <c r="R627" s="4360"/>
      <c r="S627" s="4360"/>
      <c r="T627" s="4360"/>
      <c r="U627" s="4360"/>
      <c r="V627" s="4360"/>
      <c r="W627" s="4360"/>
    </row>
    <row r="628" spans="2:23" s="4273" customFormat="1">
      <c r="B628" s="4360"/>
      <c r="C628" s="4360"/>
      <c r="D628" s="4360"/>
      <c r="E628" s="4360"/>
      <c r="F628" s="4360"/>
      <c r="G628" s="4360"/>
      <c r="H628" s="4360"/>
      <c r="I628" s="4360"/>
      <c r="J628" s="4360"/>
      <c r="K628" s="4360"/>
      <c r="L628" s="4361"/>
      <c r="M628" s="4360"/>
      <c r="N628" s="4360"/>
      <c r="O628" s="4360"/>
      <c r="P628" s="4360"/>
      <c r="Q628" s="4360"/>
      <c r="R628" s="4360"/>
      <c r="S628" s="4360"/>
      <c r="T628" s="4360"/>
      <c r="U628" s="4360"/>
      <c r="V628" s="4360"/>
      <c r="W628" s="4360"/>
    </row>
    <row r="629" spans="2:23" s="4273" customFormat="1">
      <c r="B629" s="4360"/>
      <c r="C629" s="4360"/>
      <c r="D629" s="4360"/>
      <c r="E629" s="4360"/>
      <c r="F629" s="4360"/>
      <c r="G629" s="4360"/>
      <c r="H629" s="4360"/>
      <c r="I629" s="4360"/>
      <c r="J629" s="4360"/>
      <c r="K629" s="4360"/>
      <c r="L629" s="4361"/>
      <c r="M629" s="4360"/>
      <c r="N629" s="4360"/>
      <c r="O629" s="4360"/>
      <c r="P629" s="4360"/>
      <c r="Q629" s="4360"/>
      <c r="R629" s="4360"/>
      <c r="S629" s="4360"/>
      <c r="T629" s="4360"/>
      <c r="U629" s="4360"/>
      <c r="V629" s="4360"/>
      <c r="W629" s="4360"/>
    </row>
    <row r="630" spans="2:23" s="4273" customFormat="1">
      <c r="B630" s="4360"/>
      <c r="C630" s="4360"/>
      <c r="D630" s="4360"/>
      <c r="E630" s="4360"/>
      <c r="F630" s="4360"/>
      <c r="G630" s="4360"/>
      <c r="H630" s="4360"/>
      <c r="I630" s="4360"/>
      <c r="J630" s="4360"/>
      <c r="K630" s="4360"/>
      <c r="L630" s="4361"/>
      <c r="M630" s="4360"/>
      <c r="N630" s="4360"/>
      <c r="O630" s="4360"/>
      <c r="P630" s="4360"/>
      <c r="Q630" s="4360"/>
      <c r="R630" s="4360"/>
      <c r="S630" s="4360"/>
      <c r="T630" s="4360"/>
      <c r="U630" s="4360"/>
      <c r="V630" s="4360"/>
      <c r="W630" s="4360"/>
    </row>
    <row r="631" spans="2:23" s="4273" customFormat="1">
      <c r="B631" s="4360"/>
      <c r="C631" s="4360"/>
      <c r="D631" s="4360"/>
      <c r="E631" s="4360"/>
      <c r="F631" s="4360"/>
      <c r="G631" s="4360"/>
      <c r="H631" s="4360"/>
      <c r="I631" s="4360"/>
      <c r="J631" s="4360"/>
      <c r="K631" s="4360"/>
      <c r="L631" s="4361"/>
      <c r="M631" s="4360"/>
      <c r="N631" s="4360"/>
      <c r="O631" s="4360"/>
      <c r="P631" s="4360"/>
      <c r="Q631" s="4360"/>
      <c r="R631" s="4360"/>
      <c r="S631" s="4360"/>
      <c r="T631" s="4360"/>
      <c r="U631" s="4360"/>
      <c r="V631" s="4360"/>
      <c r="W631" s="4360"/>
    </row>
    <row r="632" spans="2:23" s="4273" customFormat="1">
      <c r="B632" s="4360"/>
      <c r="C632" s="4360"/>
      <c r="D632" s="4360"/>
      <c r="E632" s="4360"/>
      <c r="F632" s="4360"/>
      <c r="G632" s="4360"/>
      <c r="H632" s="4360"/>
      <c r="I632" s="4360"/>
      <c r="J632" s="4360"/>
      <c r="K632" s="4360"/>
      <c r="L632" s="4361"/>
      <c r="M632" s="4360"/>
      <c r="N632" s="4360"/>
      <c r="O632" s="4360"/>
      <c r="P632" s="4360"/>
      <c r="Q632" s="4360"/>
      <c r="R632" s="4360"/>
      <c r="S632" s="4360"/>
      <c r="T632" s="4360"/>
      <c r="U632" s="4360"/>
      <c r="V632" s="4360"/>
      <c r="W632" s="4360"/>
    </row>
    <row r="633" spans="2:23" s="4273" customFormat="1">
      <c r="B633" s="4360"/>
      <c r="C633" s="4360"/>
      <c r="D633" s="4360"/>
      <c r="E633" s="4360"/>
      <c r="F633" s="4360"/>
      <c r="G633" s="4360"/>
      <c r="H633" s="4360"/>
      <c r="I633" s="4360"/>
      <c r="J633" s="4360"/>
      <c r="K633" s="4360"/>
      <c r="L633" s="4361"/>
      <c r="M633" s="4360"/>
      <c r="N633" s="4360"/>
      <c r="O633" s="4360"/>
      <c r="P633" s="4360"/>
      <c r="Q633" s="4360"/>
      <c r="R633" s="4360"/>
      <c r="S633" s="4360"/>
      <c r="T633" s="4360"/>
      <c r="U633" s="4360"/>
      <c r="V633" s="4360"/>
      <c r="W633" s="4360"/>
    </row>
    <row r="634" spans="2:23" s="4273" customFormat="1">
      <c r="B634" s="4360"/>
      <c r="C634" s="4360"/>
      <c r="D634" s="4360"/>
      <c r="E634" s="4360"/>
      <c r="F634" s="4360"/>
      <c r="G634" s="4360"/>
      <c r="H634" s="4360"/>
      <c r="I634" s="4360"/>
      <c r="J634" s="4360"/>
      <c r="K634" s="4360"/>
      <c r="L634" s="4361"/>
      <c r="M634" s="4360"/>
      <c r="N634" s="4360"/>
      <c r="O634" s="4360"/>
      <c r="P634" s="4360"/>
      <c r="Q634" s="4360"/>
      <c r="R634" s="4360"/>
      <c r="S634" s="4360"/>
      <c r="T634" s="4360"/>
      <c r="U634" s="4360"/>
      <c r="V634" s="4360"/>
      <c r="W634" s="4360"/>
    </row>
    <row r="635" spans="2:23" s="4273" customFormat="1">
      <c r="B635" s="4360"/>
      <c r="C635" s="4360"/>
      <c r="D635" s="4360"/>
      <c r="E635" s="4360"/>
      <c r="F635" s="4360"/>
      <c r="G635" s="4360"/>
      <c r="H635" s="4360"/>
      <c r="I635" s="4360"/>
      <c r="J635" s="4360"/>
      <c r="K635" s="4360"/>
      <c r="L635" s="4361"/>
      <c r="M635" s="4360"/>
      <c r="N635" s="4360"/>
      <c r="O635" s="4360"/>
      <c r="P635" s="4360"/>
      <c r="Q635" s="4360"/>
      <c r="R635" s="4360"/>
      <c r="S635" s="4360"/>
      <c r="T635" s="4360"/>
      <c r="U635" s="4360"/>
      <c r="V635" s="4360"/>
      <c r="W635" s="4360"/>
    </row>
    <row r="636" spans="2:23" s="4273" customFormat="1">
      <c r="B636" s="4360"/>
      <c r="C636" s="4360"/>
      <c r="D636" s="4360"/>
      <c r="E636" s="4360"/>
      <c r="F636" s="4360"/>
      <c r="G636" s="4360"/>
      <c r="H636" s="4360"/>
      <c r="I636" s="4360"/>
      <c r="J636" s="4360"/>
      <c r="K636" s="4360"/>
      <c r="L636" s="4361"/>
      <c r="M636" s="4360"/>
      <c r="N636" s="4360"/>
      <c r="O636" s="4360"/>
      <c r="P636" s="4360"/>
      <c r="Q636" s="4360"/>
      <c r="R636" s="4360"/>
      <c r="S636" s="4360"/>
      <c r="T636" s="4360"/>
      <c r="U636" s="4360"/>
      <c r="V636" s="4360"/>
      <c r="W636" s="4360"/>
    </row>
    <row r="637" spans="2:23" s="4273" customFormat="1">
      <c r="B637" s="4360"/>
      <c r="C637" s="4360"/>
      <c r="D637" s="4360"/>
      <c r="E637" s="4360"/>
      <c r="F637" s="4360"/>
      <c r="G637" s="4360"/>
      <c r="H637" s="4360"/>
      <c r="I637" s="4360"/>
      <c r="J637" s="4360"/>
      <c r="K637" s="4360"/>
      <c r="L637" s="4361"/>
      <c r="M637" s="4360"/>
      <c r="N637" s="4360"/>
      <c r="O637" s="4360"/>
      <c r="P637" s="4360"/>
      <c r="Q637" s="4360"/>
      <c r="R637" s="4360"/>
      <c r="S637" s="4360"/>
      <c r="T637" s="4360"/>
      <c r="U637" s="4360"/>
      <c r="V637" s="4360"/>
      <c r="W637" s="4360"/>
    </row>
    <row r="638" spans="2:23" s="4273" customFormat="1">
      <c r="B638" s="4360"/>
      <c r="C638" s="4360"/>
      <c r="D638" s="4360"/>
      <c r="E638" s="4360"/>
      <c r="F638" s="4360"/>
      <c r="G638" s="4360"/>
      <c r="H638" s="4360"/>
      <c r="I638" s="4360"/>
      <c r="J638" s="4360"/>
      <c r="K638" s="4360"/>
      <c r="L638" s="4361"/>
      <c r="M638" s="4360"/>
      <c r="N638" s="4360"/>
      <c r="O638" s="4360"/>
      <c r="P638" s="4360"/>
      <c r="Q638" s="4360"/>
      <c r="R638" s="4360"/>
      <c r="S638" s="4360"/>
      <c r="T638" s="4360"/>
      <c r="U638" s="4360"/>
      <c r="V638" s="4360"/>
      <c r="W638" s="4360"/>
    </row>
    <row r="639" spans="2:23" s="4273" customFormat="1">
      <c r="B639" s="4360"/>
      <c r="C639" s="4360"/>
      <c r="D639" s="4360"/>
      <c r="E639" s="4360"/>
      <c r="F639" s="4360"/>
      <c r="G639" s="4360"/>
      <c r="H639" s="4360"/>
      <c r="I639" s="4360"/>
      <c r="J639" s="4360"/>
      <c r="K639" s="4360"/>
      <c r="L639" s="4361"/>
      <c r="M639" s="4360"/>
      <c r="N639" s="4360"/>
      <c r="O639" s="4360"/>
      <c r="P639" s="4360"/>
      <c r="Q639" s="4360"/>
      <c r="R639" s="4360"/>
      <c r="S639" s="4360"/>
      <c r="T639" s="4360"/>
      <c r="U639" s="4360"/>
      <c r="V639" s="4360"/>
      <c r="W639" s="4360"/>
    </row>
    <row r="640" spans="2:23" s="4273" customFormat="1">
      <c r="B640" s="4360"/>
      <c r="C640" s="4360"/>
      <c r="D640" s="4360"/>
      <c r="E640" s="4360"/>
      <c r="F640" s="4360"/>
      <c r="G640" s="4360"/>
      <c r="H640" s="4360"/>
      <c r="I640" s="4360"/>
      <c r="J640" s="4360"/>
      <c r="K640" s="4360"/>
      <c r="L640" s="4361"/>
      <c r="M640" s="4360"/>
      <c r="N640" s="4360"/>
      <c r="O640" s="4360"/>
      <c r="P640" s="4360"/>
      <c r="Q640" s="4360"/>
      <c r="R640" s="4360"/>
      <c r="S640" s="4360"/>
      <c r="T640" s="4360"/>
      <c r="U640" s="4360"/>
      <c r="V640" s="4360"/>
      <c r="W640" s="4360"/>
    </row>
    <row r="641" spans="2:23" s="4273" customFormat="1">
      <c r="B641" s="4360"/>
      <c r="C641" s="4360"/>
      <c r="D641" s="4360"/>
      <c r="E641" s="4360"/>
      <c r="F641" s="4360"/>
      <c r="G641" s="4360"/>
      <c r="H641" s="4360"/>
      <c r="I641" s="4360"/>
      <c r="J641" s="4360"/>
      <c r="K641" s="4360"/>
      <c r="L641" s="4361"/>
      <c r="M641" s="4360"/>
      <c r="N641" s="4360"/>
      <c r="O641" s="4360"/>
      <c r="P641" s="4360"/>
      <c r="Q641" s="4360"/>
      <c r="R641" s="4360"/>
      <c r="S641" s="4360"/>
      <c r="T641" s="4360"/>
      <c r="U641" s="4360"/>
      <c r="V641" s="4360"/>
      <c r="W641" s="4360"/>
    </row>
    <row r="642" spans="2:23" s="4273" customFormat="1">
      <c r="B642" s="4360"/>
      <c r="C642" s="4360"/>
      <c r="D642" s="4360"/>
      <c r="E642" s="4360"/>
      <c r="F642" s="4360"/>
      <c r="G642" s="4360"/>
      <c r="H642" s="4360"/>
      <c r="I642" s="4360"/>
      <c r="J642" s="4360"/>
      <c r="K642" s="4360"/>
      <c r="L642" s="4361"/>
      <c r="M642" s="4360"/>
      <c r="N642" s="4360"/>
      <c r="O642" s="4360"/>
      <c r="P642" s="4360"/>
      <c r="Q642" s="4360"/>
      <c r="R642" s="4360"/>
      <c r="S642" s="4360"/>
      <c r="T642" s="4360"/>
      <c r="U642" s="4360"/>
      <c r="V642" s="4360"/>
      <c r="W642" s="4360"/>
    </row>
    <row r="643" spans="2:23" s="4273" customFormat="1">
      <c r="B643" s="4360"/>
      <c r="C643" s="4360"/>
      <c r="D643" s="4360"/>
      <c r="E643" s="4360"/>
      <c r="F643" s="4360"/>
      <c r="G643" s="4360"/>
      <c r="H643" s="4360"/>
      <c r="I643" s="4360"/>
      <c r="J643" s="4360"/>
      <c r="K643" s="4360"/>
      <c r="L643" s="4361"/>
      <c r="M643" s="4360"/>
      <c r="N643" s="4360"/>
      <c r="O643" s="4360"/>
      <c r="P643" s="4360"/>
      <c r="Q643" s="4360"/>
      <c r="R643" s="4360"/>
      <c r="S643" s="4360"/>
      <c r="T643" s="4360"/>
      <c r="U643" s="4360"/>
      <c r="V643" s="4360"/>
      <c r="W643" s="4360"/>
    </row>
    <row r="644" spans="2:23" s="4273" customFormat="1">
      <c r="B644" s="4360"/>
      <c r="C644" s="4360"/>
      <c r="D644" s="4360"/>
      <c r="E644" s="4360"/>
      <c r="F644" s="4360"/>
      <c r="G644" s="4360"/>
      <c r="H644" s="4360"/>
      <c r="I644" s="4360"/>
      <c r="J644" s="4360"/>
      <c r="K644" s="4360"/>
      <c r="L644" s="4361"/>
      <c r="M644" s="4360"/>
      <c r="N644" s="4360"/>
      <c r="O644" s="4360"/>
      <c r="P644" s="4360"/>
      <c r="Q644" s="4360"/>
      <c r="R644" s="4360"/>
      <c r="S644" s="4360"/>
      <c r="T644" s="4360"/>
      <c r="U644" s="4360"/>
      <c r="V644" s="4360"/>
      <c r="W644" s="4360"/>
    </row>
    <row r="645" spans="2:23" s="4273" customFormat="1">
      <c r="B645" s="4360"/>
      <c r="C645" s="4360"/>
      <c r="D645" s="4360"/>
      <c r="E645" s="4360"/>
      <c r="F645" s="4360"/>
      <c r="G645" s="4360"/>
      <c r="H645" s="4360"/>
      <c r="I645" s="4360"/>
      <c r="J645" s="4360"/>
      <c r="K645" s="4360"/>
      <c r="L645" s="4361"/>
      <c r="M645" s="4360"/>
      <c r="N645" s="4360"/>
      <c r="O645" s="4360"/>
      <c r="P645" s="4360"/>
      <c r="Q645" s="4360"/>
      <c r="R645" s="4360"/>
      <c r="S645" s="4360"/>
      <c r="T645" s="4360"/>
      <c r="U645" s="4360"/>
      <c r="V645" s="4360"/>
      <c r="W645" s="4360"/>
    </row>
    <row r="646" spans="2:23" s="4273" customFormat="1">
      <c r="B646" s="4360"/>
      <c r="C646" s="4360"/>
      <c r="D646" s="4360"/>
      <c r="E646" s="4360"/>
      <c r="F646" s="4360"/>
      <c r="G646" s="4360"/>
      <c r="H646" s="4360"/>
      <c r="I646" s="4360"/>
      <c r="J646" s="4360"/>
      <c r="K646" s="4360"/>
      <c r="L646" s="4361"/>
      <c r="M646" s="4360"/>
      <c r="N646" s="4360"/>
      <c r="O646" s="4360"/>
      <c r="P646" s="4360"/>
      <c r="Q646" s="4360"/>
      <c r="R646" s="4360"/>
      <c r="S646" s="4360"/>
      <c r="T646" s="4360"/>
      <c r="U646" s="4360"/>
      <c r="V646" s="4360"/>
      <c r="W646" s="4360"/>
    </row>
    <row r="647" spans="2:23" s="4273" customFormat="1">
      <c r="B647" s="4360"/>
      <c r="C647" s="4360"/>
      <c r="D647" s="4360"/>
      <c r="E647" s="4360"/>
      <c r="F647" s="4360"/>
      <c r="G647" s="4360"/>
      <c r="H647" s="4360"/>
      <c r="I647" s="4360"/>
      <c r="J647" s="4360"/>
      <c r="K647" s="4360"/>
      <c r="L647" s="4361"/>
      <c r="M647" s="4360"/>
      <c r="N647" s="4360"/>
      <c r="O647" s="4360"/>
      <c r="P647" s="4360"/>
      <c r="Q647" s="4360"/>
      <c r="R647" s="4360"/>
      <c r="S647" s="4360"/>
      <c r="T647" s="4360"/>
      <c r="U647" s="4360"/>
      <c r="V647" s="4360"/>
      <c r="W647" s="4360"/>
    </row>
    <row r="648" spans="2:23" s="4273" customFormat="1">
      <c r="B648" s="4360"/>
      <c r="C648" s="4360"/>
      <c r="D648" s="4360"/>
      <c r="E648" s="4360"/>
      <c r="F648" s="4360"/>
      <c r="G648" s="4360"/>
      <c r="H648" s="4360"/>
      <c r="I648" s="4360"/>
      <c r="J648" s="4360"/>
      <c r="K648" s="4360"/>
      <c r="L648" s="4361"/>
      <c r="M648" s="4360"/>
      <c r="N648" s="4360"/>
      <c r="O648" s="4360"/>
      <c r="P648" s="4360"/>
      <c r="Q648" s="4360"/>
      <c r="R648" s="4360"/>
      <c r="S648" s="4360"/>
      <c r="T648" s="4360"/>
      <c r="U648" s="4360"/>
      <c r="V648" s="4360"/>
      <c r="W648" s="4360"/>
    </row>
    <row r="649" spans="2:23" s="4273" customFormat="1">
      <c r="B649" s="4360"/>
      <c r="C649" s="4360"/>
      <c r="D649" s="4360"/>
      <c r="E649" s="4360"/>
      <c r="F649" s="4360"/>
      <c r="G649" s="4360"/>
      <c r="H649" s="4360"/>
      <c r="I649" s="4360"/>
      <c r="J649" s="4360"/>
      <c r="K649" s="4360"/>
      <c r="L649" s="4361"/>
      <c r="M649" s="4360"/>
      <c r="N649" s="4360"/>
      <c r="O649" s="4360"/>
      <c r="P649" s="4360"/>
      <c r="Q649" s="4360"/>
      <c r="R649" s="4360"/>
      <c r="S649" s="4360"/>
      <c r="T649" s="4360"/>
      <c r="U649" s="4360"/>
      <c r="V649" s="4360"/>
      <c r="W649" s="4360"/>
    </row>
    <row r="650" spans="2:23" s="4273" customFormat="1">
      <c r="B650" s="4360"/>
      <c r="C650" s="4360"/>
      <c r="D650" s="4360"/>
      <c r="E650" s="4360"/>
      <c r="F650" s="4360"/>
      <c r="G650" s="4360"/>
      <c r="H650" s="4360"/>
      <c r="I650" s="4360"/>
      <c r="J650" s="4360"/>
      <c r="K650" s="4360"/>
      <c r="L650" s="4361"/>
      <c r="M650" s="4360"/>
      <c r="N650" s="4360"/>
      <c r="O650" s="4360"/>
      <c r="P650" s="4360"/>
      <c r="Q650" s="4360"/>
      <c r="R650" s="4360"/>
      <c r="S650" s="4360"/>
      <c r="T650" s="4360"/>
      <c r="U650" s="4360"/>
      <c r="V650" s="4360"/>
      <c r="W650" s="4360"/>
    </row>
    <row r="651" spans="2:23" s="4273" customFormat="1">
      <c r="B651" s="4360"/>
      <c r="C651" s="4360"/>
      <c r="D651" s="4360"/>
      <c r="E651" s="4360"/>
      <c r="F651" s="4360"/>
      <c r="G651" s="4360"/>
      <c r="H651" s="4360"/>
      <c r="I651" s="4360"/>
      <c r="J651" s="4360"/>
      <c r="K651" s="4360"/>
      <c r="L651" s="4361"/>
      <c r="M651" s="4360"/>
      <c r="N651" s="4360"/>
      <c r="O651" s="4360"/>
      <c r="P651" s="4360"/>
      <c r="Q651" s="4360"/>
      <c r="R651" s="4360"/>
      <c r="S651" s="4360"/>
      <c r="T651" s="4360"/>
      <c r="U651" s="4360"/>
      <c r="V651" s="4360"/>
      <c r="W651" s="4360"/>
    </row>
    <row r="652" spans="2:23" s="4273" customFormat="1">
      <c r="B652" s="4360"/>
      <c r="C652" s="4360"/>
      <c r="D652" s="4360"/>
      <c r="E652" s="4360"/>
      <c r="F652" s="4360"/>
      <c r="G652" s="4360"/>
      <c r="H652" s="4360"/>
      <c r="I652" s="4360"/>
      <c r="J652" s="4360"/>
      <c r="K652" s="4360"/>
      <c r="L652" s="4361"/>
      <c r="M652" s="4360"/>
      <c r="N652" s="4360"/>
      <c r="O652" s="4360"/>
      <c r="P652" s="4360"/>
      <c r="Q652" s="4360"/>
      <c r="R652" s="4360"/>
      <c r="S652" s="4360"/>
      <c r="T652" s="4360"/>
      <c r="U652" s="4360"/>
      <c r="V652" s="4360"/>
      <c r="W652" s="4360"/>
    </row>
    <row r="653" spans="2:23" s="4273" customFormat="1">
      <c r="B653" s="4360"/>
      <c r="C653" s="4360"/>
      <c r="D653" s="4360"/>
      <c r="E653" s="4360"/>
      <c r="F653" s="4360"/>
      <c r="G653" s="4360"/>
      <c r="H653" s="4360"/>
      <c r="I653" s="4360"/>
      <c r="J653" s="4360"/>
      <c r="K653" s="4360"/>
      <c r="L653" s="4361"/>
      <c r="M653" s="4360"/>
      <c r="N653" s="4360"/>
      <c r="O653" s="4360"/>
      <c r="P653" s="4360"/>
      <c r="Q653" s="4360"/>
      <c r="R653" s="4360"/>
      <c r="S653" s="4360"/>
      <c r="T653" s="4360"/>
      <c r="U653" s="4360"/>
      <c r="V653" s="4360"/>
      <c r="W653" s="4360"/>
    </row>
    <row r="654" spans="2:23" s="4273" customFormat="1">
      <c r="B654" s="4360"/>
      <c r="C654" s="4360"/>
      <c r="D654" s="4360"/>
      <c r="E654" s="4360"/>
      <c r="F654" s="4360"/>
      <c r="G654" s="4360"/>
      <c r="H654" s="4360"/>
      <c r="I654" s="4360"/>
      <c r="J654" s="4360"/>
      <c r="K654" s="4360"/>
      <c r="L654" s="4361"/>
      <c r="M654" s="4360"/>
      <c r="N654" s="4360"/>
      <c r="O654" s="4360"/>
      <c r="P654" s="4360"/>
      <c r="Q654" s="4360"/>
      <c r="R654" s="4360"/>
      <c r="S654" s="4360"/>
      <c r="T654" s="4360"/>
      <c r="U654" s="4360"/>
      <c r="V654" s="4360"/>
      <c r="W654" s="4360"/>
    </row>
    <row r="655" spans="2:23" s="4273" customFormat="1">
      <c r="B655" s="4360"/>
      <c r="C655" s="4360"/>
      <c r="D655" s="4360"/>
      <c r="E655" s="4360"/>
      <c r="F655" s="4360"/>
      <c r="G655" s="4360"/>
      <c r="H655" s="4360"/>
      <c r="I655" s="4360"/>
      <c r="J655" s="4360"/>
      <c r="K655" s="4360"/>
      <c r="L655" s="4361"/>
      <c r="M655" s="4360"/>
      <c r="N655" s="4360"/>
      <c r="O655" s="4360"/>
      <c r="P655" s="4360"/>
      <c r="Q655" s="4360"/>
      <c r="R655" s="4360"/>
      <c r="S655" s="4360"/>
      <c r="T655" s="4360"/>
      <c r="U655" s="4360"/>
      <c r="V655" s="4360"/>
      <c r="W655" s="4360"/>
    </row>
    <row r="656" spans="2:23" s="4273" customFormat="1">
      <c r="B656" s="4360"/>
      <c r="C656" s="4360"/>
      <c r="D656" s="4360"/>
      <c r="E656" s="4360"/>
      <c r="F656" s="4360"/>
      <c r="G656" s="4360"/>
      <c r="H656" s="4360"/>
      <c r="I656" s="4360"/>
      <c r="J656" s="4360"/>
      <c r="K656" s="4360"/>
      <c r="L656" s="4361"/>
      <c r="M656" s="4360"/>
      <c r="N656" s="4360"/>
      <c r="O656" s="4360"/>
      <c r="P656" s="4360"/>
      <c r="Q656" s="4360"/>
      <c r="R656" s="4360"/>
      <c r="S656" s="4360"/>
      <c r="T656" s="4360"/>
      <c r="U656" s="4360"/>
      <c r="V656" s="4360"/>
      <c r="W656" s="4360"/>
    </row>
    <row r="657" spans="2:23" s="4273" customFormat="1">
      <c r="B657" s="4360"/>
      <c r="C657" s="4360"/>
      <c r="D657" s="4360"/>
      <c r="E657" s="4360"/>
      <c r="F657" s="4360"/>
      <c r="G657" s="4360"/>
      <c r="H657" s="4360"/>
      <c r="I657" s="4360"/>
      <c r="J657" s="4360"/>
      <c r="K657" s="4360"/>
      <c r="L657" s="4361"/>
      <c r="M657" s="4360"/>
      <c r="N657" s="4360"/>
      <c r="O657" s="4360"/>
      <c r="P657" s="4360"/>
      <c r="Q657" s="4360"/>
      <c r="R657" s="4360"/>
      <c r="S657" s="4360"/>
      <c r="T657" s="4360"/>
      <c r="U657" s="4360"/>
      <c r="V657" s="4360"/>
      <c r="W657" s="4360"/>
    </row>
    <row r="658" spans="2:23" s="4273" customFormat="1">
      <c r="B658" s="4360"/>
      <c r="C658" s="4360"/>
      <c r="D658" s="4360"/>
      <c r="E658" s="4360"/>
      <c r="F658" s="4360"/>
      <c r="G658" s="4360"/>
      <c r="H658" s="4360"/>
      <c r="I658" s="4360"/>
      <c r="J658" s="4360"/>
      <c r="K658" s="4360"/>
      <c r="L658" s="4361"/>
      <c r="M658" s="4360"/>
      <c r="N658" s="4360"/>
      <c r="O658" s="4360"/>
      <c r="P658" s="4360"/>
      <c r="Q658" s="4360"/>
      <c r="R658" s="4360"/>
      <c r="S658" s="4360"/>
      <c r="T658" s="4360"/>
      <c r="U658" s="4360"/>
      <c r="V658" s="4360"/>
      <c r="W658" s="4360"/>
    </row>
    <row r="659" spans="2:23" s="4273" customFormat="1">
      <c r="B659" s="4360"/>
      <c r="C659" s="4360"/>
      <c r="D659" s="4360"/>
      <c r="E659" s="4360"/>
      <c r="F659" s="4360"/>
      <c r="G659" s="4360"/>
      <c r="H659" s="4360"/>
      <c r="I659" s="4360"/>
      <c r="J659" s="4360"/>
      <c r="K659" s="4360"/>
      <c r="L659" s="4361"/>
      <c r="M659" s="4360"/>
      <c r="N659" s="4360"/>
      <c r="O659" s="4360"/>
      <c r="P659" s="4360"/>
      <c r="Q659" s="4360"/>
      <c r="R659" s="4360"/>
      <c r="S659" s="4360"/>
      <c r="T659" s="4360"/>
      <c r="U659" s="4360"/>
      <c r="V659" s="4360"/>
      <c r="W659" s="4360"/>
    </row>
    <row r="660" spans="2:23" s="4273" customFormat="1">
      <c r="B660" s="4360"/>
      <c r="C660" s="4360"/>
      <c r="D660" s="4360"/>
      <c r="E660" s="4360"/>
      <c r="F660" s="4360"/>
      <c r="G660" s="4360"/>
      <c r="H660" s="4360"/>
      <c r="I660" s="4360"/>
      <c r="J660" s="4360"/>
      <c r="K660" s="4360"/>
      <c r="L660" s="4361"/>
      <c r="M660" s="4360"/>
      <c r="N660" s="4360"/>
      <c r="O660" s="4360"/>
      <c r="P660" s="4360"/>
      <c r="Q660" s="4360"/>
      <c r="R660" s="4360"/>
      <c r="S660" s="4360"/>
      <c r="T660" s="4360"/>
      <c r="U660" s="4360"/>
      <c r="V660" s="4360"/>
      <c r="W660" s="4360"/>
    </row>
    <row r="661" spans="2:23" s="4273" customFormat="1">
      <c r="B661" s="4360"/>
      <c r="C661" s="4360"/>
      <c r="D661" s="4360"/>
      <c r="E661" s="4360"/>
      <c r="F661" s="4360"/>
      <c r="G661" s="4360"/>
      <c r="H661" s="4360"/>
      <c r="I661" s="4360"/>
      <c r="J661" s="4360"/>
      <c r="K661" s="4360"/>
      <c r="L661" s="4361"/>
      <c r="M661" s="4360"/>
      <c r="N661" s="4360"/>
      <c r="O661" s="4360"/>
      <c r="P661" s="4360"/>
      <c r="Q661" s="4360"/>
      <c r="R661" s="4360"/>
      <c r="S661" s="4360"/>
      <c r="T661" s="4360"/>
      <c r="U661" s="4360"/>
      <c r="V661" s="4360"/>
      <c r="W661" s="4360"/>
    </row>
    <row r="662" spans="2:23" s="4273" customFormat="1">
      <c r="B662" s="4360"/>
      <c r="C662" s="4360"/>
      <c r="D662" s="4360"/>
      <c r="E662" s="4360"/>
      <c r="F662" s="4360"/>
      <c r="G662" s="4360"/>
      <c r="H662" s="4360"/>
      <c r="I662" s="4360"/>
      <c r="J662" s="4360"/>
      <c r="K662" s="4360"/>
      <c r="L662" s="4361"/>
      <c r="M662" s="4360"/>
      <c r="N662" s="4360"/>
      <c r="O662" s="4360"/>
      <c r="P662" s="4360"/>
      <c r="Q662" s="4360"/>
      <c r="R662" s="4360"/>
      <c r="S662" s="4360"/>
      <c r="T662" s="4360"/>
      <c r="U662" s="4360"/>
      <c r="V662" s="4360"/>
      <c r="W662" s="4360"/>
    </row>
    <row r="663" spans="2:23" s="4273" customFormat="1">
      <c r="B663" s="4360"/>
      <c r="C663" s="4360"/>
      <c r="D663" s="4360"/>
      <c r="E663" s="4360"/>
      <c r="F663" s="4360"/>
      <c r="G663" s="4360"/>
      <c r="H663" s="4360"/>
      <c r="I663" s="4360"/>
      <c r="J663" s="4360"/>
      <c r="K663" s="4360"/>
      <c r="L663" s="4361"/>
      <c r="M663" s="4360"/>
      <c r="N663" s="4360"/>
      <c r="O663" s="4360"/>
      <c r="P663" s="4360"/>
      <c r="Q663" s="4360"/>
      <c r="R663" s="4360"/>
      <c r="S663" s="4360"/>
      <c r="T663" s="4360"/>
      <c r="U663" s="4360"/>
      <c r="V663" s="4360"/>
      <c r="W663" s="4360"/>
    </row>
    <row r="664" spans="2:23" s="4273" customFormat="1">
      <c r="B664" s="4360"/>
      <c r="C664" s="4360"/>
      <c r="D664" s="4360"/>
      <c r="E664" s="4360"/>
      <c r="F664" s="4360"/>
      <c r="G664" s="4360"/>
      <c r="H664" s="4360"/>
      <c r="I664" s="4360"/>
      <c r="J664" s="4360"/>
      <c r="K664" s="4360"/>
      <c r="L664" s="4361"/>
      <c r="M664" s="4360"/>
      <c r="N664" s="4360"/>
      <c r="O664" s="4360"/>
      <c r="P664" s="4360"/>
      <c r="Q664" s="4360"/>
      <c r="R664" s="4360"/>
      <c r="S664" s="4360"/>
      <c r="T664" s="4360"/>
      <c r="U664" s="4360"/>
      <c r="V664" s="4360"/>
      <c r="W664" s="4360"/>
    </row>
    <row r="665" spans="2:23" s="4273" customFormat="1">
      <c r="B665" s="4360"/>
      <c r="C665" s="4360"/>
      <c r="D665" s="4360"/>
      <c r="E665" s="4360"/>
      <c r="F665" s="4360"/>
      <c r="G665" s="4360"/>
      <c r="H665" s="4360"/>
      <c r="I665" s="4360"/>
      <c r="J665" s="4360"/>
      <c r="K665" s="4360"/>
      <c r="L665" s="4361"/>
      <c r="M665" s="4360"/>
      <c r="N665" s="4360"/>
      <c r="O665" s="4360"/>
      <c r="P665" s="4360"/>
      <c r="Q665" s="4360"/>
      <c r="R665" s="4360"/>
      <c r="S665" s="4360"/>
      <c r="T665" s="4360"/>
      <c r="U665" s="4360"/>
      <c r="V665" s="4360"/>
      <c r="W665" s="4360"/>
    </row>
    <row r="666" spans="2:23" s="4273" customFormat="1">
      <c r="B666" s="4360"/>
      <c r="C666" s="4360"/>
      <c r="D666" s="4360"/>
      <c r="E666" s="4360"/>
      <c r="F666" s="4360"/>
      <c r="G666" s="4360"/>
      <c r="H666" s="4360"/>
      <c r="I666" s="4360"/>
      <c r="J666" s="4360"/>
      <c r="K666" s="4360"/>
      <c r="L666" s="4361"/>
      <c r="M666" s="4360"/>
      <c r="N666" s="4360"/>
      <c r="O666" s="4360"/>
      <c r="P666" s="4360"/>
      <c r="Q666" s="4360"/>
      <c r="R666" s="4360"/>
      <c r="S666" s="4360"/>
      <c r="T666" s="4360"/>
      <c r="U666" s="4360"/>
      <c r="V666" s="4360"/>
      <c r="W666" s="4360"/>
    </row>
    <row r="667" spans="2:23" s="4273" customFormat="1">
      <c r="B667" s="4360"/>
      <c r="C667" s="4360"/>
      <c r="D667" s="4360"/>
      <c r="E667" s="4360"/>
      <c r="F667" s="4360"/>
      <c r="G667" s="4360"/>
      <c r="H667" s="4360"/>
      <c r="I667" s="4360"/>
      <c r="J667" s="4360"/>
      <c r="K667" s="4360"/>
      <c r="L667" s="4361"/>
      <c r="M667" s="4360"/>
      <c r="N667" s="4360"/>
      <c r="O667" s="4360"/>
      <c r="P667" s="4360"/>
      <c r="Q667" s="4360"/>
      <c r="R667" s="4360"/>
      <c r="S667" s="4360"/>
      <c r="T667" s="4360"/>
      <c r="U667" s="4360"/>
      <c r="V667" s="4360"/>
      <c r="W667" s="4360"/>
    </row>
    <row r="668" spans="2:23" s="4273" customFormat="1">
      <c r="B668" s="4360"/>
      <c r="C668" s="4360"/>
      <c r="D668" s="4360"/>
      <c r="E668" s="4360"/>
      <c r="F668" s="4360"/>
      <c r="G668" s="4360"/>
      <c r="H668" s="4360"/>
      <c r="I668" s="4360"/>
      <c r="J668" s="4360"/>
      <c r="K668" s="4360"/>
      <c r="L668" s="4361"/>
      <c r="M668" s="4360"/>
      <c r="N668" s="4360"/>
      <c r="O668" s="4360"/>
      <c r="P668" s="4360"/>
      <c r="Q668" s="4360"/>
      <c r="R668" s="4360"/>
      <c r="S668" s="4360"/>
      <c r="T668" s="4360"/>
      <c r="U668" s="4360"/>
      <c r="V668" s="4360"/>
      <c r="W668" s="4360"/>
    </row>
    <row r="669" spans="2:23" s="4273" customFormat="1">
      <c r="B669" s="4360"/>
      <c r="C669" s="4360"/>
      <c r="D669" s="4360"/>
      <c r="E669" s="4360"/>
      <c r="F669" s="4360"/>
      <c r="G669" s="4360"/>
      <c r="H669" s="4360"/>
      <c r="I669" s="4360"/>
      <c r="J669" s="4360"/>
      <c r="K669" s="4360"/>
      <c r="L669" s="4361"/>
      <c r="M669" s="4360"/>
      <c r="N669" s="4360"/>
      <c r="O669" s="4360"/>
      <c r="P669" s="4360"/>
      <c r="Q669" s="4360"/>
      <c r="R669" s="4360"/>
      <c r="S669" s="4360"/>
      <c r="T669" s="4360"/>
      <c r="U669" s="4360"/>
      <c r="V669" s="4360"/>
      <c r="W669" s="4360"/>
    </row>
    <row r="670" spans="2:23" s="4273" customFormat="1">
      <c r="B670" s="4360"/>
      <c r="C670" s="4360"/>
      <c r="D670" s="4360"/>
      <c r="E670" s="4360"/>
      <c r="F670" s="4360"/>
      <c r="G670" s="4360"/>
      <c r="H670" s="4360"/>
      <c r="I670" s="4360"/>
      <c r="J670" s="4360"/>
      <c r="K670" s="4360"/>
      <c r="L670" s="4361"/>
      <c r="M670" s="4360"/>
      <c r="N670" s="4360"/>
      <c r="O670" s="4360"/>
      <c r="P670" s="4360"/>
      <c r="Q670" s="4360"/>
      <c r="R670" s="4360"/>
      <c r="S670" s="4360"/>
      <c r="T670" s="4360"/>
      <c r="U670" s="4360"/>
      <c r="V670" s="4360"/>
      <c r="W670" s="4360"/>
    </row>
    <row r="671" spans="2:23" s="4273" customFormat="1">
      <c r="B671" s="4360"/>
      <c r="C671" s="4360"/>
      <c r="D671" s="4360"/>
      <c r="E671" s="4360"/>
      <c r="F671" s="4360"/>
      <c r="G671" s="4360"/>
      <c r="H671" s="4360"/>
      <c r="I671" s="4360"/>
      <c r="J671" s="4360"/>
      <c r="K671" s="4360"/>
      <c r="L671" s="4361"/>
      <c r="M671" s="4360"/>
      <c r="N671" s="4360"/>
      <c r="O671" s="4360"/>
      <c r="P671" s="4360"/>
      <c r="Q671" s="4360"/>
      <c r="R671" s="4360"/>
      <c r="S671" s="4360"/>
      <c r="T671" s="4360"/>
      <c r="U671" s="4360"/>
      <c r="V671" s="4360"/>
      <c r="W671" s="4360"/>
    </row>
    <row r="672" spans="2:23" s="4273" customFormat="1">
      <c r="B672" s="4360"/>
      <c r="C672" s="4360"/>
      <c r="D672" s="4360"/>
      <c r="E672" s="4360"/>
      <c r="F672" s="4360"/>
      <c r="G672" s="4360"/>
      <c r="H672" s="4360"/>
      <c r="I672" s="4360"/>
      <c r="J672" s="4360"/>
      <c r="K672" s="4360"/>
      <c r="L672" s="4361"/>
      <c r="M672" s="4360"/>
      <c r="N672" s="4360"/>
      <c r="O672" s="4360"/>
      <c r="P672" s="4360"/>
      <c r="Q672" s="4360"/>
      <c r="R672" s="4360"/>
      <c r="S672" s="4360"/>
      <c r="T672" s="4360"/>
      <c r="U672" s="4360"/>
      <c r="V672" s="4360"/>
      <c r="W672" s="4360"/>
    </row>
    <row r="673" spans="2:23" s="4273" customFormat="1">
      <c r="B673" s="4360"/>
      <c r="C673" s="4360"/>
      <c r="D673" s="4360"/>
      <c r="E673" s="4360"/>
      <c r="F673" s="4360"/>
      <c r="G673" s="4360"/>
      <c r="H673" s="4360"/>
      <c r="I673" s="4360"/>
      <c r="J673" s="4360"/>
      <c r="K673" s="4360"/>
      <c r="L673" s="4361"/>
      <c r="M673" s="4360"/>
      <c r="N673" s="4360"/>
      <c r="O673" s="4360"/>
      <c r="P673" s="4360"/>
      <c r="Q673" s="4360"/>
      <c r="R673" s="4360"/>
      <c r="S673" s="4360"/>
      <c r="T673" s="4360"/>
      <c r="U673" s="4360"/>
      <c r="V673" s="4360"/>
      <c r="W673" s="4360"/>
    </row>
    <row r="674" spans="2:23" s="4273" customFormat="1">
      <c r="B674" s="4360"/>
      <c r="C674" s="4360"/>
      <c r="D674" s="4360"/>
      <c r="E674" s="4360"/>
      <c r="F674" s="4360"/>
      <c r="G674" s="4360"/>
      <c r="H674" s="4360"/>
      <c r="I674" s="4360"/>
      <c r="J674" s="4360"/>
      <c r="K674" s="4360"/>
      <c r="L674" s="4361"/>
      <c r="M674" s="4360"/>
      <c r="N674" s="4360"/>
      <c r="O674" s="4360"/>
      <c r="P674" s="4360"/>
      <c r="Q674" s="4360"/>
      <c r="R674" s="4360"/>
      <c r="S674" s="4360"/>
      <c r="T674" s="4360"/>
      <c r="U674" s="4360"/>
      <c r="V674" s="4360"/>
      <c r="W674" s="4360"/>
    </row>
    <row r="675" spans="2:23" s="4273" customFormat="1">
      <c r="B675" s="4360"/>
      <c r="C675" s="4360"/>
      <c r="D675" s="4360"/>
      <c r="E675" s="4360"/>
      <c r="F675" s="4360"/>
      <c r="G675" s="4360"/>
      <c r="H675" s="4360"/>
      <c r="I675" s="4360"/>
      <c r="J675" s="4360"/>
      <c r="K675" s="4360"/>
      <c r="L675" s="4361"/>
      <c r="M675" s="4360"/>
      <c r="N675" s="4360"/>
      <c r="O675" s="4360"/>
      <c r="P675" s="4360"/>
      <c r="Q675" s="4360"/>
      <c r="R675" s="4360"/>
      <c r="S675" s="4360"/>
      <c r="T675" s="4360"/>
      <c r="U675" s="4360"/>
      <c r="V675" s="4360"/>
      <c r="W675" s="4360"/>
    </row>
    <row r="676" spans="2:23" s="4273" customFormat="1">
      <c r="B676" s="4360"/>
      <c r="C676" s="4360"/>
      <c r="D676" s="4360"/>
      <c r="E676" s="4360"/>
      <c r="F676" s="4360"/>
      <c r="G676" s="4360"/>
      <c r="H676" s="4360"/>
      <c r="I676" s="4360"/>
      <c r="J676" s="4360"/>
      <c r="K676" s="4360"/>
      <c r="L676" s="4361"/>
      <c r="M676" s="4360"/>
      <c r="N676" s="4360"/>
      <c r="O676" s="4360"/>
      <c r="P676" s="4360"/>
      <c r="Q676" s="4360"/>
      <c r="R676" s="4360"/>
      <c r="S676" s="4360"/>
      <c r="T676" s="4360"/>
      <c r="U676" s="4360"/>
      <c r="V676" s="4360"/>
      <c r="W676" s="4360"/>
    </row>
    <row r="677" spans="2:23" s="4273" customFormat="1">
      <c r="B677" s="4360"/>
      <c r="C677" s="4360"/>
      <c r="D677" s="4360"/>
      <c r="E677" s="4360"/>
      <c r="F677" s="4360"/>
      <c r="G677" s="4360"/>
      <c r="H677" s="4360"/>
      <c r="I677" s="4360"/>
      <c r="J677" s="4360"/>
      <c r="K677" s="4360"/>
      <c r="L677" s="4361"/>
      <c r="M677" s="4360"/>
      <c r="N677" s="4360"/>
      <c r="O677" s="4360"/>
      <c r="P677" s="4360"/>
      <c r="Q677" s="4360"/>
      <c r="R677" s="4360"/>
      <c r="S677" s="4360"/>
      <c r="T677" s="4360"/>
      <c r="U677" s="4360"/>
      <c r="V677" s="4360"/>
      <c r="W677" s="4360"/>
    </row>
    <row r="678" spans="2:23" s="4273" customFormat="1">
      <c r="B678" s="4360"/>
      <c r="C678" s="4360"/>
      <c r="D678" s="4360"/>
      <c r="E678" s="4360"/>
      <c r="F678" s="4360"/>
      <c r="G678" s="4360"/>
      <c r="H678" s="4360"/>
      <c r="I678" s="4360"/>
      <c r="J678" s="4360"/>
      <c r="K678" s="4360"/>
      <c r="L678" s="4361"/>
      <c r="M678" s="4360"/>
      <c r="N678" s="4360"/>
      <c r="O678" s="4360"/>
      <c r="P678" s="4360"/>
      <c r="Q678" s="4360"/>
      <c r="R678" s="4360"/>
      <c r="S678" s="4360"/>
      <c r="T678" s="4360"/>
      <c r="U678" s="4360"/>
      <c r="V678" s="4360"/>
      <c r="W678" s="4360"/>
    </row>
    <row r="679" spans="2:23" s="4273" customFormat="1">
      <c r="B679" s="4360"/>
      <c r="C679" s="4360"/>
      <c r="D679" s="4360"/>
      <c r="E679" s="4360"/>
      <c r="F679" s="4360"/>
      <c r="G679" s="4360"/>
      <c r="H679" s="4360"/>
      <c r="I679" s="4360"/>
      <c r="J679" s="4360"/>
      <c r="K679" s="4360"/>
      <c r="L679" s="4361"/>
      <c r="M679" s="4360"/>
      <c r="N679" s="4360"/>
      <c r="O679" s="4360"/>
      <c r="P679" s="4360"/>
      <c r="Q679" s="4360"/>
      <c r="R679" s="4360"/>
      <c r="S679" s="4360"/>
      <c r="T679" s="4360"/>
      <c r="U679" s="4360"/>
      <c r="V679" s="4360"/>
      <c r="W679" s="4360"/>
    </row>
    <row r="680" spans="2:23" s="4273" customFormat="1">
      <c r="B680" s="4360"/>
      <c r="C680" s="4360"/>
      <c r="D680" s="4360"/>
      <c r="E680" s="4360"/>
      <c r="F680" s="4360"/>
      <c r="G680" s="4360"/>
      <c r="H680" s="4360"/>
      <c r="I680" s="4360"/>
      <c r="J680" s="4360"/>
      <c r="K680" s="4360"/>
      <c r="L680" s="4361"/>
      <c r="M680" s="4360"/>
      <c r="N680" s="4360"/>
      <c r="O680" s="4360"/>
      <c r="P680" s="4360"/>
      <c r="Q680" s="4360"/>
      <c r="R680" s="4360"/>
      <c r="S680" s="4360"/>
      <c r="T680" s="4360"/>
      <c r="U680" s="4360"/>
      <c r="V680" s="4360"/>
      <c r="W680" s="4360"/>
    </row>
    <row r="681" spans="2:23" s="4273" customFormat="1">
      <c r="B681" s="4360"/>
      <c r="C681" s="4360"/>
      <c r="D681" s="4360"/>
      <c r="E681" s="4360"/>
      <c r="F681" s="4360"/>
      <c r="G681" s="4360"/>
      <c r="H681" s="4360"/>
      <c r="I681" s="4360"/>
      <c r="J681" s="4360"/>
      <c r="K681" s="4360"/>
      <c r="L681" s="4361"/>
      <c r="M681" s="4360"/>
      <c r="N681" s="4360"/>
      <c r="O681" s="4360"/>
      <c r="P681" s="4360"/>
      <c r="Q681" s="4360"/>
      <c r="R681" s="4360"/>
      <c r="S681" s="4360"/>
      <c r="T681" s="4360"/>
      <c r="U681" s="4360"/>
      <c r="V681" s="4360"/>
      <c r="W681" s="4360"/>
    </row>
    <row r="682" spans="2:23" s="4273" customFormat="1">
      <c r="B682" s="4360"/>
      <c r="C682" s="4360"/>
      <c r="D682" s="4360"/>
      <c r="E682" s="4360"/>
      <c r="F682" s="4360"/>
      <c r="G682" s="4360"/>
      <c r="H682" s="4360"/>
      <c r="I682" s="4360"/>
      <c r="J682" s="4360"/>
      <c r="K682" s="4360"/>
      <c r="L682" s="4361"/>
      <c r="M682" s="4360"/>
      <c r="N682" s="4360"/>
      <c r="O682" s="4360"/>
      <c r="P682" s="4360"/>
      <c r="Q682" s="4360"/>
      <c r="R682" s="4360"/>
      <c r="S682" s="4360"/>
      <c r="T682" s="4360"/>
      <c r="U682" s="4360"/>
      <c r="V682" s="4360"/>
      <c r="W682" s="4360"/>
    </row>
    <row r="683" spans="2:23" s="4273" customFormat="1">
      <c r="B683" s="4360"/>
      <c r="C683" s="4360"/>
      <c r="D683" s="4360"/>
      <c r="E683" s="4360"/>
      <c r="F683" s="4360"/>
      <c r="G683" s="4360"/>
      <c r="H683" s="4360"/>
      <c r="I683" s="4360"/>
      <c r="J683" s="4360"/>
      <c r="K683" s="4360"/>
      <c r="L683" s="4361"/>
      <c r="M683" s="4360"/>
      <c r="N683" s="4360"/>
      <c r="O683" s="4360"/>
      <c r="P683" s="4360"/>
      <c r="Q683" s="4360"/>
      <c r="R683" s="4360"/>
      <c r="S683" s="4360"/>
      <c r="T683" s="4360"/>
      <c r="U683" s="4360"/>
      <c r="V683" s="4360"/>
      <c r="W683" s="4360"/>
    </row>
    <row r="684" spans="2:23" s="4273" customFormat="1">
      <c r="B684" s="4360"/>
      <c r="C684" s="4360"/>
      <c r="D684" s="4360"/>
      <c r="E684" s="4360"/>
      <c r="F684" s="4360"/>
      <c r="G684" s="4360"/>
      <c r="H684" s="4360"/>
      <c r="I684" s="4360"/>
      <c r="J684" s="4360"/>
      <c r="K684" s="4360"/>
      <c r="L684" s="4361"/>
      <c r="M684" s="4360"/>
      <c r="N684" s="4360"/>
      <c r="O684" s="4360"/>
      <c r="P684" s="4360"/>
      <c r="Q684" s="4360"/>
      <c r="R684" s="4360"/>
      <c r="S684" s="4360"/>
      <c r="T684" s="4360"/>
      <c r="U684" s="4360"/>
      <c r="V684" s="4360"/>
      <c r="W684" s="4360"/>
    </row>
    <row r="685" spans="2:23" s="4273" customFormat="1">
      <c r="B685" s="4360"/>
      <c r="C685" s="4360"/>
      <c r="D685" s="4360"/>
      <c r="E685" s="4360"/>
      <c r="F685" s="4360"/>
      <c r="G685" s="4360"/>
      <c r="H685" s="4360"/>
      <c r="I685" s="4360"/>
      <c r="J685" s="4360"/>
      <c r="K685" s="4360"/>
      <c r="L685" s="4361"/>
      <c r="M685" s="4360"/>
      <c r="N685" s="4360"/>
      <c r="O685" s="4360"/>
      <c r="P685" s="4360"/>
      <c r="Q685" s="4360"/>
      <c r="R685" s="4360"/>
      <c r="S685" s="4360"/>
      <c r="T685" s="4360"/>
      <c r="U685" s="4360"/>
      <c r="V685" s="4360"/>
      <c r="W685" s="4360"/>
    </row>
    <row r="686" spans="2:23" s="4273" customFormat="1">
      <c r="B686" s="4360"/>
      <c r="C686" s="4360"/>
      <c r="D686" s="4360"/>
      <c r="E686" s="4360"/>
      <c r="F686" s="4360"/>
      <c r="G686" s="4360"/>
      <c r="H686" s="4360"/>
      <c r="I686" s="4360"/>
      <c r="J686" s="4360"/>
      <c r="K686" s="4360"/>
      <c r="L686" s="4361"/>
      <c r="M686" s="4360"/>
      <c r="N686" s="4360"/>
      <c r="O686" s="4360"/>
      <c r="P686" s="4360"/>
      <c r="Q686" s="4360"/>
      <c r="R686" s="4360"/>
      <c r="S686" s="4360"/>
      <c r="T686" s="4360"/>
      <c r="U686" s="4360"/>
      <c r="V686" s="4360"/>
      <c r="W686" s="4360"/>
    </row>
    <row r="687" spans="2:23" s="4273" customFormat="1">
      <c r="B687" s="4360"/>
      <c r="C687" s="4360"/>
      <c r="D687" s="4360"/>
      <c r="E687" s="4360"/>
      <c r="F687" s="4360"/>
      <c r="G687" s="4360"/>
      <c r="H687" s="4360"/>
      <c r="I687" s="4360"/>
      <c r="J687" s="4360"/>
      <c r="K687" s="4360"/>
      <c r="L687" s="4361"/>
      <c r="M687" s="4360"/>
      <c r="N687" s="4360"/>
      <c r="O687" s="4360"/>
      <c r="P687" s="4360"/>
      <c r="Q687" s="4360"/>
      <c r="R687" s="4360"/>
      <c r="S687" s="4360"/>
      <c r="T687" s="4360"/>
      <c r="U687" s="4360"/>
      <c r="V687" s="4360"/>
      <c r="W687" s="4360"/>
    </row>
    <row r="688" spans="2:23" s="4273" customFormat="1">
      <c r="B688" s="4360"/>
      <c r="C688" s="4360"/>
      <c r="D688" s="4360"/>
      <c r="E688" s="4360"/>
      <c r="F688" s="4360"/>
      <c r="G688" s="4360"/>
      <c r="H688" s="4360"/>
      <c r="I688" s="4360"/>
      <c r="J688" s="4360"/>
      <c r="K688" s="4360"/>
      <c r="L688" s="4361"/>
      <c r="M688" s="4360"/>
      <c r="N688" s="4360"/>
      <c r="O688" s="4360"/>
      <c r="P688" s="4360"/>
      <c r="Q688" s="4360"/>
      <c r="R688" s="4360"/>
      <c r="S688" s="4360"/>
      <c r="T688" s="4360"/>
      <c r="U688" s="4360"/>
      <c r="V688" s="4360"/>
      <c r="W688" s="4360"/>
    </row>
    <row r="689" spans="2:23" s="4273" customFormat="1">
      <c r="B689" s="4360"/>
      <c r="C689" s="4360"/>
      <c r="D689" s="4360"/>
      <c r="E689" s="4360"/>
      <c r="F689" s="4360"/>
      <c r="G689" s="4360"/>
      <c r="H689" s="4360"/>
      <c r="I689" s="4360"/>
      <c r="J689" s="4360"/>
      <c r="K689" s="4360"/>
      <c r="L689" s="4361"/>
      <c r="M689" s="4360"/>
      <c r="N689" s="4360"/>
      <c r="O689" s="4360"/>
      <c r="P689" s="4360"/>
      <c r="Q689" s="4360"/>
      <c r="R689" s="4360"/>
      <c r="S689" s="4360"/>
      <c r="T689" s="4360"/>
      <c r="U689" s="4360"/>
      <c r="V689" s="4360"/>
      <c r="W689" s="4360"/>
    </row>
    <row r="690" spans="2:23" s="4273" customFormat="1">
      <c r="B690" s="4360"/>
      <c r="C690" s="4360"/>
      <c r="D690" s="4360"/>
      <c r="E690" s="4360"/>
      <c r="F690" s="4360"/>
      <c r="G690" s="4360"/>
      <c r="H690" s="4360"/>
      <c r="I690" s="4360"/>
      <c r="J690" s="4360"/>
      <c r="K690" s="4360"/>
      <c r="L690" s="4361"/>
      <c r="M690" s="4360"/>
      <c r="N690" s="4360"/>
      <c r="O690" s="4360"/>
      <c r="P690" s="4360"/>
      <c r="Q690" s="4360"/>
      <c r="R690" s="4360"/>
      <c r="S690" s="4360"/>
      <c r="T690" s="4360"/>
      <c r="U690" s="4360"/>
      <c r="V690" s="4360"/>
      <c r="W690" s="4360"/>
    </row>
    <row r="691" spans="2:23" s="4273" customFormat="1">
      <c r="B691" s="4360"/>
      <c r="C691" s="4360"/>
      <c r="D691" s="4360"/>
      <c r="E691" s="4360"/>
      <c r="F691" s="4360"/>
      <c r="G691" s="4360"/>
      <c r="H691" s="4360"/>
      <c r="I691" s="4360"/>
      <c r="J691" s="4360"/>
      <c r="K691" s="4360"/>
      <c r="L691" s="4361"/>
      <c r="M691" s="4360"/>
      <c r="N691" s="4360"/>
      <c r="O691" s="4360"/>
      <c r="P691" s="4360"/>
      <c r="Q691" s="4360"/>
      <c r="R691" s="4360"/>
      <c r="S691" s="4360"/>
      <c r="T691" s="4360"/>
      <c r="U691" s="4360"/>
      <c r="V691" s="4360"/>
      <c r="W691" s="4360"/>
    </row>
    <row r="692" spans="2:23" s="4273" customFormat="1">
      <c r="B692" s="4360"/>
      <c r="C692" s="4360"/>
      <c r="D692" s="4360"/>
      <c r="E692" s="4360"/>
      <c r="F692" s="4360"/>
      <c r="G692" s="4360"/>
      <c r="H692" s="4360"/>
      <c r="I692" s="4360"/>
      <c r="J692" s="4360"/>
      <c r="K692" s="4360"/>
      <c r="L692" s="4361"/>
      <c r="M692" s="4360"/>
      <c r="N692" s="4360"/>
      <c r="O692" s="4360"/>
      <c r="P692" s="4360"/>
      <c r="Q692" s="4360"/>
      <c r="R692" s="4360"/>
      <c r="S692" s="4360"/>
      <c r="T692" s="4360"/>
      <c r="U692" s="4360"/>
      <c r="V692" s="4360"/>
      <c r="W692" s="4360"/>
    </row>
    <row r="693" spans="2:23" s="4273" customFormat="1">
      <c r="B693" s="4360"/>
      <c r="C693" s="4360"/>
      <c r="D693" s="4360"/>
      <c r="E693" s="4360"/>
      <c r="F693" s="4360"/>
      <c r="G693" s="4360"/>
      <c r="H693" s="4360"/>
      <c r="I693" s="4360"/>
      <c r="J693" s="4360"/>
      <c r="K693" s="4360"/>
      <c r="L693" s="4361"/>
      <c r="M693" s="4360"/>
      <c r="N693" s="4360"/>
      <c r="O693" s="4360"/>
      <c r="P693" s="4360"/>
      <c r="Q693" s="4360"/>
      <c r="R693" s="4360"/>
      <c r="S693" s="4360"/>
      <c r="T693" s="4360"/>
      <c r="U693" s="4360"/>
      <c r="V693" s="4360"/>
      <c r="W693" s="4360"/>
    </row>
    <row r="694" spans="2:23" s="4273" customFormat="1">
      <c r="B694" s="4360"/>
      <c r="C694" s="4360"/>
      <c r="D694" s="4360"/>
      <c r="E694" s="4360"/>
      <c r="F694" s="4360"/>
      <c r="G694" s="4360"/>
      <c r="H694" s="4360"/>
      <c r="I694" s="4360"/>
      <c r="J694" s="4360"/>
      <c r="K694" s="4360"/>
      <c r="L694" s="4361"/>
      <c r="M694" s="4360"/>
      <c r="N694" s="4360"/>
      <c r="O694" s="4360"/>
      <c r="P694" s="4360"/>
      <c r="Q694" s="4360"/>
      <c r="R694" s="4360"/>
      <c r="S694" s="4360"/>
      <c r="T694" s="4360"/>
      <c r="U694" s="4360"/>
      <c r="V694" s="4360"/>
      <c r="W694" s="4360"/>
    </row>
    <row r="695" spans="2:23" s="4273" customFormat="1">
      <c r="B695" s="4360"/>
      <c r="C695" s="4360"/>
      <c r="D695" s="4360"/>
      <c r="E695" s="4360"/>
      <c r="F695" s="4360"/>
      <c r="G695" s="4360"/>
      <c r="H695" s="4360"/>
      <c r="I695" s="4360"/>
      <c r="J695" s="4360"/>
      <c r="K695" s="4360"/>
      <c r="L695" s="4361"/>
      <c r="M695" s="4360"/>
      <c r="N695" s="4360"/>
      <c r="O695" s="4360"/>
      <c r="P695" s="4360"/>
      <c r="Q695" s="4360"/>
      <c r="R695" s="4360"/>
      <c r="S695" s="4360"/>
      <c r="T695" s="4360"/>
      <c r="U695" s="4360"/>
      <c r="V695" s="4360"/>
      <c r="W695" s="4360"/>
    </row>
    <row r="696" spans="2:23" s="4273" customFormat="1">
      <c r="B696" s="4360"/>
      <c r="C696" s="4360"/>
      <c r="D696" s="4360"/>
      <c r="E696" s="4360"/>
      <c r="F696" s="4360"/>
      <c r="G696" s="4360"/>
      <c r="H696" s="4360"/>
      <c r="I696" s="4360"/>
      <c r="J696" s="4360"/>
      <c r="K696" s="4360"/>
      <c r="L696" s="4361"/>
      <c r="M696" s="4360"/>
      <c r="N696" s="4360"/>
      <c r="O696" s="4360"/>
      <c r="P696" s="4360"/>
      <c r="Q696" s="4360"/>
      <c r="R696" s="4360"/>
      <c r="S696" s="4360"/>
      <c r="T696" s="4360"/>
      <c r="U696" s="4360"/>
      <c r="V696" s="4360"/>
      <c r="W696" s="4360"/>
    </row>
    <row r="697" spans="2:23" s="4273" customFormat="1">
      <c r="B697" s="4360"/>
      <c r="C697" s="4360"/>
      <c r="D697" s="4360"/>
      <c r="E697" s="4360"/>
      <c r="F697" s="4360"/>
      <c r="G697" s="4360"/>
      <c r="H697" s="4360"/>
      <c r="I697" s="4360"/>
      <c r="J697" s="4360"/>
      <c r="K697" s="4360"/>
      <c r="L697" s="4361"/>
      <c r="M697" s="4360"/>
      <c r="N697" s="4360"/>
      <c r="O697" s="4360"/>
      <c r="P697" s="4360"/>
      <c r="Q697" s="4360"/>
      <c r="R697" s="4360"/>
      <c r="S697" s="4360"/>
      <c r="T697" s="4360"/>
      <c r="U697" s="4360"/>
      <c r="V697" s="4360"/>
      <c r="W697" s="4360"/>
    </row>
    <row r="698" spans="2:23" s="4273" customFormat="1">
      <c r="B698" s="4360"/>
      <c r="C698" s="4360"/>
      <c r="D698" s="4360"/>
      <c r="E698" s="4360"/>
      <c r="F698" s="4360"/>
      <c r="G698" s="4360"/>
      <c r="H698" s="4360"/>
      <c r="I698" s="4360"/>
      <c r="J698" s="4360"/>
      <c r="K698" s="4360"/>
      <c r="L698" s="4361"/>
      <c r="M698" s="4360"/>
      <c r="N698" s="4360"/>
      <c r="O698" s="4360"/>
      <c r="P698" s="4360"/>
      <c r="Q698" s="4360"/>
      <c r="R698" s="4360"/>
      <c r="S698" s="4360"/>
      <c r="T698" s="4360"/>
      <c r="U698" s="4360"/>
      <c r="V698" s="4360"/>
      <c r="W698" s="4360"/>
    </row>
    <row r="699" spans="2:23" s="4273" customFormat="1">
      <c r="B699" s="4360"/>
      <c r="C699" s="4360"/>
      <c r="D699" s="4360"/>
      <c r="E699" s="4360"/>
      <c r="F699" s="4360"/>
      <c r="G699" s="4360"/>
      <c r="H699" s="4360"/>
      <c r="I699" s="4360"/>
      <c r="J699" s="4360"/>
      <c r="K699" s="4360"/>
      <c r="L699" s="4361"/>
      <c r="M699" s="4360"/>
      <c r="N699" s="4360"/>
      <c r="O699" s="4360"/>
      <c r="P699" s="4360"/>
      <c r="Q699" s="4360"/>
      <c r="R699" s="4360"/>
      <c r="S699" s="4360"/>
      <c r="T699" s="4360"/>
      <c r="U699" s="4360"/>
      <c r="V699" s="4360"/>
      <c r="W699" s="4360"/>
    </row>
    <row r="700" spans="2:23" s="4273" customFormat="1">
      <c r="B700" s="4360"/>
      <c r="C700" s="4360"/>
      <c r="D700" s="4360"/>
      <c r="E700" s="4360"/>
      <c r="F700" s="4360"/>
      <c r="G700" s="4360"/>
      <c r="H700" s="4360"/>
      <c r="I700" s="4360"/>
      <c r="J700" s="4360"/>
      <c r="K700" s="4360"/>
      <c r="L700" s="4361"/>
      <c r="M700" s="4360"/>
      <c r="N700" s="4360"/>
      <c r="O700" s="4360"/>
      <c r="P700" s="4360"/>
      <c r="Q700" s="4360"/>
      <c r="R700" s="4360"/>
      <c r="S700" s="4360"/>
      <c r="T700" s="4360"/>
      <c r="U700" s="4360"/>
      <c r="V700" s="4360"/>
      <c r="W700" s="4360"/>
    </row>
    <row r="701" spans="2:23" s="4273" customFormat="1">
      <c r="B701" s="4360"/>
      <c r="C701" s="4360"/>
      <c r="D701" s="4360"/>
      <c r="E701" s="4360"/>
      <c r="F701" s="4360"/>
      <c r="G701" s="4360"/>
      <c r="H701" s="4360"/>
      <c r="I701" s="4360"/>
      <c r="J701" s="4360"/>
      <c r="K701" s="4360"/>
      <c r="L701" s="4361"/>
      <c r="M701" s="4360"/>
      <c r="N701" s="4360"/>
      <c r="O701" s="4360"/>
      <c r="P701" s="4360"/>
      <c r="Q701" s="4360"/>
      <c r="R701" s="4360"/>
      <c r="S701" s="4360"/>
      <c r="T701" s="4360"/>
      <c r="U701" s="4360"/>
      <c r="V701" s="4360"/>
      <c r="W701" s="4360"/>
    </row>
    <row r="702" spans="2:23" s="4273" customFormat="1">
      <c r="B702" s="4360"/>
      <c r="C702" s="4360"/>
      <c r="D702" s="4360"/>
      <c r="E702" s="4360"/>
      <c r="F702" s="4360"/>
      <c r="G702" s="4360"/>
      <c r="H702" s="4360"/>
      <c r="I702" s="4360"/>
      <c r="J702" s="4360"/>
      <c r="K702" s="4360"/>
      <c r="L702" s="4361"/>
      <c r="M702" s="4360"/>
      <c r="N702" s="4360"/>
      <c r="O702" s="4360"/>
      <c r="P702" s="4360"/>
      <c r="Q702" s="4360"/>
      <c r="R702" s="4360"/>
      <c r="S702" s="4360"/>
      <c r="T702" s="4360"/>
      <c r="U702" s="4360"/>
      <c r="V702" s="4360"/>
      <c r="W702" s="4360"/>
    </row>
    <row r="703" spans="2:23" s="4273" customFormat="1">
      <c r="B703" s="4360"/>
      <c r="C703" s="4360"/>
      <c r="D703" s="4360"/>
      <c r="E703" s="4360"/>
      <c r="F703" s="4360"/>
      <c r="G703" s="4360"/>
      <c r="H703" s="4360"/>
      <c r="I703" s="4360"/>
      <c r="J703" s="4360"/>
      <c r="K703" s="4360"/>
      <c r="L703" s="4361"/>
      <c r="M703" s="4360"/>
      <c r="N703" s="4360"/>
      <c r="O703" s="4360"/>
      <c r="P703" s="4360"/>
      <c r="Q703" s="4360"/>
      <c r="R703" s="4360"/>
      <c r="S703" s="4360"/>
      <c r="T703" s="4360"/>
      <c r="U703" s="4360"/>
      <c r="V703" s="4360"/>
      <c r="W703" s="4360"/>
    </row>
    <row r="704" spans="2:23" s="4273" customFormat="1">
      <c r="B704" s="4360"/>
      <c r="C704" s="4360"/>
      <c r="D704" s="4360"/>
      <c r="E704" s="4360"/>
      <c r="F704" s="4360"/>
      <c r="G704" s="4360"/>
      <c r="H704" s="4360"/>
      <c r="I704" s="4360"/>
      <c r="J704" s="4360"/>
      <c r="K704" s="4360"/>
      <c r="L704" s="4361"/>
      <c r="M704" s="4360"/>
      <c r="N704" s="4360"/>
      <c r="O704" s="4360"/>
      <c r="P704" s="4360"/>
      <c r="Q704" s="4360"/>
      <c r="R704" s="4360"/>
      <c r="S704" s="4360"/>
      <c r="T704" s="4360"/>
      <c r="U704" s="4360"/>
      <c r="V704" s="4360"/>
      <c r="W704" s="4360"/>
    </row>
    <row r="705" spans="2:23" s="4273" customFormat="1">
      <c r="B705" s="4360"/>
      <c r="C705" s="4360"/>
      <c r="D705" s="4360"/>
      <c r="E705" s="4360"/>
      <c r="F705" s="4360"/>
      <c r="G705" s="4360"/>
      <c r="H705" s="4360"/>
      <c r="I705" s="4360"/>
      <c r="J705" s="4360"/>
      <c r="K705" s="4360"/>
      <c r="L705" s="4361"/>
      <c r="M705" s="4360"/>
      <c r="N705" s="4360"/>
      <c r="O705" s="4360"/>
      <c r="P705" s="4360"/>
      <c r="Q705" s="4360"/>
      <c r="R705" s="4360"/>
      <c r="S705" s="4360"/>
      <c r="T705" s="4360"/>
      <c r="U705" s="4360"/>
      <c r="V705" s="4360"/>
      <c r="W705" s="4360"/>
    </row>
    <row r="706" spans="2:23" s="4273" customFormat="1">
      <c r="B706" s="4360"/>
      <c r="C706" s="4360"/>
      <c r="D706" s="4360"/>
      <c r="E706" s="4360"/>
      <c r="F706" s="4360"/>
      <c r="G706" s="4360"/>
      <c r="H706" s="4360"/>
      <c r="I706" s="4360"/>
      <c r="J706" s="4360"/>
      <c r="K706" s="4360"/>
      <c r="L706" s="4361"/>
      <c r="M706" s="4360"/>
      <c r="N706" s="4360"/>
      <c r="O706" s="4360"/>
      <c r="P706" s="4360"/>
      <c r="Q706" s="4360"/>
      <c r="R706" s="4360"/>
      <c r="S706" s="4360"/>
      <c r="T706" s="4360"/>
      <c r="U706" s="4360"/>
      <c r="V706" s="4360"/>
      <c r="W706" s="4360"/>
    </row>
    <row r="707" spans="2:23" s="4273" customFormat="1">
      <c r="B707" s="4360"/>
      <c r="C707" s="4360"/>
      <c r="D707" s="4360"/>
      <c r="E707" s="4360"/>
      <c r="F707" s="4360"/>
      <c r="G707" s="4360"/>
      <c r="H707" s="4360"/>
      <c r="I707" s="4360"/>
      <c r="J707" s="4360"/>
      <c r="K707" s="4360"/>
      <c r="L707" s="4361"/>
      <c r="M707" s="4360"/>
      <c r="N707" s="4360"/>
      <c r="O707" s="4360"/>
      <c r="P707" s="4360"/>
      <c r="Q707" s="4360"/>
      <c r="R707" s="4360"/>
      <c r="S707" s="4360"/>
      <c r="T707" s="4360"/>
      <c r="U707" s="4360"/>
      <c r="V707" s="4360"/>
      <c r="W707" s="4360"/>
    </row>
    <row r="708" spans="2:23" s="4273" customFormat="1">
      <c r="B708" s="4360"/>
      <c r="C708" s="4360"/>
      <c r="D708" s="4360"/>
      <c r="E708" s="4360"/>
      <c r="F708" s="4360"/>
      <c r="G708" s="4360"/>
      <c r="H708" s="4360"/>
      <c r="I708" s="4360"/>
      <c r="J708" s="4360"/>
      <c r="K708" s="4360"/>
      <c r="L708" s="4361"/>
      <c r="M708" s="4360"/>
      <c r="N708" s="4360"/>
      <c r="O708" s="4360"/>
      <c r="P708" s="4360"/>
      <c r="Q708" s="4360"/>
      <c r="R708" s="4360"/>
      <c r="S708" s="4360"/>
      <c r="T708" s="4360"/>
      <c r="U708" s="4360"/>
      <c r="V708" s="4360"/>
      <c r="W708" s="4360"/>
    </row>
    <row r="709" spans="2:23" s="4273" customFormat="1">
      <c r="B709" s="4360"/>
      <c r="C709" s="4360"/>
      <c r="D709" s="4360"/>
      <c r="E709" s="4360"/>
      <c r="F709" s="4360"/>
      <c r="G709" s="4360"/>
      <c r="H709" s="4360"/>
      <c r="I709" s="4360"/>
      <c r="J709" s="4360"/>
      <c r="K709" s="4360"/>
      <c r="L709" s="4361"/>
      <c r="M709" s="4360"/>
      <c r="N709" s="4360"/>
      <c r="O709" s="4360"/>
      <c r="P709" s="4360"/>
      <c r="Q709" s="4360"/>
      <c r="R709" s="4360"/>
      <c r="S709" s="4360"/>
      <c r="T709" s="4360"/>
      <c r="U709" s="4360"/>
      <c r="V709" s="4360"/>
      <c r="W709" s="4360"/>
    </row>
    <row r="710" spans="2:23" s="4273" customFormat="1">
      <c r="B710" s="4360"/>
      <c r="C710" s="4360"/>
      <c r="D710" s="4360"/>
      <c r="E710" s="4360"/>
      <c r="F710" s="4360"/>
      <c r="G710" s="4360"/>
      <c r="H710" s="4360"/>
      <c r="I710" s="4360"/>
      <c r="J710" s="4360"/>
      <c r="K710" s="4360"/>
      <c r="L710" s="4361"/>
      <c r="M710" s="4360"/>
      <c r="N710" s="4360"/>
      <c r="O710" s="4360"/>
      <c r="P710" s="4360"/>
      <c r="Q710" s="4360"/>
      <c r="R710" s="4360"/>
      <c r="S710" s="4360"/>
      <c r="T710" s="4360"/>
      <c r="U710" s="4360"/>
      <c r="V710" s="4360"/>
      <c r="W710" s="4360"/>
    </row>
    <row r="711" spans="2:23" s="4273" customFormat="1">
      <c r="B711" s="4360"/>
      <c r="C711" s="4360"/>
      <c r="D711" s="4360"/>
      <c r="E711" s="4360"/>
      <c r="F711" s="4360"/>
      <c r="G711" s="4360"/>
      <c r="H711" s="4360"/>
      <c r="I711" s="4360"/>
      <c r="J711" s="4360"/>
      <c r="K711" s="4360"/>
      <c r="L711" s="4361"/>
      <c r="M711" s="4360"/>
      <c r="N711" s="4360"/>
      <c r="O711" s="4360"/>
      <c r="P711" s="4360"/>
      <c r="Q711" s="4360"/>
      <c r="R711" s="4360"/>
      <c r="S711" s="4360"/>
      <c r="T711" s="4360"/>
      <c r="U711" s="4360"/>
      <c r="V711" s="4360"/>
      <c r="W711" s="4360"/>
    </row>
    <row r="712" spans="2:23" s="4273" customFormat="1">
      <c r="B712" s="4360"/>
      <c r="C712" s="4360"/>
      <c r="D712" s="4360"/>
      <c r="E712" s="4360"/>
      <c r="F712" s="4360"/>
      <c r="G712" s="4360"/>
      <c r="H712" s="4360"/>
      <c r="I712" s="4360"/>
      <c r="J712" s="4360"/>
      <c r="K712" s="4360"/>
      <c r="L712" s="4361"/>
      <c r="M712" s="4360"/>
      <c r="N712" s="4360"/>
      <c r="O712" s="4360"/>
      <c r="P712" s="4360"/>
      <c r="Q712" s="4360"/>
      <c r="R712" s="4360"/>
      <c r="S712" s="4360"/>
      <c r="T712" s="4360"/>
      <c r="U712" s="4360"/>
      <c r="V712" s="4360"/>
      <c r="W712" s="4360"/>
    </row>
    <row r="713" spans="2:23" s="4273" customFormat="1">
      <c r="B713" s="4360"/>
      <c r="C713" s="4360"/>
      <c r="D713" s="4360"/>
      <c r="E713" s="4360"/>
      <c r="F713" s="4360"/>
      <c r="G713" s="4360"/>
      <c r="H713" s="4360"/>
      <c r="I713" s="4360"/>
      <c r="J713" s="4360"/>
      <c r="K713" s="4360"/>
      <c r="L713" s="4361"/>
      <c r="M713" s="4360"/>
      <c r="N713" s="4360"/>
      <c r="O713" s="4360"/>
      <c r="P713" s="4360"/>
      <c r="Q713" s="4360"/>
      <c r="R713" s="4360"/>
      <c r="S713" s="4360"/>
      <c r="T713" s="4360"/>
      <c r="U713" s="4360"/>
      <c r="V713" s="4360"/>
      <c r="W713" s="4360"/>
    </row>
    <row r="714" spans="2:23" s="4273" customFormat="1">
      <c r="B714" s="4360"/>
      <c r="C714" s="4360"/>
      <c r="D714" s="4360"/>
      <c r="E714" s="4360"/>
      <c r="F714" s="4360"/>
      <c r="G714" s="4360"/>
      <c r="H714" s="4360"/>
      <c r="I714" s="4360"/>
      <c r="J714" s="4360"/>
      <c r="K714" s="4360"/>
      <c r="L714" s="4361"/>
      <c r="M714" s="4360"/>
      <c r="N714" s="4360"/>
      <c r="O714" s="4360"/>
      <c r="P714" s="4360"/>
      <c r="Q714" s="4360"/>
      <c r="R714" s="4360"/>
      <c r="S714" s="4360"/>
      <c r="T714" s="4360"/>
      <c r="U714" s="4360"/>
      <c r="V714" s="4360"/>
      <c r="W714" s="4360"/>
    </row>
    <row r="715" spans="2:23" s="4273" customFormat="1">
      <c r="B715" s="4360"/>
      <c r="C715" s="4360"/>
      <c r="D715" s="4360"/>
      <c r="E715" s="4360"/>
      <c r="F715" s="4360"/>
      <c r="G715" s="4360"/>
      <c r="H715" s="4360"/>
      <c r="I715" s="4360"/>
      <c r="J715" s="4360"/>
      <c r="K715" s="4360"/>
      <c r="L715" s="4361"/>
      <c r="M715" s="4360"/>
      <c r="N715" s="4360"/>
      <c r="O715" s="4360"/>
      <c r="P715" s="4360"/>
      <c r="Q715" s="4360"/>
      <c r="R715" s="4360"/>
      <c r="S715" s="4360"/>
      <c r="T715" s="4360"/>
      <c r="U715" s="4360"/>
      <c r="V715" s="4360"/>
      <c r="W715" s="4360"/>
    </row>
    <row r="716" spans="2:23" s="4273" customFormat="1">
      <c r="B716" s="4360"/>
      <c r="C716" s="4360"/>
      <c r="D716" s="4360"/>
      <c r="E716" s="4360"/>
      <c r="F716" s="4360"/>
      <c r="G716" s="4360"/>
      <c r="H716" s="4360"/>
      <c r="I716" s="4360"/>
      <c r="J716" s="4360"/>
      <c r="K716" s="4360"/>
      <c r="L716" s="4361"/>
      <c r="M716" s="4360"/>
      <c r="N716" s="4360"/>
      <c r="O716" s="4360"/>
      <c r="P716" s="4360"/>
      <c r="Q716" s="4360"/>
      <c r="R716" s="4360"/>
      <c r="S716" s="4360"/>
      <c r="T716" s="4360"/>
      <c r="U716" s="4360"/>
      <c r="V716" s="4360"/>
      <c r="W716" s="4360"/>
    </row>
    <row r="717" spans="2:23" s="4273" customFormat="1">
      <c r="B717" s="4360"/>
      <c r="C717" s="4360"/>
      <c r="D717" s="4360"/>
      <c r="E717" s="4360"/>
      <c r="F717" s="4360"/>
      <c r="G717" s="4360"/>
      <c r="H717" s="4360"/>
      <c r="I717" s="4360"/>
      <c r="J717" s="4360"/>
      <c r="K717" s="4360"/>
      <c r="L717" s="4361"/>
      <c r="M717" s="4360"/>
      <c r="N717" s="4360"/>
      <c r="O717" s="4360"/>
      <c r="P717" s="4360"/>
      <c r="Q717" s="4360"/>
      <c r="R717" s="4360"/>
      <c r="S717" s="4360"/>
      <c r="T717" s="4360"/>
      <c r="U717" s="4360"/>
      <c r="V717" s="4360"/>
      <c r="W717" s="4360"/>
    </row>
    <row r="718" spans="2:23" s="4273" customFormat="1">
      <c r="B718" s="4360"/>
      <c r="C718" s="4360"/>
      <c r="D718" s="4360"/>
      <c r="E718" s="4360"/>
      <c r="F718" s="4360"/>
      <c r="G718" s="4360"/>
      <c r="H718" s="4360"/>
      <c r="I718" s="4360"/>
      <c r="J718" s="4360"/>
      <c r="K718" s="4360"/>
      <c r="L718" s="4361"/>
      <c r="M718" s="4360"/>
      <c r="N718" s="4360"/>
      <c r="O718" s="4360"/>
      <c r="P718" s="4360"/>
      <c r="Q718" s="4360"/>
      <c r="R718" s="4360"/>
      <c r="S718" s="4360"/>
      <c r="T718" s="4360"/>
      <c r="U718" s="4360"/>
      <c r="V718" s="4360"/>
      <c r="W718" s="4360"/>
    </row>
    <row r="719" spans="2:23" s="4273" customFormat="1">
      <c r="B719" s="4360"/>
      <c r="C719" s="4360"/>
      <c r="D719" s="4360"/>
      <c r="E719" s="4360"/>
      <c r="F719" s="4360"/>
      <c r="G719" s="4360"/>
      <c r="H719" s="4360"/>
      <c r="I719" s="4360"/>
      <c r="J719" s="4360"/>
      <c r="K719" s="4360"/>
      <c r="L719" s="4361"/>
      <c r="M719" s="4360"/>
      <c r="N719" s="4360"/>
      <c r="O719" s="4360"/>
      <c r="P719" s="4360"/>
      <c r="Q719" s="4360"/>
      <c r="R719" s="4360"/>
      <c r="S719" s="4360"/>
      <c r="T719" s="4360"/>
      <c r="U719" s="4360"/>
      <c r="V719" s="4360"/>
      <c r="W719" s="4360"/>
    </row>
    <row r="720" spans="2:23" s="4273" customFormat="1">
      <c r="B720" s="4360"/>
      <c r="C720" s="4360"/>
      <c r="D720" s="4360"/>
      <c r="E720" s="4360"/>
      <c r="F720" s="4360"/>
      <c r="G720" s="4360"/>
      <c r="H720" s="4360"/>
      <c r="I720" s="4360"/>
      <c r="J720" s="4360"/>
      <c r="K720" s="4360"/>
      <c r="L720" s="4361"/>
      <c r="M720" s="4360"/>
      <c r="N720" s="4360"/>
      <c r="O720" s="4360"/>
      <c r="P720" s="4360"/>
      <c r="Q720" s="4360"/>
      <c r="R720" s="4360"/>
      <c r="S720" s="4360"/>
      <c r="T720" s="4360"/>
      <c r="U720" s="4360"/>
      <c r="V720" s="4360"/>
      <c r="W720" s="4360"/>
    </row>
    <row r="721" spans="2:23" s="4273" customFormat="1">
      <c r="B721" s="4360"/>
      <c r="C721" s="4360"/>
      <c r="D721" s="4360"/>
      <c r="E721" s="4360"/>
      <c r="F721" s="4360"/>
      <c r="G721" s="4360"/>
      <c r="H721" s="4360"/>
      <c r="I721" s="4360"/>
      <c r="J721" s="4360"/>
      <c r="K721" s="4360"/>
      <c r="L721" s="4361"/>
      <c r="M721" s="4360"/>
      <c r="N721" s="4360"/>
      <c r="O721" s="4360"/>
      <c r="P721" s="4360"/>
      <c r="Q721" s="4360"/>
      <c r="R721" s="4360"/>
      <c r="S721" s="4360"/>
      <c r="T721" s="4360"/>
      <c r="U721" s="4360"/>
      <c r="V721" s="4360"/>
      <c r="W721" s="4360"/>
    </row>
    <row r="722" spans="2:23" s="4273" customFormat="1">
      <c r="B722" s="4360"/>
      <c r="C722" s="4360"/>
      <c r="D722" s="4360"/>
      <c r="E722" s="4360"/>
      <c r="F722" s="4360"/>
      <c r="G722" s="4360"/>
      <c r="H722" s="4360"/>
      <c r="I722" s="4360"/>
      <c r="J722" s="4360"/>
      <c r="K722" s="4360"/>
      <c r="L722" s="4361"/>
      <c r="M722" s="4360"/>
      <c r="N722" s="4360"/>
      <c r="O722" s="4360"/>
      <c r="P722" s="4360"/>
      <c r="Q722" s="4360"/>
      <c r="R722" s="4360"/>
      <c r="S722" s="4360"/>
      <c r="T722" s="4360"/>
      <c r="U722" s="4360"/>
      <c r="V722" s="4360"/>
      <c r="W722" s="4360"/>
    </row>
    <row r="723" spans="2:23" s="4273" customFormat="1">
      <c r="B723" s="4360"/>
      <c r="C723" s="4360"/>
      <c r="D723" s="4360"/>
      <c r="E723" s="4360"/>
      <c r="F723" s="4360"/>
      <c r="G723" s="4360"/>
      <c r="H723" s="4360"/>
      <c r="I723" s="4360"/>
      <c r="J723" s="4360"/>
      <c r="K723" s="4360"/>
      <c r="L723" s="4361"/>
      <c r="M723" s="4360"/>
      <c r="N723" s="4360"/>
      <c r="O723" s="4360"/>
      <c r="P723" s="4360"/>
      <c r="Q723" s="4360"/>
      <c r="R723" s="4360"/>
      <c r="S723" s="4360"/>
      <c r="T723" s="4360"/>
      <c r="U723" s="4360"/>
      <c r="V723" s="4360"/>
      <c r="W723" s="4360"/>
    </row>
    <row r="724" spans="2:23" s="4273" customFormat="1">
      <c r="B724" s="4360"/>
      <c r="C724" s="4360"/>
      <c r="D724" s="4360"/>
      <c r="E724" s="4360"/>
      <c r="F724" s="4360"/>
      <c r="G724" s="4360"/>
      <c r="H724" s="4360"/>
      <c r="I724" s="4360"/>
      <c r="J724" s="4360"/>
      <c r="K724" s="4360"/>
      <c r="L724" s="4361"/>
      <c r="M724" s="4360"/>
      <c r="N724" s="4360"/>
      <c r="O724" s="4360"/>
      <c r="P724" s="4360"/>
      <c r="Q724" s="4360"/>
      <c r="R724" s="4360"/>
      <c r="S724" s="4360"/>
      <c r="T724" s="4360"/>
      <c r="U724" s="4360"/>
      <c r="V724" s="4360"/>
      <c r="W724" s="4360"/>
    </row>
    <row r="725" spans="2:23" s="4273" customFormat="1">
      <c r="B725" s="4360"/>
      <c r="C725" s="4360"/>
      <c r="D725" s="4360"/>
      <c r="E725" s="4360"/>
      <c r="F725" s="4360"/>
      <c r="G725" s="4360"/>
      <c r="H725" s="4360"/>
      <c r="I725" s="4360"/>
      <c r="J725" s="4360"/>
      <c r="K725" s="4360"/>
      <c r="L725" s="4361"/>
      <c r="M725" s="4360"/>
      <c r="N725" s="4360"/>
      <c r="O725" s="4360"/>
      <c r="P725" s="4360"/>
      <c r="Q725" s="4360"/>
      <c r="R725" s="4360"/>
      <c r="S725" s="4360"/>
      <c r="T725" s="4360"/>
      <c r="U725" s="4360"/>
      <c r="V725" s="4360"/>
      <c r="W725" s="4360"/>
    </row>
    <row r="726" spans="2:23" s="4273" customFormat="1">
      <c r="B726" s="4360"/>
      <c r="C726" s="4360"/>
      <c r="D726" s="4360"/>
      <c r="E726" s="4360"/>
      <c r="F726" s="4360"/>
      <c r="G726" s="4360"/>
      <c r="H726" s="4360"/>
      <c r="I726" s="4360"/>
      <c r="J726" s="4360"/>
      <c r="K726" s="4360"/>
      <c r="L726" s="4361"/>
      <c r="M726" s="4360"/>
      <c r="N726" s="4360"/>
      <c r="O726" s="4360"/>
      <c r="P726" s="4360"/>
      <c r="Q726" s="4360"/>
      <c r="R726" s="4360"/>
      <c r="S726" s="4360"/>
      <c r="T726" s="4360"/>
      <c r="U726" s="4360"/>
      <c r="V726" s="4360"/>
      <c r="W726" s="4360"/>
    </row>
    <row r="727" spans="2:23" s="4273" customFormat="1">
      <c r="B727" s="4360"/>
      <c r="C727" s="4360"/>
      <c r="D727" s="4360"/>
      <c r="E727" s="4360"/>
      <c r="F727" s="4360"/>
      <c r="G727" s="4360"/>
      <c r="H727" s="4360"/>
      <c r="I727" s="4360"/>
      <c r="J727" s="4360"/>
      <c r="K727" s="4360"/>
      <c r="L727" s="4361"/>
      <c r="M727" s="4360"/>
      <c r="N727" s="4360"/>
      <c r="O727" s="4360"/>
      <c r="P727" s="4360"/>
      <c r="Q727" s="4360"/>
      <c r="R727" s="4360"/>
      <c r="S727" s="4360"/>
      <c r="T727" s="4360"/>
      <c r="U727" s="4360"/>
      <c r="V727" s="4360"/>
      <c r="W727" s="4360"/>
    </row>
    <row r="728" spans="2:23" s="4273" customFormat="1">
      <c r="B728" s="4360"/>
      <c r="C728" s="4360"/>
      <c r="D728" s="4360"/>
      <c r="E728" s="4360"/>
      <c r="F728" s="4360"/>
      <c r="G728" s="4360"/>
      <c r="H728" s="4360"/>
      <c r="I728" s="4360"/>
      <c r="J728" s="4360"/>
      <c r="K728" s="4360"/>
      <c r="L728" s="4361"/>
      <c r="M728" s="4360"/>
      <c r="N728" s="4360"/>
      <c r="O728" s="4360"/>
      <c r="P728" s="4360"/>
      <c r="Q728" s="4360"/>
      <c r="R728" s="4360"/>
      <c r="S728" s="4360"/>
      <c r="T728" s="4360"/>
      <c r="U728" s="4360"/>
      <c r="V728" s="4360"/>
      <c r="W728" s="4360"/>
    </row>
    <row r="729" spans="2:23" s="4273" customFormat="1">
      <c r="B729" s="4360"/>
      <c r="C729" s="4360"/>
      <c r="D729" s="4360"/>
      <c r="E729" s="4360"/>
      <c r="F729" s="4360"/>
      <c r="G729" s="4360"/>
      <c r="H729" s="4360"/>
      <c r="I729" s="4360"/>
      <c r="J729" s="4360"/>
      <c r="K729" s="4360"/>
      <c r="L729" s="4361"/>
      <c r="M729" s="4360"/>
      <c r="N729" s="4360"/>
      <c r="O729" s="4360"/>
      <c r="P729" s="4360"/>
      <c r="Q729" s="4360"/>
      <c r="R729" s="4360"/>
      <c r="S729" s="4360"/>
      <c r="T729" s="4360"/>
      <c r="U729" s="4360"/>
      <c r="V729" s="4360"/>
      <c r="W729" s="4360"/>
    </row>
    <row r="730" spans="2:23" s="4273" customFormat="1">
      <c r="B730" s="4360"/>
      <c r="C730" s="4360"/>
      <c r="D730" s="4360"/>
      <c r="E730" s="4360"/>
      <c r="F730" s="4360"/>
      <c r="G730" s="4360"/>
      <c r="H730" s="4360"/>
      <c r="I730" s="4360"/>
      <c r="J730" s="4360"/>
      <c r="K730" s="4360"/>
      <c r="L730" s="4361"/>
      <c r="M730" s="4360"/>
      <c r="N730" s="4360"/>
      <c r="O730" s="4360"/>
      <c r="P730" s="4360"/>
      <c r="Q730" s="4360"/>
      <c r="R730" s="4360"/>
      <c r="S730" s="4360"/>
      <c r="T730" s="4360"/>
      <c r="U730" s="4360"/>
      <c r="V730" s="4360"/>
      <c r="W730" s="4360"/>
    </row>
    <row r="731" spans="2:23" s="4273" customFormat="1">
      <c r="B731" s="4360"/>
      <c r="C731" s="4360"/>
      <c r="D731" s="4360"/>
      <c r="E731" s="4360"/>
      <c r="F731" s="4360"/>
      <c r="G731" s="4360"/>
      <c r="H731" s="4360"/>
      <c r="I731" s="4360"/>
      <c r="J731" s="4360"/>
      <c r="K731" s="4360"/>
      <c r="L731" s="4361"/>
      <c r="M731" s="4360"/>
      <c r="N731" s="4360"/>
      <c r="O731" s="4360"/>
      <c r="P731" s="4360"/>
      <c r="Q731" s="4360"/>
      <c r="R731" s="4360"/>
      <c r="S731" s="4360"/>
      <c r="T731" s="4360"/>
      <c r="U731" s="4360"/>
      <c r="V731" s="4360"/>
      <c r="W731" s="4360"/>
    </row>
    <row r="732" spans="2:23" s="4273" customFormat="1">
      <c r="B732" s="4360"/>
      <c r="C732" s="4360"/>
      <c r="D732" s="4360"/>
      <c r="E732" s="4360"/>
      <c r="F732" s="4360"/>
      <c r="G732" s="4360"/>
      <c r="H732" s="4360"/>
      <c r="I732" s="4360"/>
      <c r="J732" s="4360"/>
      <c r="K732" s="4360"/>
      <c r="L732" s="4361"/>
      <c r="M732" s="4360"/>
      <c r="N732" s="4360"/>
      <c r="O732" s="4360"/>
      <c r="P732" s="4360"/>
      <c r="Q732" s="4360"/>
      <c r="R732" s="4360"/>
      <c r="S732" s="4360"/>
      <c r="T732" s="4360"/>
      <c r="U732" s="4360"/>
      <c r="V732" s="4360"/>
      <c r="W732" s="4360"/>
    </row>
    <row r="733" spans="2:23" s="4273" customFormat="1">
      <c r="B733" s="4360"/>
      <c r="C733" s="4360"/>
      <c r="D733" s="4360"/>
      <c r="E733" s="4360"/>
      <c r="F733" s="4360"/>
      <c r="G733" s="4360"/>
      <c r="H733" s="4360"/>
      <c r="I733" s="4360"/>
      <c r="J733" s="4360"/>
      <c r="K733" s="4360"/>
      <c r="L733" s="4361"/>
      <c r="M733" s="4360"/>
      <c r="N733" s="4360"/>
      <c r="O733" s="4360"/>
      <c r="P733" s="4360"/>
      <c r="Q733" s="4360"/>
      <c r="R733" s="4360"/>
      <c r="S733" s="4360"/>
      <c r="T733" s="4360"/>
      <c r="U733" s="4360"/>
      <c r="V733" s="4360"/>
      <c r="W733" s="4360"/>
    </row>
    <row r="734" spans="2:23" s="4273" customFormat="1">
      <c r="B734" s="4360"/>
      <c r="C734" s="4360"/>
      <c r="D734" s="4360"/>
      <c r="E734" s="4360"/>
      <c r="F734" s="4360"/>
      <c r="G734" s="4360"/>
      <c r="H734" s="4360"/>
      <c r="I734" s="4360"/>
      <c r="J734" s="4360"/>
      <c r="K734" s="4360"/>
      <c r="L734" s="4361"/>
      <c r="M734" s="4360"/>
      <c r="N734" s="4360"/>
      <c r="O734" s="4360"/>
      <c r="P734" s="4360"/>
      <c r="Q734" s="4360"/>
      <c r="R734" s="4360"/>
      <c r="S734" s="4360"/>
      <c r="T734" s="4360"/>
      <c r="U734" s="4360"/>
      <c r="V734" s="4360"/>
      <c r="W734" s="4360"/>
    </row>
    <row r="735" spans="2:23" s="4273" customFormat="1">
      <c r="B735" s="4360"/>
      <c r="C735" s="4360"/>
      <c r="D735" s="4360"/>
      <c r="E735" s="4360"/>
      <c r="F735" s="4360"/>
      <c r="G735" s="4360"/>
      <c r="H735" s="4360"/>
      <c r="I735" s="4360"/>
      <c r="J735" s="4360"/>
      <c r="K735" s="4360"/>
      <c r="L735" s="4361"/>
      <c r="M735" s="4360"/>
      <c r="N735" s="4360"/>
      <c r="O735" s="4360"/>
      <c r="P735" s="4360"/>
      <c r="Q735" s="4360"/>
      <c r="R735" s="4360"/>
      <c r="S735" s="4360"/>
      <c r="T735" s="4360"/>
      <c r="U735" s="4360"/>
      <c r="V735" s="4360"/>
      <c r="W735" s="4360"/>
    </row>
    <row r="736" spans="2:23" s="4273" customFormat="1">
      <c r="B736" s="4360"/>
      <c r="C736" s="4360"/>
      <c r="D736" s="4360"/>
      <c r="E736" s="4360"/>
      <c r="F736" s="4360"/>
      <c r="G736" s="4360"/>
      <c r="H736" s="4360"/>
      <c r="I736" s="4360"/>
      <c r="J736" s="4360"/>
      <c r="K736" s="4360"/>
      <c r="L736" s="4361"/>
      <c r="M736" s="4360"/>
      <c r="N736" s="4360"/>
      <c r="O736" s="4360"/>
      <c r="P736" s="4360"/>
      <c r="Q736" s="4360"/>
      <c r="R736" s="4360"/>
      <c r="S736" s="4360"/>
      <c r="T736" s="4360"/>
      <c r="U736" s="4360"/>
      <c r="V736" s="4360"/>
      <c r="W736" s="4360"/>
    </row>
    <row r="737" spans="2:23" s="4273" customFormat="1">
      <c r="B737" s="4360"/>
      <c r="C737" s="4360"/>
      <c r="D737" s="4360"/>
      <c r="E737" s="4360"/>
      <c r="F737" s="4360"/>
      <c r="G737" s="4360"/>
      <c r="H737" s="4360"/>
      <c r="I737" s="4360"/>
      <c r="J737" s="4360"/>
      <c r="K737" s="4360"/>
      <c r="L737" s="4361"/>
      <c r="M737" s="4360"/>
      <c r="N737" s="4360"/>
      <c r="O737" s="4360"/>
      <c r="P737" s="4360"/>
      <c r="Q737" s="4360"/>
      <c r="R737" s="4360"/>
      <c r="S737" s="4360"/>
      <c r="T737" s="4360"/>
      <c r="U737" s="4360"/>
      <c r="V737" s="4360"/>
      <c r="W737" s="4360"/>
    </row>
    <row r="738" spans="2:23" s="4273" customFormat="1">
      <c r="B738" s="4360"/>
      <c r="C738" s="4360"/>
      <c r="D738" s="4360"/>
      <c r="E738" s="4360"/>
      <c r="F738" s="4360"/>
      <c r="G738" s="4360"/>
      <c r="H738" s="4360"/>
      <c r="I738" s="4360"/>
      <c r="J738" s="4360"/>
      <c r="K738" s="4360"/>
      <c r="L738" s="4361"/>
      <c r="M738" s="4360"/>
      <c r="N738" s="4360"/>
      <c r="O738" s="4360"/>
      <c r="P738" s="4360"/>
      <c r="Q738" s="4360"/>
      <c r="R738" s="4360"/>
      <c r="S738" s="4360"/>
      <c r="T738" s="4360"/>
      <c r="U738" s="4360"/>
      <c r="V738" s="4360"/>
      <c r="W738" s="4360"/>
    </row>
    <row r="739" spans="2:23" s="4273" customFormat="1">
      <c r="B739" s="4360"/>
      <c r="C739" s="4360"/>
      <c r="D739" s="4360"/>
      <c r="E739" s="4360"/>
      <c r="F739" s="4360"/>
      <c r="G739" s="4360"/>
      <c r="H739" s="4360"/>
      <c r="I739" s="4360"/>
      <c r="J739" s="4360"/>
      <c r="K739" s="4360"/>
      <c r="L739" s="4361"/>
      <c r="M739" s="4360"/>
      <c r="N739" s="4360"/>
      <c r="O739" s="4360"/>
      <c r="P739" s="4360"/>
      <c r="Q739" s="4360"/>
      <c r="R739" s="4360"/>
      <c r="S739" s="4360"/>
      <c r="T739" s="4360"/>
      <c r="U739" s="4360"/>
      <c r="V739" s="4360"/>
      <c r="W739" s="4360"/>
    </row>
    <row r="740" spans="2:23" s="4273" customFormat="1">
      <c r="B740" s="4360"/>
      <c r="C740" s="4360"/>
      <c r="D740" s="4360"/>
      <c r="E740" s="4360"/>
      <c r="F740" s="4360"/>
      <c r="G740" s="4360"/>
      <c r="H740" s="4360"/>
      <c r="I740" s="4360"/>
      <c r="J740" s="4360"/>
      <c r="K740" s="4360"/>
      <c r="L740" s="4361"/>
      <c r="M740" s="4360"/>
      <c r="N740" s="4360"/>
      <c r="O740" s="4360"/>
      <c r="P740" s="4360"/>
      <c r="Q740" s="4360"/>
      <c r="R740" s="4360"/>
      <c r="S740" s="4360"/>
      <c r="T740" s="4360"/>
      <c r="U740" s="4360"/>
      <c r="V740" s="4360"/>
      <c r="W740" s="4360"/>
    </row>
    <row r="741" spans="2:23" s="4273" customFormat="1">
      <c r="B741" s="4360"/>
      <c r="C741" s="4360"/>
      <c r="D741" s="4360"/>
      <c r="E741" s="4360"/>
      <c r="F741" s="4360"/>
      <c r="G741" s="4360"/>
      <c r="H741" s="4360"/>
      <c r="I741" s="4360"/>
      <c r="J741" s="4360"/>
      <c r="K741" s="4360"/>
      <c r="L741" s="4361"/>
      <c r="M741" s="4360"/>
      <c r="N741" s="4360"/>
      <c r="O741" s="4360"/>
      <c r="P741" s="4360"/>
      <c r="Q741" s="4360"/>
      <c r="R741" s="4360"/>
      <c r="S741" s="4360"/>
      <c r="T741" s="4360"/>
      <c r="U741" s="4360"/>
      <c r="V741" s="4360"/>
      <c r="W741" s="4360"/>
    </row>
    <row r="742" spans="2:23" s="4273" customFormat="1">
      <c r="B742" s="4360"/>
      <c r="C742" s="4360"/>
      <c r="D742" s="4360"/>
      <c r="E742" s="4360"/>
      <c r="F742" s="4360"/>
      <c r="G742" s="4360"/>
      <c r="H742" s="4360"/>
      <c r="I742" s="4360"/>
      <c r="J742" s="4360"/>
      <c r="K742" s="4360"/>
      <c r="L742" s="4361"/>
      <c r="M742" s="4360"/>
      <c r="N742" s="4360"/>
      <c r="O742" s="4360"/>
      <c r="P742" s="4360"/>
      <c r="Q742" s="4360"/>
      <c r="R742" s="4360"/>
      <c r="S742" s="4360"/>
      <c r="T742" s="4360"/>
      <c r="U742" s="4360"/>
      <c r="V742" s="4360"/>
      <c r="W742" s="4360"/>
    </row>
    <row r="743" spans="2:23" s="4273" customFormat="1">
      <c r="B743" s="4360"/>
      <c r="C743" s="4360"/>
      <c r="D743" s="4360"/>
      <c r="E743" s="4360"/>
      <c r="F743" s="4360"/>
      <c r="G743" s="4360"/>
      <c r="H743" s="4360"/>
      <c r="I743" s="4360"/>
      <c r="J743" s="4360"/>
      <c r="K743" s="4360"/>
      <c r="L743" s="4361"/>
      <c r="M743" s="4360"/>
      <c r="N743" s="4360"/>
      <c r="O743" s="4360"/>
      <c r="P743" s="4360"/>
      <c r="Q743" s="4360"/>
      <c r="R743" s="4360"/>
      <c r="S743" s="4360"/>
      <c r="T743" s="4360"/>
      <c r="U743" s="4360"/>
      <c r="V743" s="4360"/>
      <c r="W743" s="4360"/>
    </row>
    <row r="744" spans="2:23" s="4273" customFormat="1">
      <c r="B744" s="4360"/>
      <c r="C744" s="4360"/>
      <c r="D744" s="4360"/>
      <c r="E744" s="4360"/>
      <c r="F744" s="4360"/>
      <c r="G744" s="4360"/>
      <c r="H744" s="4360"/>
      <c r="I744" s="4360"/>
      <c r="J744" s="4360"/>
      <c r="K744" s="4360"/>
      <c r="L744" s="4361"/>
      <c r="M744" s="4360"/>
      <c r="N744" s="4360"/>
      <c r="O744" s="4360"/>
      <c r="P744" s="4360"/>
      <c r="Q744" s="4360"/>
      <c r="R744" s="4360"/>
      <c r="S744" s="4360"/>
      <c r="T744" s="4360"/>
      <c r="U744" s="4360"/>
      <c r="V744" s="4360"/>
      <c r="W744" s="4360"/>
    </row>
    <row r="745" spans="2:23" s="4273" customFormat="1">
      <c r="B745" s="4360"/>
      <c r="C745" s="4360"/>
      <c r="D745" s="4360"/>
      <c r="E745" s="4360"/>
      <c r="F745" s="4360"/>
      <c r="G745" s="4360"/>
      <c r="H745" s="4360"/>
      <c r="I745" s="4360"/>
      <c r="J745" s="4360"/>
      <c r="K745" s="4360"/>
      <c r="L745" s="4361"/>
      <c r="M745" s="4360"/>
      <c r="N745" s="4360"/>
      <c r="O745" s="4360"/>
      <c r="P745" s="4360"/>
      <c r="Q745" s="4360"/>
      <c r="R745" s="4360"/>
      <c r="S745" s="4360"/>
      <c r="T745" s="4360"/>
      <c r="U745" s="4360"/>
      <c r="V745" s="4360"/>
      <c r="W745" s="4360"/>
    </row>
    <row r="746" spans="2:23" s="4273" customFormat="1">
      <c r="B746" s="4360"/>
      <c r="C746" s="4360"/>
      <c r="D746" s="4360"/>
      <c r="E746" s="4360"/>
      <c r="F746" s="4360"/>
      <c r="G746" s="4360"/>
      <c r="H746" s="4360"/>
      <c r="I746" s="4360"/>
      <c r="J746" s="4360"/>
      <c r="K746" s="4360"/>
      <c r="L746" s="4361"/>
      <c r="M746" s="4360"/>
      <c r="N746" s="4360"/>
      <c r="O746" s="4360"/>
      <c r="P746" s="4360"/>
      <c r="Q746" s="4360"/>
      <c r="R746" s="4360"/>
      <c r="S746" s="4360"/>
      <c r="T746" s="4360"/>
      <c r="U746" s="4360"/>
      <c r="V746" s="4360"/>
      <c r="W746" s="4360"/>
    </row>
    <row r="747" spans="2:23" s="4273" customFormat="1">
      <c r="B747" s="4360"/>
      <c r="C747" s="4360"/>
      <c r="D747" s="4360"/>
      <c r="E747" s="4360"/>
      <c r="F747" s="4360"/>
      <c r="G747" s="4360"/>
      <c r="H747" s="4360"/>
      <c r="I747" s="4360"/>
      <c r="J747" s="4360"/>
      <c r="K747" s="4360"/>
      <c r="L747" s="4361"/>
      <c r="M747" s="4360"/>
      <c r="N747" s="4360"/>
      <c r="O747" s="4360"/>
      <c r="P747" s="4360"/>
      <c r="Q747" s="4360"/>
      <c r="R747" s="4360"/>
      <c r="S747" s="4360"/>
      <c r="T747" s="4360"/>
      <c r="U747" s="4360"/>
      <c r="V747" s="4360"/>
      <c r="W747" s="4360"/>
    </row>
    <row r="748" spans="2:23" s="4273" customFormat="1">
      <c r="B748" s="4360"/>
      <c r="C748" s="4360"/>
      <c r="D748" s="4360"/>
      <c r="E748" s="4360"/>
      <c r="F748" s="4360"/>
      <c r="G748" s="4360"/>
      <c r="H748" s="4360"/>
      <c r="I748" s="4360"/>
      <c r="J748" s="4360"/>
      <c r="K748" s="4360"/>
      <c r="L748" s="4361"/>
      <c r="M748" s="4360"/>
      <c r="N748" s="4360"/>
      <c r="O748" s="4360"/>
      <c r="P748" s="4360"/>
      <c r="Q748" s="4360"/>
      <c r="R748" s="4360"/>
      <c r="S748" s="4360"/>
      <c r="T748" s="4360"/>
      <c r="U748" s="4360"/>
      <c r="V748" s="4360"/>
      <c r="W748" s="4360"/>
    </row>
    <row r="749" spans="2:23" s="4273" customFormat="1">
      <c r="B749" s="4360"/>
      <c r="C749" s="4360"/>
      <c r="D749" s="4360"/>
      <c r="E749" s="4360"/>
      <c r="F749" s="4360"/>
      <c r="G749" s="4360"/>
      <c r="H749" s="4360"/>
      <c r="I749" s="4360"/>
      <c r="J749" s="4360"/>
      <c r="K749" s="4360"/>
      <c r="L749" s="4361"/>
      <c r="M749" s="4360"/>
      <c r="N749" s="4360"/>
      <c r="O749" s="4360"/>
      <c r="P749" s="4360"/>
      <c r="Q749" s="4360"/>
      <c r="R749" s="4360"/>
      <c r="S749" s="4360"/>
      <c r="T749" s="4360"/>
      <c r="U749" s="4360"/>
      <c r="V749" s="4360"/>
      <c r="W749" s="4360"/>
    </row>
    <row r="750" spans="2:23" s="4273" customFormat="1">
      <c r="B750" s="4360"/>
      <c r="C750" s="4360"/>
      <c r="D750" s="4360"/>
      <c r="E750" s="4360"/>
      <c r="F750" s="4360"/>
      <c r="G750" s="4360"/>
      <c r="H750" s="4360"/>
      <c r="I750" s="4360"/>
      <c r="J750" s="4360"/>
      <c r="K750" s="4360"/>
      <c r="L750" s="4361"/>
      <c r="M750" s="4360"/>
      <c r="N750" s="4360"/>
      <c r="O750" s="4360"/>
      <c r="P750" s="4360"/>
      <c r="Q750" s="4360"/>
      <c r="R750" s="4360"/>
      <c r="S750" s="4360"/>
      <c r="T750" s="4360"/>
      <c r="U750" s="4360"/>
      <c r="V750" s="4360"/>
      <c r="W750" s="4360"/>
    </row>
    <row r="751" spans="2:23" s="4273" customFormat="1">
      <c r="B751" s="4360"/>
      <c r="C751" s="4360"/>
      <c r="D751" s="4360"/>
      <c r="E751" s="4360"/>
      <c r="F751" s="4360"/>
      <c r="G751" s="4360"/>
      <c r="H751" s="4360"/>
      <c r="I751" s="4360"/>
      <c r="J751" s="4360"/>
      <c r="K751" s="4360"/>
      <c r="L751" s="4361"/>
      <c r="M751" s="4360"/>
      <c r="N751" s="4360"/>
      <c r="O751" s="4360"/>
      <c r="P751" s="4360"/>
      <c r="Q751" s="4360"/>
      <c r="R751" s="4360"/>
      <c r="S751" s="4360"/>
      <c r="T751" s="4360"/>
      <c r="U751" s="4360"/>
      <c r="V751" s="4360"/>
      <c r="W751" s="4360"/>
    </row>
    <row r="752" spans="2:23" s="4273" customFormat="1">
      <c r="B752" s="4360"/>
      <c r="C752" s="4360"/>
      <c r="D752" s="4360"/>
      <c r="E752" s="4360"/>
      <c r="F752" s="4360"/>
      <c r="G752" s="4360"/>
      <c r="H752" s="4360"/>
      <c r="I752" s="4360"/>
      <c r="J752" s="4360"/>
      <c r="K752" s="4360"/>
      <c r="L752" s="4361"/>
      <c r="M752" s="4360"/>
      <c r="N752" s="4360"/>
      <c r="O752" s="4360"/>
      <c r="P752" s="4360"/>
      <c r="Q752" s="4360"/>
      <c r="R752" s="4360"/>
      <c r="S752" s="4360"/>
      <c r="T752" s="4360"/>
      <c r="U752" s="4360"/>
      <c r="V752" s="4360"/>
      <c r="W752" s="4360"/>
    </row>
    <row r="753" spans="2:23" s="4273" customFormat="1">
      <c r="B753" s="4360"/>
      <c r="C753" s="4360"/>
      <c r="D753" s="4360"/>
      <c r="E753" s="4360"/>
      <c r="F753" s="4360"/>
      <c r="G753" s="4360"/>
      <c r="H753" s="4360"/>
      <c r="I753" s="4360"/>
      <c r="J753" s="4360"/>
      <c r="K753" s="4360"/>
      <c r="L753" s="4361"/>
      <c r="M753" s="4360"/>
      <c r="N753" s="4360"/>
      <c r="O753" s="4360"/>
      <c r="P753" s="4360"/>
      <c r="Q753" s="4360"/>
      <c r="R753" s="4360"/>
      <c r="S753" s="4360"/>
      <c r="T753" s="4360"/>
      <c r="U753" s="4360"/>
      <c r="V753" s="4360"/>
      <c r="W753" s="4360"/>
    </row>
    <row r="754" spans="2:23" s="4273" customFormat="1">
      <c r="B754" s="4360"/>
      <c r="C754" s="4360"/>
      <c r="D754" s="4360"/>
      <c r="E754" s="4360"/>
      <c r="F754" s="4360"/>
      <c r="G754" s="4360"/>
      <c r="H754" s="4360"/>
      <c r="I754" s="4360"/>
      <c r="J754" s="4360"/>
      <c r="K754" s="4360"/>
      <c r="L754" s="4361"/>
      <c r="M754" s="4360"/>
      <c r="N754" s="4360"/>
      <c r="O754" s="4360"/>
      <c r="P754" s="4360"/>
      <c r="Q754" s="4360"/>
      <c r="R754" s="4360"/>
      <c r="S754" s="4360"/>
      <c r="T754" s="4360"/>
      <c r="U754" s="4360"/>
      <c r="V754" s="4360"/>
      <c r="W754" s="4360"/>
    </row>
    <row r="755" spans="2:23" s="4273" customFormat="1">
      <c r="B755" s="4360"/>
      <c r="C755" s="4360"/>
      <c r="D755" s="4360"/>
      <c r="E755" s="4360"/>
      <c r="F755" s="4360"/>
      <c r="G755" s="4360"/>
      <c r="H755" s="4360"/>
      <c r="I755" s="4360"/>
      <c r="J755" s="4360"/>
      <c r="K755" s="4360"/>
      <c r="L755" s="4361"/>
      <c r="M755" s="4360"/>
      <c r="N755" s="4360"/>
      <c r="O755" s="4360"/>
      <c r="P755" s="4360"/>
      <c r="Q755" s="4360"/>
      <c r="R755" s="4360"/>
      <c r="S755" s="4360"/>
      <c r="T755" s="4360"/>
      <c r="U755" s="4360"/>
      <c r="V755" s="4360"/>
      <c r="W755" s="4360"/>
    </row>
    <row r="756" spans="2:23" s="4273" customFormat="1">
      <c r="B756" s="4360"/>
      <c r="C756" s="4360"/>
      <c r="D756" s="4360"/>
      <c r="E756" s="4360"/>
      <c r="F756" s="4360"/>
      <c r="G756" s="4360"/>
      <c r="H756" s="4360"/>
      <c r="I756" s="4360"/>
      <c r="J756" s="4360"/>
      <c r="K756" s="4360"/>
      <c r="L756" s="4361"/>
      <c r="M756" s="4360"/>
      <c r="N756" s="4360"/>
      <c r="O756" s="4360"/>
      <c r="P756" s="4360"/>
      <c r="Q756" s="4360"/>
      <c r="R756" s="4360"/>
      <c r="S756" s="4360"/>
      <c r="T756" s="4360"/>
      <c r="U756" s="4360"/>
      <c r="V756" s="4360"/>
      <c r="W756" s="4360"/>
    </row>
    <row r="757" spans="2:23" s="4273" customFormat="1">
      <c r="B757" s="4360"/>
      <c r="C757" s="4360"/>
      <c r="D757" s="4360"/>
      <c r="E757" s="4360"/>
      <c r="F757" s="4360"/>
      <c r="G757" s="4360"/>
      <c r="H757" s="4360"/>
      <c r="I757" s="4360"/>
      <c r="J757" s="4360"/>
      <c r="K757" s="4360"/>
      <c r="L757" s="4361"/>
      <c r="M757" s="4360"/>
      <c r="N757" s="4360"/>
      <c r="O757" s="4360"/>
      <c r="P757" s="4360"/>
      <c r="Q757" s="4360"/>
      <c r="R757" s="4360"/>
      <c r="S757" s="4360"/>
      <c r="T757" s="4360"/>
      <c r="U757" s="4360"/>
      <c r="V757" s="4360"/>
      <c r="W757" s="4360"/>
    </row>
    <row r="758" spans="2:23" s="4273" customFormat="1">
      <c r="B758" s="4360"/>
      <c r="C758" s="4360"/>
      <c r="D758" s="4360"/>
      <c r="E758" s="4360"/>
      <c r="F758" s="4360"/>
      <c r="G758" s="4360"/>
      <c r="H758" s="4360"/>
      <c r="I758" s="4360"/>
      <c r="J758" s="4360"/>
      <c r="K758" s="4360"/>
      <c r="L758" s="4361"/>
      <c r="M758" s="4360"/>
      <c r="N758" s="4360"/>
      <c r="O758" s="4360"/>
      <c r="P758" s="4360"/>
      <c r="Q758" s="4360"/>
      <c r="R758" s="4360"/>
      <c r="S758" s="4360"/>
      <c r="T758" s="4360"/>
      <c r="U758" s="4360"/>
      <c r="V758" s="4360"/>
      <c r="W758" s="4360"/>
    </row>
    <row r="759" spans="2:23" s="4273" customFormat="1">
      <c r="B759" s="4360"/>
      <c r="C759" s="4360"/>
      <c r="D759" s="4360"/>
      <c r="E759" s="4360"/>
      <c r="F759" s="4360"/>
      <c r="G759" s="4360"/>
      <c r="H759" s="4360"/>
      <c r="I759" s="4360"/>
      <c r="J759" s="4360"/>
      <c r="K759" s="4360"/>
      <c r="L759" s="4361"/>
      <c r="M759" s="4360"/>
      <c r="N759" s="4360"/>
      <c r="O759" s="4360"/>
      <c r="P759" s="4360"/>
      <c r="Q759" s="4360"/>
      <c r="R759" s="4360"/>
      <c r="S759" s="4360"/>
      <c r="T759" s="4360"/>
      <c r="U759" s="4360"/>
      <c r="V759" s="4360"/>
      <c r="W759" s="4360"/>
    </row>
    <row r="760" spans="2:23" s="4273" customFormat="1">
      <c r="B760" s="4360"/>
      <c r="C760" s="4360"/>
      <c r="D760" s="4360"/>
      <c r="E760" s="4360"/>
      <c r="F760" s="4360"/>
      <c r="G760" s="4360"/>
      <c r="H760" s="4360"/>
      <c r="I760" s="4360"/>
      <c r="J760" s="4360"/>
      <c r="K760" s="4360"/>
      <c r="L760" s="4361"/>
      <c r="M760" s="4360"/>
      <c r="N760" s="4360"/>
      <c r="O760" s="4360"/>
      <c r="P760" s="4360"/>
      <c r="Q760" s="4360"/>
      <c r="R760" s="4360"/>
      <c r="S760" s="4360"/>
      <c r="T760" s="4360"/>
      <c r="U760" s="4360"/>
      <c r="V760" s="4360"/>
      <c r="W760" s="4360"/>
    </row>
    <row r="761" spans="2:23" s="4273" customFormat="1">
      <c r="B761" s="4360"/>
      <c r="C761" s="4360"/>
      <c r="D761" s="4360"/>
      <c r="E761" s="4360"/>
      <c r="F761" s="4360"/>
      <c r="G761" s="4360"/>
      <c r="H761" s="4360"/>
      <c r="I761" s="4360"/>
      <c r="J761" s="4360"/>
      <c r="K761" s="4360"/>
      <c r="L761" s="4361"/>
      <c r="M761" s="4360"/>
      <c r="N761" s="4360"/>
      <c r="O761" s="4360"/>
      <c r="P761" s="4360"/>
      <c r="Q761" s="4360"/>
      <c r="R761" s="4360"/>
      <c r="S761" s="4360"/>
      <c r="T761" s="4360"/>
      <c r="U761" s="4360"/>
      <c r="V761" s="4360"/>
      <c r="W761" s="4360"/>
    </row>
    <row r="762" spans="2:23" s="4273" customFormat="1">
      <c r="B762" s="4360"/>
      <c r="C762" s="4360"/>
      <c r="D762" s="4360"/>
      <c r="E762" s="4360"/>
      <c r="F762" s="4360"/>
      <c r="G762" s="4360"/>
      <c r="H762" s="4360"/>
      <c r="I762" s="4360"/>
      <c r="J762" s="4360"/>
      <c r="K762" s="4360"/>
      <c r="L762" s="4361"/>
      <c r="M762" s="4360"/>
      <c r="N762" s="4360"/>
      <c r="O762" s="4360"/>
      <c r="P762" s="4360"/>
      <c r="Q762" s="4360"/>
      <c r="R762" s="4360"/>
      <c r="S762" s="4360"/>
      <c r="T762" s="4360"/>
      <c r="U762" s="4360"/>
      <c r="V762" s="4360"/>
      <c r="W762" s="4360"/>
    </row>
    <row r="763" spans="2:23" s="4273" customFormat="1">
      <c r="B763" s="4360"/>
      <c r="C763" s="4360"/>
      <c r="D763" s="4360"/>
      <c r="E763" s="4360"/>
      <c r="F763" s="4360"/>
      <c r="G763" s="4360"/>
      <c r="H763" s="4360"/>
      <c r="I763" s="4360"/>
      <c r="J763" s="4360"/>
      <c r="K763" s="4360"/>
      <c r="L763" s="4361"/>
      <c r="M763" s="4360"/>
      <c r="N763" s="4360"/>
      <c r="O763" s="4360"/>
      <c r="P763" s="4360"/>
      <c r="Q763" s="4360"/>
      <c r="R763" s="4360"/>
      <c r="S763" s="4360"/>
      <c r="T763" s="4360"/>
      <c r="U763" s="4360"/>
      <c r="V763" s="4360"/>
      <c r="W763" s="4360"/>
    </row>
    <row r="764" spans="2:23" s="4273" customFormat="1">
      <c r="B764" s="4360"/>
      <c r="C764" s="4360"/>
      <c r="D764" s="4360"/>
      <c r="E764" s="4360"/>
      <c r="F764" s="4360"/>
      <c r="G764" s="4360"/>
      <c r="H764" s="4360"/>
      <c r="I764" s="4360"/>
      <c r="J764" s="4360"/>
      <c r="K764" s="4360"/>
      <c r="L764" s="4361"/>
      <c r="M764" s="4360"/>
      <c r="N764" s="4360"/>
      <c r="O764" s="4360"/>
      <c r="P764" s="4360"/>
      <c r="Q764" s="4360"/>
      <c r="R764" s="4360"/>
      <c r="S764" s="4360"/>
      <c r="T764" s="4360"/>
      <c r="U764" s="4360"/>
      <c r="V764" s="4360"/>
      <c r="W764" s="4360"/>
    </row>
    <row r="765" spans="2:23" s="4273" customFormat="1">
      <c r="B765" s="4360"/>
      <c r="C765" s="4360"/>
      <c r="D765" s="4360"/>
      <c r="E765" s="4360"/>
      <c r="F765" s="4360"/>
      <c r="G765" s="4360"/>
      <c r="H765" s="4360"/>
      <c r="I765" s="4360"/>
      <c r="J765" s="4360"/>
      <c r="K765" s="4360"/>
      <c r="L765" s="4361"/>
      <c r="M765" s="4360"/>
      <c r="N765" s="4360"/>
      <c r="O765" s="4360"/>
      <c r="P765" s="4360"/>
      <c r="Q765" s="4360"/>
      <c r="R765" s="4360"/>
      <c r="S765" s="4360"/>
      <c r="T765" s="4360"/>
      <c r="U765" s="4360"/>
      <c r="V765" s="4360"/>
      <c r="W765" s="4360"/>
    </row>
    <row r="766" spans="2:23" s="4273" customFormat="1">
      <c r="B766" s="4360"/>
      <c r="C766" s="4360"/>
      <c r="D766" s="4360"/>
      <c r="E766" s="4360"/>
      <c r="F766" s="4360"/>
      <c r="G766" s="4360"/>
      <c r="H766" s="4360"/>
      <c r="I766" s="4360"/>
      <c r="J766" s="4360"/>
      <c r="K766" s="4360"/>
      <c r="L766" s="4361"/>
      <c r="M766" s="4360"/>
      <c r="N766" s="4360"/>
      <c r="O766" s="4360"/>
      <c r="P766" s="4360"/>
      <c r="Q766" s="4360"/>
      <c r="R766" s="4360"/>
      <c r="S766" s="4360"/>
      <c r="T766" s="4360"/>
      <c r="U766" s="4360"/>
      <c r="V766" s="4360"/>
      <c r="W766" s="4360"/>
    </row>
    <row r="767" spans="2:23" s="4273" customFormat="1">
      <c r="B767" s="4360"/>
      <c r="C767" s="4360"/>
      <c r="D767" s="4360"/>
      <c r="E767" s="4360"/>
      <c r="F767" s="4360"/>
      <c r="G767" s="4360"/>
      <c r="H767" s="4360"/>
      <c r="I767" s="4360"/>
      <c r="J767" s="4360"/>
      <c r="K767" s="4360"/>
      <c r="L767" s="4361"/>
      <c r="M767" s="4360"/>
      <c r="N767" s="4360"/>
      <c r="O767" s="4360"/>
      <c r="P767" s="4360"/>
      <c r="Q767" s="4360"/>
      <c r="R767" s="4360"/>
      <c r="S767" s="4360"/>
      <c r="T767" s="4360"/>
      <c r="U767" s="4360"/>
      <c r="V767" s="4360"/>
      <c r="W767" s="4360"/>
    </row>
    <row r="768" spans="2:23" s="4273" customFormat="1">
      <c r="B768" s="4360"/>
      <c r="C768" s="4360"/>
      <c r="D768" s="4360"/>
      <c r="E768" s="4360"/>
      <c r="F768" s="4360"/>
      <c r="G768" s="4360"/>
      <c r="H768" s="4360"/>
      <c r="I768" s="4360"/>
      <c r="J768" s="4360"/>
      <c r="K768" s="4360"/>
      <c r="L768" s="4361"/>
      <c r="M768" s="4360"/>
      <c r="N768" s="4360"/>
      <c r="O768" s="4360"/>
      <c r="P768" s="4360"/>
      <c r="Q768" s="4360"/>
      <c r="R768" s="4360"/>
      <c r="S768" s="4360"/>
      <c r="T768" s="4360"/>
      <c r="U768" s="4360"/>
      <c r="V768" s="4360"/>
      <c r="W768" s="4360"/>
    </row>
    <row r="769" spans="2:23" s="4273" customFormat="1">
      <c r="B769" s="4360"/>
      <c r="C769" s="4360"/>
      <c r="D769" s="4360"/>
      <c r="E769" s="4360"/>
      <c r="F769" s="4360"/>
      <c r="G769" s="4360"/>
      <c r="H769" s="4360"/>
      <c r="I769" s="4360"/>
      <c r="J769" s="4360"/>
      <c r="K769" s="4360"/>
      <c r="L769" s="4361"/>
      <c r="M769" s="4360"/>
      <c r="N769" s="4360"/>
      <c r="O769" s="4360"/>
      <c r="P769" s="4360"/>
      <c r="Q769" s="4360"/>
      <c r="R769" s="4360"/>
      <c r="S769" s="4360"/>
      <c r="T769" s="4360"/>
      <c r="U769" s="4360"/>
      <c r="V769" s="4360"/>
      <c r="W769" s="4360"/>
    </row>
    <row r="770" spans="2:23" s="4273" customFormat="1">
      <c r="B770" s="4360"/>
      <c r="C770" s="4360"/>
      <c r="D770" s="4360"/>
      <c r="E770" s="4360"/>
      <c r="F770" s="4360"/>
      <c r="G770" s="4360"/>
      <c r="H770" s="4360"/>
      <c r="I770" s="4360"/>
      <c r="J770" s="4360"/>
      <c r="K770" s="4360"/>
      <c r="L770" s="4361"/>
      <c r="M770" s="4360"/>
      <c r="N770" s="4360"/>
      <c r="O770" s="4360"/>
      <c r="P770" s="4360"/>
      <c r="Q770" s="4360"/>
      <c r="R770" s="4360"/>
      <c r="S770" s="4360"/>
      <c r="T770" s="4360"/>
      <c r="U770" s="4360"/>
      <c r="V770" s="4360"/>
      <c r="W770" s="4360"/>
    </row>
    <row r="771" spans="2:23" s="4273" customFormat="1">
      <c r="B771" s="4360"/>
      <c r="C771" s="4360"/>
      <c r="D771" s="4360"/>
      <c r="E771" s="4360"/>
      <c r="F771" s="4360"/>
      <c r="G771" s="4360"/>
      <c r="H771" s="4360"/>
      <c r="I771" s="4360"/>
      <c r="J771" s="4360"/>
      <c r="K771" s="4360"/>
      <c r="L771" s="4361"/>
      <c r="M771" s="4360"/>
      <c r="N771" s="4360"/>
      <c r="O771" s="4360"/>
      <c r="P771" s="4360"/>
      <c r="Q771" s="4360"/>
      <c r="R771" s="4360"/>
      <c r="S771" s="4360"/>
      <c r="T771" s="4360"/>
      <c r="U771" s="4360"/>
      <c r="V771" s="4360"/>
      <c r="W771" s="4360"/>
    </row>
    <row r="772" spans="2:23" s="4273" customFormat="1">
      <c r="B772" s="4360"/>
      <c r="C772" s="4360"/>
      <c r="D772" s="4360"/>
      <c r="E772" s="4360"/>
      <c r="F772" s="4360"/>
      <c r="G772" s="4360"/>
      <c r="H772" s="4360"/>
      <c r="I772" s="4360"/>
      <c r="J772" s="4360"/>
      <c r="K772" s="4360"/>
      <c r="L772" s="4361"/>
      <c r="M772" s="4360"/>
      <c r="N772" s="4360"/>
      <c r="O772" s="4360"/>
      <c r="P772" s="4360"/>
      <c r="Q772" s="4360"/>
      <c r="R772" s="4360"/>
      <c r="S772" s="4360"/>
      <c r="T772" s="4360"/>
      <c r="U772" s="4360"/>
      <c r="V772" s="4360"/>
      <c r="W772" s="4360"/>
    </row>
    <row r="773" spans="2:23" s="4273" customFormat="1">
      <c r="B773" s="4360"/>
      <c r="C773" s="4360"/>
      <c r="D773" s="4360"/>
      <c r="E773" s="4360"/>
      <c r="F773" s="4360"/>
      <c r="G773" s="4360"/>
      <c r="H773" s="4360"/>
      <c r="I773" s="4360"/>
      <c r="J773" s="4360"/>
      <c r="K773" s="4360"/>
      <c r="L773" s="4361"/>
      <c r="M773" s="4360"/>
      <c r="N773" s="4360"/>
      <c r="O773" s="4360"/>
      <c r="P773" s="4360"/>
      <c r="Q773" s="4360"/>
      <c r="R773" s="4360"/>
      <c r="S773" s="4360"/>
      <c r="T773" s="4360"/>
      <c r="U773" s="4360"/>
      <c r="V773" s="4360"/>
      <c r="W773" s="4360"/>
    </row>
    <row r="774" spans="2:23" s="4273" customFormat="1">
      <c r="B774" s="4360"/>
      <c r="C774" s="4360"/>
      <c r="D774" s="4360"/>
      <c r="E774" s="4360"/>
      <c r="F774" s="4360"/>
      <c r="G774" s="4360"/>
      <c r="H774" s="4360"/>
      <c r="I774" s="4360"/>
      <c r="J774" s="4360"/>
      <c r="K774" s="4360"/>
      <c r="L774" s="4361"/>
      <c r="M774" s="4360"/>
      <c r="N774" s="4360"/>
      <c r="O774" s="4360"/>
      <c r="P774" s="4360"/>
      <c r="Q774" s="4360"/>
      <c r="R774" s="4360"/>
      <c r="S774" s="4360"/>
      <c r="T774" s="4360"/>
      <c r="U774" s="4360"/>
      <c r="V774" s="4360"/>
      <c r="W774" s="4360"/>
    </row>
    <row r="775" spans="2:23" s="4273" customFormat="1">
      <c r="B775" s="4360"/>
      <c r="C775" s="4360"/>
      <c r="D775" s="4360"/>
      <c r="E775" s="4360"/>
      <c r="F775" s="4360"/>
      <c r="G775" s="4360"/>
      <c r="H775" s="4360"/>
      <c r="I775" s="4360"/>
      <c r="J775" s="4360"/>
      <c r="K775" s="4360"/>
      <c r="L775" s="4361"/>
      <c r="M775" s="4360"/>
      <c r="N775" s="4360"/>
      <c r="O775" s="4360"/>
      <c r="P775" s="4360"/>
      <c r="Q775" s="4360"/>
      <c r="R775" s="4360"/>
      <c r="S775" s="4360"/>
      <c r="T775" s="4360"/>
      <c r="U775" s="4360"/>
      <c r="V775" s="4360"/>
      <c r="W775" s="4360"/>
    </row>
    <row r="776" spans="2:23" s="4273" customFormat="1">
      <c r="B776" s="4360"/>
      <c r="C776" s="4360"/>
      <c r="D776" s="4360"/>
      <c r="E776" s="4360"/>
      <c r="F776" s="4360"/>
      <c r="G776" s="4360"/>
      <c r="H776" s="4360"/>
      <c r="I776" s="4360"/>
      <c r="J776" s="4360"/>
      <c r="K776" s="4360"/>
      <c r="L776" s="4361"/>
      <c r="M776" s="4360"/>
      <c r="N776" s="4360"/>
      <c r="O776" s="4360"/>
      <c r="P776" s="4360"/>
      <c r="Q776" s="4360"/>
      <c r="R776" s="4360"/>
      <c r="S776" s="4360"/>
      <c r="T776" s="4360"/>
      <c r="U776" s="4360"/>
      <c r="V776" s="4360"/>
      <c r="W776" s="4360"/>
    </row>
    <row r="777" spans="2:23" s="4273" customFormat="1">
      <c r="B777" s="4360"/>
      <c r="C777" s="4360"/>
      <c r="D777" s="4360"/>
      <c r="E777" s="4360"/>
      <c r="F777" s="4360"/>
      <c r="G777" s="4360"/>
      <c r="H777" s="4360"/>
      <c r="I777" s="4360"/>
      <c r="J777" s="4360"/>
      <c r="K777" s="4360"/>
      <c r="L777" s="4361"/>
      <c r="M777" s="4360"/>
      <c r="N777" s="4360"/>
      <c r="O777" s="4360"/>
      <c r="P777" s="4360"/>
      <c r="Q777" s="4360"/>
      <c r="R777" s="4360"/>
      <c r="S777" s="4360"/>
      <c r="T777" s="4360"/>
      <c r="U777" s="4360"/>
      <c r="V777" s="4360"/>
      <c r="W777" s="4360"/>
    </row>
    <row r="778" spans="2:23" s="4273" customFormat="1">
      <c r="B778" s="4360"/>
      <c r="C778" s="4360"/>
      <c r="D778" s="4360"/>
      <c r="E778" s="4360"/>
      <c r="F778" s="4360"/>
      <c r="G778" s="4360"/>
      <c r="H778" s="4360"/>
      <c r="I778" s="4360"/>
      <c r="J778" s="4360"/>
      <c r="K778" s="4360"/>
      <c r="L778" s="4361"/>
      <c r="M778" s="4360"/>
      <c r="N778" s="4360"/>
      <c r="O778" s="4360"/>
      <c r="P778" s="4360"/>
      <c r="Q778" s="4360"/>
      <c r="R778" s="4360"/>
      <c r="S778" s="4360"/>
      <c r="T778" s="4360"/>
      <c r="U778" s="4360"/>
      <c r="V778" s="4360"/>
      <c r="W778" s="4360"/>
    </row>
    <row r="779" spans="2:23" s="4273" customFormat="1">
      <c r="B779" s="4360"/>
      <c r="C779" s="4360"/>
      <c r="D779" s="4360"/>
      <c r="E779" s="4360"/>
      <c r="F779" s="4360"/>
      <c r="G779" s="4360"/>
      <c r="H779" s="4360"/>
      <c r="I779" s="4360"/>
      <c r="J779" s="4360"/>
      <c r="K779" s="4360"/>
      <c r="L779" s="4361"/>
      <c r="M779" s="4360"/>
      <c r="N779" s="4360"/>
      <c r="O779" s="4360"/>
      <c r="P779" s="4360"/>
      <c r="Q779" s="4360"/>
      <c r="R779" s="4360"/>
      <c r="S779" s="4360"/>
      <c r="T779" s="4360"/>
      <c r="U779" s="4360"/>
      <c r="V779" s="4360"/>
      <c r="W779" s="4360"/>
    </row>
    <row r="780" spans="2:23" s="4273" customFormat="1">
      <c r="B780" s="4360"/>
      <c r="C780" s="4360"/>
      <c r="D780" s="4360"/>
      <c r="E780" s="4360"/>
      <c r="F780" s="4360"/>
      <c r="G780" s="4360"/>
      <c r="H780" s="4360"/>
      <c r="I780" s="4360"/>
      <c r="J780" s="4360"/>
      <c r="K780" s="4360"/>
      <c r="L780" s="4361"/>
      <c r="M780" s="4360"/>
      <c r="N780" s="4360"/>
      <c r="O780" s="4360"/>
      <c r="P780" s="4360"/>
      <c r="Q780" s="4360"/>
      <c r="R780" s="4360"/>
      <c r="S780" s="4360"/>
      <c r="T780" s="4360"/>
      <c r="U780" s="4360"/>
      <c r="V780" s="4360"/>
      <c r="W780" s="4360"/>
    </row>
    <row r="781" spans="2:23" s="4273" customFormat="1">
      <c r="B781" s="4360"/>
      <c r="C781" s="4360"/>
      <c r="D781" s="4360"/>
      <c r="E781" s="4360"/>
      <c r="F781" s="4360"/>
      <c r="G781" s="4360"/>
      <c r="H781" s="4360"/>
      <c r="I781" s="4360"/>
      <c r="J781" s="4360"/>
      <c r="K781" s="4360"/>
      <c r="L781" s="4361"/>
      <c r="M781" s="4360"/>
      <c r="N781" s="4360"/>
      <c r="O781" s="4360"/>
      <c r="P781" s="4360"/>
      <c r="Q781" s="4360"/>
      <c r="R781" s="4360"/>
      <c r="S781" s="4360"/>
      <c r="T781" s="4360"/>
      <c r="U781" s="4360"/>
      <c r="V781" s="4360"/>
      <c r="W781" s="4360"/>
    </row>
    <row r="782" spans="2:23" s="4273" customFormat="1">
      <c r="B782" s="4360"/>
      <c r="C782" s="4360"/>
      <c r="D782" s="4360"/>
      <c r="E782" s="4360"/>
      <c r="F782" s="4360"/>
      <c r="G782" s="4360"/>
      <c r="H782" s="4360"/>
      <c r="I782" s="4360"/>
      <c r="J782" s="4360"/>
      <c r="K782" s="4360"/>
      <c r="L782" s="4361"/>
      <c r="M782" s="4360"/>
      <c r="N782" s="4360"/>
      <c r="O782" s="4360"/>
      <c r="P782" s="4360"/>
      <c r="Q782" s="4360"/>
      <c r="R782" s="4360"/>
      <c r="S782" s="4360"/>
      <c r="T782" s="4360"/>
      <c r="U782" s="4360"/>
      <c r="V782" s="4360"/>
      <c r="W782" s="4360"/>
    </row>
    <row r="783" spans="2:23" s="4273" customFormat="1">
      <c r="B783" s="4360"/>
      <c r="C783" s="4360"/>
      <c r="D783" s="4360"/>
      <c r="E783" s="4360"/>
      <c r="F783" s="4360"/>
      <c r="G783" s="4360"/>
      <c r="H783" s="4360"/>
      <c r="I783" s="4360"/>
      <c r="J783" s="4360"/>
      <c r="K783" s="4360"/>
      <c r="L783" s="4361"/>
      <c r="M783" s="4360"/>
      <c r="N783" s="4360"/>
      <c r="O783" s="4360"/>
      <c r="P783" s="4360"/>
      <c r="Q783" s="4360"/>
      <c r="R783" s="4360"/>
      <c r="S783" s="4360"/>
      <c r="T783" s="4360"/>
      <c r="U783" s="4360"/>
      <c r="V783" s="4360"/>
      <c r="W783" s="4360"/>
    </row>
    <row r="784" spans="2:23" s="4273" customFormat="1">
      <c r="B784" s="4360"/>
      <c r="C784" s="4360"/>
      <c r="D784" s="4360"/>
      <c r="E784" s="4360"/>
      <c r="F784" s="4360"/>
      <c r="G784" s="4360"/>
      <c r="H784" s="4360"/>
      <c r="I784" s="4360"/>
      <c r="J784" s="4360"/>
      <c r="K784" s="4360"/>
      <c r="L784" s="4361"/>
      <c r="M784" s="4360"/>
      <c r="N784" s="4360"/>
      <c r="O784" s="4360"/>
      <c r="P784" s="4360"/>
      <c r="Q784" s="4360"/>
      <c r="R784" s="4360"/>
      <c r="S784" s="4360"/>
      <c r="T784" s="4360"/>
      <c r="U784" s="4360"/>
      <c r="V784" s="4360"/>
      <c r="W784" s="4360"/>
    </row>
    <row r="785" spans="2:23" s="4273" customFormat="1">
      <c r="B785" s="4360"/>
      <c r="C785" s="4360"/>
      <c r="D785" s="4360"/>
      <c r="E785" s="4360"/>
      <c r="F785" s="4360"/>
      <c r="G785" s="4360"/>
      <c r="H785" s="4360"/>
      <c r="I785" s="4360"/>
      <c r="J785" s="4360"/>
      <c r="K785" s="4360"/>
      <c r="L785" s="4361"/>
      <c r="M785" s="4360"/>
      <c r="N785" s="4360"/>
      <c r="O785" s="4360"/>
      <c r="P785" s="4360"/>
      <c r="Q785" s="4360"/>
      <c r="R785" s="4360"/>
      <c r="S785" s="4360"/>
      <c r="T785" s="4360"/>
      <c r="U785" s="4360"/>
      <c r="V785" s="4360"/>
      <c r="W785" s="4360"/>
    </row>
    <row r="786" spans="2:23" s="4273" customFormat="1">
      <c r="B786" s="4360"/>
      <c r="C786" s="4360"/>
      <c r="D786" s="4360"/>
      <c r="E786" s="4360"/>
      <c r="F786" s="4360"/>
      <c r="G786" s="4360"/>
      <c r="H786" s="4360"/>
      <c r="I786" s="4360"/>
      <c r="J786" s="4360"/>
      <c r="K786" s="4360"/>
      <c r="L786" s="4361"/>
      <c r="M786" s="4360"/>
      <c r="N786" s="4360"/>
      <c r="O786" s="4360"/>
      <c r="P786" s="4360"/>
      <c r="Q786" s="4360"/>
      <c r="R786" s="4360"/>
      <c r="S786" s="4360"/>
      <c r="T786" s="4360"/>
      <c r="U786" s="4360"/>
      <c r="V786" s="4360"/>
      <c r="W786" s="4360"/>
    </row>
    <row r="787" spans="2:23" s="4273" customFormat="1">
      <c r="B787" s="4360"/>
      <c r="C787" s="4360"/>
      <c r="D787" s="4360"/>
      <c r="E787" s="4360"/>
      <c r="F787" s="4360"/>
      <c r="G787" s="4360"/>
      <c r="H787" s="4360"/>
      <c r="I787" s="4360"/>
      <c r="J787" s="4360"/>
      <c r="K787" s="4360"/>
      <c r="L787" s="4361"/>
      <c r="M787" s="4360"/>
      <c r="N787" s="4360"/>
      <c r="O787" s="4360"/>
      <c r="P787" s="4360"/>
      <c r="Q787" s="4360"/>
      <c r="R787" s="4360"/>
      <c r="S787" s="4360"/>
      <c r="T787" s="4360"/>
      <c r="U787" s="4360"/>
      <c r="V787" s="4360"/>
      <c r="W787" s="4360"/>
    </row>
    <row r="788" spans="2:23" s="4273" customFormat="1">
      <c r="B788" s="4360"/>
      <c r="C788" s="4360"/>
      <c r="D788" s="4360"/>
      <c r="E788" s="4360"/>
      <c r="F788" s="4360"/>
      <c r="G788" s="4360"/>
      <c r="H788" s="4360"/>
      <c r="I788" s="4360"/>
      <c r="J788" s="4360"/>
      <c r="K788" s="4360"/>
      <c r="L788" s="4361"/>
      <c r="M788" s="4360"/>
      <c r="N788" s="4360"/>
      <c r="O788" s="4360"/>
      <c r="P788" s="4360"/>
      <c r="Q788" s="4360"/>
      <c r="R788" s="4360"/>
      <c r="S788" s="4360"/>
      <c r="T788" s="4360"/>
      <c r="U788" s="4360"/>
      <c r="V788" s="4360"/>
      <c r="W788" s="4360"/>
    </row>
    <row r="789" spans="2:23" s="4273" customFormat="1">
      <c r="B789" s="4360"/>
      <c r="C789" s="4360"/>
      <c r="D789" s="4360"/>
      <c r="E789" s="4360"/>
      <c r="F789" s="4360"/>
      <c r="G789" s="4360"/>
      <c r="H789" s="4360"/>
      <c r="I789" s="4360"/>
      <c r="J789" s="4360"/>
      <c r="K789" s="4360"/>
      <c r="L789" s="4361"/>
      <c r="M789" s="4360"/>
      <c r="N789" s="4360"/>
      <c r="O789" s="4360"/>
      <c r="P789" s="4360"/>
      <c r="Q789" s="4360"/>
      <c r="R789" s="4360"/>
      <c r="S789" s="4360"/>
      <c r="T789" s="4360"/>
      <c r="U789" s="4360"/>
      <c r="V789" s="4360"/>
      <c r="W789" s="4360"/>
    </row>
    <row r="790" spans="2:23" s="4273" customFormat="1">
      <c r="B790" s="4360"/>
      <c r="C790" s="4360"/>
      <c r="D790" s="4360"/>
      <c r="E790" s="4360"/>
      <c r="F790" s="4360"/>
      <c r="G790" s="4360"/>
      <c r="H790" s="4360"/>
      <c r="I790" s="4360"/>
      <c r="J790" s="4360"/>
      <c r="K790" s="4360"/>
      <c r="L790" s="4361"/>
      <c r="M790" s="4360"/>
      <c r="N790" s="4360"/>
      <c r="O790" s="4360"/>
      <c r="P790" s="4360"/>
      <c r="Q790" s="4360"/>
      <c r="R790" s="4360"/>
      <c r="S790" s="4360"/>
      <c r="T790" s="4360"/>
      <c r="U790" s="4360"/>
      <c r="V790" s="4360"/>
      <c r="W790" s="4360"/>
    </row>
    <row r="791" spans="2:23" s="4273" customFormat="1">
      <c r="B791" s="4360"/>
      <c r="C791" s="4360"/>
      <c r="D791" s="4360"/>
      <c r="E791" s="4360"/>
      <c r="F791" s="4360"/>
      <c r="G791" s="4360"/>
      <c r="H791" s="4360"/>
      <c r="I791" s="4360"/>
      <c r="J791" s="4360"/>
      <c r="K791" s="4360"/>
      <c r="L791" s="4361"/>
      <c r="M791" s="4360"/>
      <c r="N791" s="4360"/>
      <c r="O791" s="4360"/>
      <c r="P791" s="4360"/>
      <c r="Q791" s="4360"/>
      <c r="R791" s="4360"/>
      <c r="S791" s="4360"/>
      <c r="T791" s="4360"/>
      <c r="U791" s="4360"/>
      <c r="V791" s="4360"/>
      <c r="W791" s="4360"/>
    </row>
    <row r="792" spans="2:23" s="4273" customFormat="1">
      <c r="B792" s="4360"/>
      <c r="C792" s="4360"/>
      <c r="D792" s="4360"/>
      <c r="E792" s="4360"/>
      <c r="F792" s="4360"/>
      <c r="G792" s="4360"/>
      <c r="H792" s="4360"/>
      <c r="I792" s="4360"/>
      <c r="J792" s="4360"/>
      <c r="K792" s="4360"/>
      <c r="L792" s="4361"/>
      <c r="M792" s="4360"/>
      <c r="N792" s="4360"/>
      <c r="O792" s="4360"/>
      <c r="P792" s="4360"/>
      <c r="Q792" s="4360"/>
      <c r="R792" s="4360"/>
      <c r="S792" s="4360"/>
      <c r="T792" s="4360"/>
      <c r="U792" s="4360"/>
      <c r="V792" s="4360"/>
      <c r="W792" s="4360"/>
    </row>
    <row r="793" spans="2:23" s="4273" customFormat="1">
      <c r="B793" s="4360"/>
      <c r="C793" s="4360"/>
      <c r="D793" s="4360"/>
      <c r="E793" s="4360"/>
      <c r="F793" s="4360"/>
      <c r="G793" s="4360"/>
      <c r="H793" s="4360"/>
      <c r="I793" s="4360"/>
      <c r="J793" s="4360"/>
      <c r="K793" s="4360"/>
      <c r="L793" s="4361"/>
      <c r="M793" s="4360"/>
      <c r="N793" s="4360"/>
      <c r="O793" s="4360"/>
      <c r="P793" s="4360"/>
      <c r="Q793" s="4360"/>
      <c r="R793" s="4360"/>
      <c r="S793" s="4360"/>
      <c r="T793" s="4360"/>
      <c r="U793" s="4360"/>
      <c r="V793" s="4360"/>
      <c r="W793" s="4360"/>
    </row>
    <row r="794" spans="2:23" s="4273" customFormat="1">
      <c r="B794" s="4360"/>
      <c r="C794" s="4360"/>
      <c r="D794" s="4360"/>
      <c r="E794" s="4360"/>
      <c r="F794" s="4360"/>
      <c r="G794" s="4360"/>
      <c r="H794" s="4360"/>
      <c r="I794" s="4360"/>
      <c r="J794" s="4360"/>
      <c r="K794" s="4360"/>
      <c r="L794" s="4361"/>
      <c r="M794" s="4360"/>
      <c r="N794" s="4360"/>
      <c r="O794" s="4360"/>
      <c r="P794" s="4360"/>
      <c r="Q794" s="4360"/>
      <c r="R794" s="4360"/>
      <c r="S794" s="4360"/>
      <c r="T794" s="4360"/>
      <c r="U794" s="4360"/>
      <c r="V794" s="4360"/>
      <c r="W794" s="4360"/>
    </row>
    <row r="795" spans="2:23" s="4273" customFormat="1">
      <c r="B795" s="4360"/>
      <c r="C795" s="4360"/>
      <c r="D795" s="4360"/>
      <c r="E795" s="4360"/>
      <c r="F795" s="4360"/>
      <c r="G795" s="4360"/>
      <c r="H795" s="4360"/>
      <c r="I795" s="4360"/>
      <c r="J795" s="4360"/>
      <c r="K795" s="4360"/>
      <c r="L795" s="4361"/>
      <c r="M795" s="4360"/>
      <c r="N795" s="4360"/>
      <c r="O795" s="4360"/>
      <c r="P795" s="4360"/>
      <c r="Q795" s="4360"/>
      <c r="R795" s="4360"/>
      <c r="S795" s="4360"/>
      <c r="T795" s="4360"/>
      <c r="U795" s="4360"/>
      <c r="V795" s="4360"/>
      <c r="W795" s="4360"/>
    </row>
    <row r="796" spans="2:23" s="4273" customFormat="1">
      <c r="B796" s="4360"/>
      <c r="C796" s="4360"/>
      <c r="D796" s="4360"/>
      <c r="E796" s="4360"/>
      <c r="F796" s="4360"/>
      <c r="G796" s="4360"/>
      <c r="H796" s="4360"/>
      <c r="I796" s="4360"/>
      <c r="J796" s="4360"/>
      <c r="K796" s="4360"/>
      <c r="L796" s="4361"/>
      <c r="M796" s="4360"/>
      <c r="N796" s="4360"/>
      <c r="O796" s="4360"/>
      <c r="P796" s="4360"/>
      <c r="Q796" s="4360"/>
      <c r="R796" s="4360"/>
      <c r="S796" s="4360"/>
      <c r="T796" s="4360"/>
      <c r="U796" s="4360"/>
      <c r="V796" s="4360"/>
      <c r="W796" s="4360"/>
    </row>
    <row r="797" spans="2:23" s="4273" customFormat="1">
      <c r="B797" s="4360"/>
      <c r="C797" s="4360"/>
      <c r="D797" s="4360"/>
      <c r="E797" s="4360"/>
      <c r="F797" s="4360"/>
      <c r="G797" s="4360"/>
      <c r="H797" s="4360"/>
      <c r="I797" s="4360"/>
      <c r="J797" s="4360"/>
      <c r="K797" s="4360"/>
      <c r="L797" s="4361"/>
      <c r="M797" s="4360"/>
      <c r="N797" s="4360"/>
      <c r="O797" s="4360"/>
      <c r="P797" s="4360"/>
      <c r="Q797" s="4360"/>
      <c r="R797" s="4360"/>
      <c r="S797" s="4360"/>
      <c r="T797" s="4360"/>
      <c r="U797" s="4360"/>
      <c r="V797" s="4360"/>
      <c r="W797" s="4360"/>
    </row>
    <row r="798" spans="2:23" s="4273" customFormat="1">
      <c r="B798" s="4360"/>
      <c r="C798" s="4360"/>
      <c r="D798" s="4360"/>
      <c r="E798" s="4360"/>
      <c r="F798" s="4360"/>
      <c r="G798" s="4360"/>
      <c r="H798" s="4360"/>
      <c r="I798" s="4360"/>
      <c r="J798" s="4360"/>
      <c r="K798" s="4360"/>
      <c r="L798" s="4361"/>
      <c r="M798" s="4360"/>
      <c r="N798" s="4360"/>
      <c r="O798" s="4360"/>
      <c r="P798" s="4360"/>
      <c r="Q798" s="4360"/>
      <c r="R798" s="4360"/>
      <c r="S798" s="4360"/>
      <c r="T798" s="4360"/>
      <c r="U798" s="4360"/>
      <c r="V798" s="4360"/>
      <c r="W798" s="4360"/>
    </row>
    <row r="799" spans="2:23" s="4273" customFormat="1">
      <c r="B799" s="4360"/>
      <c r="C799" s="4360"/>
      <c r="D799" s="4360"/>
      <c r="E799" s="4360"/>
      <c r="F799" s="4360"/>
      <c r="G799" s="4360"/>
      <c r="H799" s="4360"/>
      <c r="I799" s="4360"/>
      <c r="J799" s="4360"/>
      <c r="K799" s="4360"/>
      <c r="L799" s="4361"/>
      <c r="M799" s="4360"/>
      <c r="N799" s="4360"/>
      <c r="O799" s="4360"/>
      <c r="P799" s="4360"/>
      <c r="Q799" s="4360"/>
      <c r="R799" s="4360"/>
      <c r="S799" s="4360"/>
      <c r="T799" s="4360"/>
      <c r="U799" s="4360"/>
      <c r="V799" s="4360"/>
      <c r="W799" s="4360"/>
    </row>
    <row r="800" spans="2:23" s="4273" customFormat="1">
      <c r="B800" s="4360"/>
      <c r="C800" s="4360"/>
      <c r="D800" s="4360"/>
      <c r="E800" s="4360"/>
      <c r="F800" s="4360"/>
      <c r="G800" s="4360"/>
      <c r="H800" s="4360"/>
      <c r="I800" s="4360"/>
      <c r="J800" s="4360"/>
      <c r="K800" s="4360"/>
      <c r="L800" s="4361"/>
      <c r="M800" s="4360"/>
      <c r="N800" s="4360"/>
      <c r="O800" s="4360"/>
      <c r="P800" s="4360"/>
      <c r="Q800" s="4360"/>
      <c r="R800" s="4360"/>
      <c r="S800" s="4360"/>
      <c r="T800" s="4360"/>
      <c r="U800" s="4360"/>
      <c r="V800" s="4360"/>
      <c r="W800" s="4360"/>
    </row>
    <row r="801" spans="2:23" s="4273" customFormat="1">
      <c r="B801" s="4360"/>
      <c r="C801" s="4360"/>
      <c r="D801" s="4360"/>
      <c r="E801" s="4360"/>
      <c r="F801" s="4360"/>
      <c r="G801" s="4360"/>
      <c r="H801" s="4360"/>
      <c r="I801" s="4360"/>
      <c r="J801" s="4360"/>
      <c r="K801" s="4360"/>
      <c r="L801" s="4361"/>
      <c r="M801" s="4360"/>
      <c r="N801" s="4360"/>
      <c r="O801" s="4360"/>
      <c r="P801" s="4360"/>
      <c r="Q801" s="4360"/>
      <c r="R801" s="4360"/>
      <c r="S801" s="4360"/>
      <c r="T801" s="4360"/>
      <c r="U801" s="4360"/>
      <c r="V801" s="4360"/>
      <c r="W801" s="4360"/>
    </row>
    <row r="802" spans="2:23" s="4273" customFormat="1">
      <c r="B802" s="4360"/>
      <c r="C802" s="4360"/>
      <c r="D802" s="4360"/>
      <c r="E802" s="4360"/>
      <c r="F802" s="4360"/>
      <c r="G802" s="4360"/>
      <c r="H802" s="4360"/>
      <c r="I802" s="4360"/>
      <c r="J802" s="4360"/>
      <c r="K802" s="4360"/>
      <c r="L802" s="4361"/>
      <c r="M802" s="4360"/>
      <c r="N802" s="4360"/>
      <c r="O802" s="4360"/>
      <c r="P802" s="4360"/>
      <c r="Q802" s="4360"/>
      <c r="R802" s="4360"/>
      <c r="S802" s="4360"/>
      <c r="T802" s="4360"/>
      <c r="U802" s="4360"/>
      <c r="V802" s="4360"/>
      <c r="W802" s="4360"/>
    </row>
    <row r="803" spans="2:23" s="4273" customFormat="1">
      <c r="B803" s="4360"/>
      <c r="C803" s="4360"/>
      <c r="D803" s="4360"/>
      <c r="E803" s="4360"/>
      <c r="F803" s="4360"/>
      <c r="G803" s="4360"/>
      <c r="H803" s="4360"/>
      <c r="I803" s="4360"/>
      <c r="J803" s="4360"/>
      <c r="K803" s="4360"/>
      <c r="L803" s="4361"/>
      <c r="M803" s="4360"/>
      <c r="N803" s="4360"/>
      <c r="O803" s="4360"/>
      <c r="P803" s="4360"/>
      <c r="Q803" s="4360"/>
      <c r="R803" s="4360"/>
      <c r="S803" s="4360"/>
      <c r="T803" s="4360"/>
      <c r="U803" s="4360"/>
      <c r="V803" s="4360"/>
      <c r="W803" s="4360"/>
    </row>
    <row r="804" spans="2:23" s="4273" customFormat="1">
      <c r="B804" s="4360"/>
      <c r="C804" s="4360"/>
      <c r="D804" s="4360"/>
      <c r="E804" s="4360"/>
      <c r="F804" s="4360"/>
      <c r="G804" s="4360"/>
      <c r="H804" s="4360"/>
      <c r="I804" s="4360"/>
      <c r="J804" s="4360"/>
      <c r="K804" s="4360"/>
      <c r="L804" s="4361"/>
      <c r="M804" s="4360"/>
      <c r="N804" s="4360"/>
      <c r="O804" s="4360"/>
      <c r="P804" s="4360"/>
      <c r="Q804" s="4360"/>
      <c r="R804" s="4360"/>
      <c r="S804" s="4360"/>
      <c r="T804" s="4360"/>
      <c r="U804" s="4360"/>
      <c r="V804" s="4360"/>
      <c r="W804" s="4360"/>
    </row>
    <row r="805" spans="2:23" s="4273" customFormat="1">
      <c r="B805" s="4360"/>
      <c r="C805" s="4360"/>
      <c r="D805" s="4360"/>
      <c r="E805" s="4360"/>
      <c r="F805" s="4360"/>
      <c r="G805" s="4360"/>
      <c r="H805" s="4360"/>
      <c r="I805" s="4360"/>
      <c r="J805" s="4360"/>
      <c r="K805" s="4360"/>
      <c r="L805" s="4361"/>
      <c r="M805" s="4360"/>
      <c r="N805" s="4360"/>
      <c r="O805" s="4360"/>
      <c r="P805" s="4360"/>
      <c r="Q805" s="4360"/>
      <c r="R805" s="4360"/>
      <c r="S805" s="4360"/>
      <c r="T805" s="4360"/>
      <c r="U805" s="4360"/>
      <c r="V805" s="4360"/>
      <c r="W805" s="4360"/>
    </row>
    <row r="806" spans="2:23" s="4273" customFormat="1">
      <c r="B806" s="4360"/>
      <c r="C806" s="4360"/>
      <c r="D806" s="4360"/>
      <c r="E806" s="4360"/>
      <c r="F806" s="4360"/>
      <c r="G806" s="4360"/>
      <c r="H806" s="4360"/>
      <c r="I806" s="4360"/>
      <c r="J806" s="4360"/>
      <c r="K806" s="4360"/>
      <c r="L806" s="4361"/>
      <c r="M806" s="4360"/>
      <c r="N806" s="4360"/>
      <c r="O806" s="4360"/>
      <c r="P806" s="4360"/>
      <c r="Q806" s="4360"/>
      <c r="R806" s="4360"/>
      <c r="S806" s="4360"/>
      <c r="T806" s="4360"/>
      <c r="U806" s="4360"/>
      <c r="V806" s="4360"/>
      <c r="W806" s="4360"/>
    </row>
    <row r="807" spans="2:23" s="4273" customFormat="1">
      <c r="B807" s="4360"/>
      <c r="C807" s="4360"/>
      <c r="D807" s="4360"/>
      <c r="E807" s="4360"/>
      <c r="F807" s="4360"/>
      <c r="G807" s="4360"/>
      <c r="H807" s="4360"/>
      <c r="I807" s="4360"/>
      <c r="J807" s="4360"/>
      <c r="K807" s="4360"/>
      <c r="L807" s="4361"/>
      <c r="M807" s="4360"/>
      <c r="N807" s="4360"/>
      <c r="O807" s="4360"/>
      <c r="P807" s="4360"/>
      <c r="Q807" s="4360"/>
      <c r="R807" s="4360"/>
      <c r="S807" s="4360"/>
      <c r="T807" s="4360"/>
      <c r="U807" s="4360"/>
      <c r="V807" s="4360"/>
      <c r="W807" s="4360"/>
    </row>
    <row r="808" spans="2:23" s="4273" customFormat="1">
      <c r="B808" s="4360"/>
      <c r="C808" s="4360"/>
      <c r="D808" s="4360"/>
      <c r="E808" s="4360"/>
      <c r="F808" s="4360"/>
      <c r="G808" s="4360"/>
      <c r="H808" s="4360"/>
      <c r="I808" s="4360"/>
      <c r="J808" s="4360"/>
      <c r="K808" s="4360"/>
      <c r="L808" s="4361"/>
      <c r="M808" s="4360"/>
      <c r="N808" s="4360"/>
      <c r="O808" s="4360"/>
      <c r="P808" s="4360"/>
      <c r="Q808" s="4360"/>
      <c r="R808" s="4360"/>
      <c r="S808" s="4360"/>
      <c r="T808" s="4360"/>
      <c r="U808" s="4360"/>
      <c r="V808" s="4360"/>
      <c r="W808" s="4360"/>
    </row>
    <row r="809" spans="2:23" s="4273" customFormat="1">
      <c r="B809" s="4360"/>
      <c r="C809" s="4360"/>
      <c r="D809" s="4360"/>
      <c r="E809" s="4360"/>
      <c r="F809" s="4360"/>
      <c r="G809" s="4360"/>
      <c r="H809" s="4360"/>
      <c r="I809" s="4360"/>
      <c r="J809" s="4360"/>
      <c r="K809" s="4360"/>
      <c r="L809" s="4361"/>
      <c r="M809" s="4360"/>
      <c r="N809" s="4360"/>
      <c r="O809" s="4360"/>
      <c r="P809" s="4360"/>
      <c r="Q809" s="4360"/>
      <c r="R809" s="4360"/>
      <c r="S809" s="4360"/>
      <c r="T809" s="4360"/>
      <c r="U809" s="4360"/>
      <c r="V809" s="4360"/>
      <c r="W809" s="4360"/>
    </row>
    <row r="810" spans="2:23" s="4273" customFormat="1">
      <c r="B810" s="4360"/>
      <c r="C810" s="4360"/>
      <c r="D810" s="4360"/>
      <c r="E810" s="4360"/>
      <c r="F810" s="4360"/>
      <c r="G810" s="4360"/>
      <c r="H810" s="4360"/>
      <c r="I810" s="4360"/>
      <c r="J810" s="4360"/>
      <c r="K810" s="4360"/>
      <c r="L810" s="4361"/>
      <c r="M810" s="4360"/>
      <c r="N810" s="4360"/>
      <c r="O810" s="4360"/>
      <c r="P810" s="4360"/>
      <c r="Q810" s="4360"/>
      <c r="R810" s="4360"/>
      <c r="S810" s="4360"/>
      <c r="T810" s="4360"/>
      <c r="U810" s="4360"/>
      <c r="V810" s="4360"/>
      <c r="W810" s="4360"/>
    </row>
    <row r="811" spans="2:23" s="4273" customFormat="1">
      <c r="B811" s="4360"/>
      <c r="C811" s="4360"/>
      <c r="D811" s="4360"/>
      <c r="E811" s="4360"/>
      <c r="F811" s="4360"/>
      <c r="G811" s="4360"/>
      <c r="H811" s="4360"/>
      <c r="I811" s="4360"/>
      <c r="J811" s="4360"/>
      <c r="K811" s="4360"/>
      <c r="L811" s="4361"/>
      <c r="M811" s="4360"/>
      <c r="N811" s="4360"/>
      <c r="O811" s="4360"/>
      <c r="P811" s="4360"/>
      <c r="Q811" s="4360"/>
      <c r="R811" s="4360"/>
      <c r="S811" s="4360"/>
      <c r="T811" s="4360"/>
      <c r="U811" s="4360"/>
      <c r="V811" s="4360"/>
      <c r="W811" s="4360"/>
    </row>
    <row r="812" spans="2:23" s="4273" customFormat="1">
      <c r="B812" s="4360"/>
      <c r="C812" s="4360"/>
      <c r="D812" s="4360"/>
      <c r="E812" s="4360"/>
      <c r="F812" s="4360"/>
      <c r="G812" s="4360"/>
      <c r="H812" s="4360"/>
      <c r="I812" s="4360"/>
      <c r="J812" s="4360"/>
      <c r="K812" s="4360"/>
      <c r="L812" s="4361"/>
      <c r="M812" s="4360"/>
      <c r="N812" s="4360"/>
      <c r="O812" s="4360"/>
      <c r="P812" s="4360"/>
      <c r="Q812" s="4360"/>
      <c r="R812" s="4360"/>
      <c r="S812" s="4360"/>
      <c r="T812" s="4360"/>
      <c r="U812" s="4360"/>
      <c r="V812" s="4360"/>
      <c r="W812" s="4360"/>
    </row>
    <row r="813" spans="2:23" s="4273" customFormat="1">
      <c r="B813" s="4360"/>
      <c r="C813" s="4360"/>
      <c r="D813" s="4360"/>
      <c r="E813" s="4360"/>
      <c r="F813" s="4360"/>
      <c r="G813" s="4360"/>
      <c r="H813" s="4360"/>
      <c r="I813" s="4360"/>
      <c r="J813" s="4360"/>
      <c r="K813" s="4360"/>
      <c r="L813" s="4361"/>
      <c r="M813" s="4360"/>
      <c r="N813" s="4360"/>
      <c r="O813" s="4360"/>
      <c r="P813" s="4360"/>
      <c r="Q813" s="4360"/>
      <c r="R813" s="4360"/>
      <c r="S813" s="4360"/>
      <c r="T813" s="4360"/>
      <c r="U813" s="4360"/>
      <c r="V813" s="4360"/>
      <c r="W813" s="4360"/>
    </row>
    <row r="814" spans="2:23" s="4273" customFormat="1">
      <c r="B814" s="4360"/>
      <c r="C814" s="4360"/>
      <c r="D814" s="4360"/>
      <c r="E814" s="4360"/>
      <c r="F814" s="4360"/>
      <c r="G814" s="4360"/>
      <c r="H814" s="4360"/>
      <c r="I814" s="4360"/>
      <c r="J814" s="4360"/>
      <c r="K814" s="4360"/>
      <c r="L814" s="4361"/>
      <c r="M814" s="4360"/>
      <c r="N814" s="4360"/>
      <c r="O814" s="4360"/>
      <c r="P814" s="4360"/>
      <c r="Q814" s="4360"/>
      <c r="R814" s="4360"/>
      <c r="S814" s="4360"/>
      <c r="T814" s="4360"/>
      <c r="U814" s="4360"/>
      <c r="V814" s="4360"/>
      <c r="W814" s="4360"/>
    </row>
    <row r="815" spans="2:23" s="4273" customFormat="1">
      <c r="B815" s="4360"/>
      <c r="C815" s="4360"/>
      <c r="D815" s="4360"/>
      <c r="E815" s="4360"/>
      <c r="F815" s="4360"/>
      <c r="G815" s="4360"/>
      <c r="H815" s="4360"/>
      <c r="I815" s="4360"/>
      <c r="J815" s="4360"/>
      <c r="K815" s="4360"/>
      <c r="L815" s="4361"/>
      <c r="M815" s="4360"/>
      <c r="N815" s="4360"/>
      <c r="O815" s="4360"/>
      <c r="P815" s="4360"/>
      <c r="Q815" s="4360"/>
      <c r="R815" s="4360"/>
      <c r="S815" s="4360"/>
      <c r="T815" s="4360"/>
      <c r="U815" s="4360"/>
      <c r="V815" s="4360"/>
      <c r="W815" s="4360"/>
    </row>
    <row r="816" spans="2:23" s="4273" customFormat="1">
      <c r="B816" s="4360"/>
      <c r="C816" s="4360"/>
      <c r="D816" s="4360"/>
      <c r="E816" s="4360"/>
      <c r="F816" s="4360"/>
      <c r="G816" s="4360"/>
      <c r="H816" s="4360"/>
      <c r="I816" s="4360"/>
      <c r="J816" s="4360"/>
      <c r="K816" s="4360"/>
      <c r="L816" s="4361"/>
      <c r="M816" s="4360"/>
      <c r="N816" s="4360"/>
      <c r="O816" s="4360"/>
      <c r="P816" s="4360"/>
      <c r="Q816" s="4360"/>
      <c r="R816" s="4360"/>
      <c r="S816" s="4360"/>
      <c r="T816" s="4360"/>
      <c r="U816" s="4360"/>
      <c r="V816" s="4360"/>
      <c r="W816" s="4360"/>
    </row>
    <row r="817" spans="2:23" s="4273" customFormat="1">
      <c r="B817" s="4360"/>
      <c r="C817" s="4360"/>
      <c r="D817" s="4360"/>
      <c r="E817" s="4360"/>
      <c r="F817" s="4360"/>
      <c r="G817" s="4360"/>
      <c r="H817" s="4360"/>
      <c r="I817" s="4360"/>
      <c r="J817" s="4360"/>
      <c r="K817" s="4360"/>
      <c r="L817" s="4361"/>
      <c r="M817" s="4360"/>
      <c r="N817" s="4360"/>
      <c r="O817" s="4360"/>
      <c r="P817" s="4360"/>
      <c r="Q817" s="4360"/>
      <c r="R817" s="4360"/>
      <c r="S817" s="4360"/>
      <c r="T817" s="4360"/>
      <c r="U817" s="4360"/>
      <c r="V817" s="4360"/>
      <c r="W817" s="4360"/>
    </row>
    <row r="818" spans="2:23" s="4273" customFormat="1">
      <c r="B818" s="4360"/>
      <c r="C818" s="4360"/>
      <c r="D818" s="4360"/>
      <c r="E818" s="4360"/>
      <c r="F818" s="4360"/>
      <c r="G818" s="4360"/>
      <c r="H818" s="4360"/>
      <c r="I818" s="4360"/>
      <c r="J818" s="4360"/>
      <c r="K818" s="4360"/>
      <c r="L818" s="4361"/>
      <c r="M818" s="4360"/>
      <c r="N818" s="4360"/>
      <c r="O818" s="4360"/>
      <c r="P818" s="4360"/>
      <c r="Q818" s="4360"/>
      <c r="R818" s="4360"/>
      <c r="S818" s="4360"/>
      <c r="T818" s="4360"/>
      <c r="U818" s="4360"/>
      <c r="V818" s="4360"/>
      <c r="W818" s="4360"/>
    </row>
    <row r="819" spans="2:23" s="4273" customFormat="1">
      <c r="B819" s="4360"/>
      <c r="C819" s="4360"/>
      <c r="D819" s="4360"/>
      <c r="E819" s="4360"/>
      <c r="F819" s="4360"/>
      <c r="G819" s="4360"/>
      <c r="H819" s="4360"/>
      <c r="I819" s="4360"/>
      <c r="J819" s="4360"/>
      <c r="K819" s="4360"/>
      <c r="L819" s="4361"/>
      <c r="M819" s="4360"/>
      <c r="N819" s="4360"/>
      <c r="O819" s="4360"/>
      <c r="P819" s="4360"/>
      <c r="Q819" s="4360"/>
      <c r="R819" s="4360"/>
      <c r="S819" s="4360"/>
      <c r="T819" s="4360"/>
      <c r="U819" s="4360"/>
      <c r="V819" s="4360"/>
      <c r="W819" s="4360"/>
    </row>
    <row r="820" spans="2:23" s="4273" customFormat="1">
      <c r="B820" s="4360"/>
      <c r="C820" s="4360"/>
      <c r="D820" s="4360"/>
      <c r="E820" s="4360"/>
      <c r="F820" s="4360"/>
      <c r="G820" s="4360"/>
      <c r="H820" s="4360"/>
      <c r="I820" s="4360"/>
      <c r="J820" s="4360"/>
      <c r="K820" s="4360"/>
      <c r="L820" s="4361"/>
      <c r="M820" s="4360"/>
      <c r="N820" s="4360"/>
      <c r="O820" s="4360"/>
      <c r="P820" s="4360"/>
      <c r="Q820" s="4360"/>
      <c r="R820" s="4360"/>
      <c r="S820" s="4360"/>
      <c r="T820" s="4360"/>
      <c r="U820" s="4360"/>
      <c r="V820" s="4360"/>
      <c r="W820" s="4360"/>
    </row>
    <row r="821" spans="2:23" s="4273" customFormat="1">
      <c r="B821" s="4360"/>
      <c r="C821" s="4360"/>
      <c r="D821" s="4360"/>
      <c r="E821" s="4360"/>
      <c r="F821" s="4360"/>
      <c r="G821" s="4360"/>
      <c r="H821" s="4360"/>
      <c r="I821" s="4360"/>
      <c r="J821" s="4360"/>
      <c r="K821" s="4360"/>
      <c r="L821" s="4361"/>
      <c r="M821" s="4360"/>
      <c r="N821" s="4360"/>
      <c r="O821" s="4360"/>
      <c r="P821" s="4360"/>
      <c r="Q821" s="4360"/>
      <c r="R821" s="4360"/>
      <c r="S821" s="4360"/>
      <c r="T821" s="4360"/>
      <c r="U821" s="4360"/>
      <c r="V821" s="4360"/>
      <c r="W821" s="4360"/>
    </row>
    <row r="822" spans="2:23" s="4273" customFormat="1">
      <c r="B822" s="4360"/>
      <c r="C822" s="4360"/>
      <c r="D822" s="4360"/>
      <c r="E822" s="4360"/>
      <c r="F822" s="4360"/>
      <c r="G822" s="4360"/>
      <c r="H822" s="4360"/>
      <c r="I822" s="4360"/>
      <c r="J822" s="4360"/>
      <c r="K822" s="4360"/>
      <c r="L822" s="4361"/>
      <c r="M822" s="4360"/>
      <c r="N822" s="4360"/>
      <c r="O822" s="4360"/>
      <c r="P822" s="4360"/>
      <c r="Q822" s="4360"/>
      <c r="R822" s="4360"/>
      <c r="S822" s="4360"/>
      <c r="T822" s="4360"/>
      <c r="U822" s="4360"/>
      <c r="V822" s="4360"/>
      <c r="W822" s="4360"/>
    </row>
    <row r="823" spans="2:23" s="4273" customFormat="1">
      <c r="B823" s="4360"/>
      <c r="C823" s="4360"/>
      <c r="D823" s="4360"/>
      <c r="E823" s="4360"/>
      <c r="F823" s="4360"/>
      <c r="G823" s="4360"/>
      <c r="H823" s="4360"/>
      <c r="I823" s="4360"/>
      <c r="J823" s="4360"/>
      <c r="K823" s="4360"/>
      <c r="L823" s="4361"/>
      <c r="M823" s="4360"/>
      <c r="N823" s="4360"/>
      <c r="O823" s="4360"/>
      <c r="P823" s="4360"/>
      <c r="Q823" s="4360"/>
      <c r="R823" s="4360"/>
      <c r="S823" s="4360"/>
      <c r="T823" s="4360"/>
      <c r="U823" s="4360"/>
      <c r="V823" s="4360"/>
      <c r="W823" s="4360"/>
    </row>
    <row r="824" spans="2:23" s="4273" customFormat="1">
      <c r="B824" s="4360"/>
      <c r="C824" s="4360"/>
      <c r="D824" s="4360"/>
      <c r="E824" s="4360"/>
      <c r="F824" s="4360"/>
      <c r="G824" s="4360"/>
      <c r="H824" s="4360"/>
      <c r="I824" s="4360"/>
      <c r="J824" s="4360"/>
      <c r="K824" s="4360"/>
      <c r="L824" s="4361"/>
      <c r="M824" s="4360"/>
      <c r="N824" s="4360"/>
      <c r="O824" s="4360"/>
      <c r="P824" s="4360"/>
      <c r="Q824" s="4360"/>
      <c r="R824" s="4360"/>
      <c r="S824" s="4360"/>
      <c r="T824" s="4360"/>
      <c r="U824" s="4360"/>
      <c r="V824" s="4360"/>
      <c r="W824" s="4360"/>
    </row>
    <row r="825" spans="2:23" s="4273" customFormat="1">
      <c r="B825" s="4360"/>
      <c r="C825" s="4360"/>
      <c r="D825" s="4360"/>
      <c r="E825" s="4360"/>
      <c r="F825" s="4360"/>
      <c r="G825" s="4360"/>
      <c r="H825" s="4360"/>
      <c r="I825" s="4360"/>
      <c r="J825" s="4360"/>
      <c r="K825" s="4360"/>
      <c r="L825" s="4361"/>
      <c r="M825" s="4360"/>
      <c r="N825" s="4360"/>
      <c r="O825" s="4360"/>
      <c r="P825" s="4360"/>
      <c r="Q825" s="4360"/>
      <c r="R825" s="4360"/>
      <c r="S825" s="4360"/>
      <c r="T825" s="4360"/>
      <c r="U825" s="4360"/>
      <c r="V825" s="4360"/>
      <c r="W825" s="4360"/>
    </row>
    <row r="826" spans="2:23" s="4273" customFormat="1">
      <c r="B826" s="4360"/>
      <c r="C826" s="4360"/>
      <c r="D826" s="4360"/>
      <c r="E826" s="4360"/>
      <c r="F826" s="4360"/>
      <c r="G826" s="4360"/>
      <c r="H826" s="4360"/>
      <c r="I826" s="4360"/>
      <c r="J826" s="4360"/>
      <c r="K826" s="4360"/>
      <c r="L826" s="4361"/>
      <c r="M826" s="4360"/>
      <c r="N826" s="4360"/>
      <c r="O826" s="4360"/>
      <c r="P826" s="4360"/>
      <c r="Q826" s="4360"/>
      <c r="R826" s="4360"/>
      <c r="S826" s="4360"/>
      <c r="T826" s="4360"/>
      <c r="U826" s="4360"/>
      <c r="V826" s="4360"/>
      <c r="W826" s="4360"/>
    </row>
    <row r="827" spans="2:23" s="4273" customFormat="1">
      <c r="B827" s="4360"/>
      <c r="C827" s="4360"/>
      <c r="D827" s="4360"/>
      <c r="E827" s="4360"/>
      <c r="F827" s="4360"/>
      <c r="G827" s="4360"/>
      <c r="H827" s="4360"/>
      <c r="I827" s="4360"/>
      <c r="J827" s="4360"/>
      <c r="K827" s="4360"/>
      <c r="L827" s="4361"/>
      <c r="M827" s="4360"/>
      <c r="N827" s="4360"/>
      <c r="O827" s="4360"/>
      <c r="P827" s="4360"/>
      <c r="Q827" s="4360"/>
      <c r="R827" s="4360"/>
      <c r="S827" s="4360"/>
      <c r="T827" s="4360"/>
      <c r="U827" s="4360"/>
      <c r="V827" s="4360"/>
      <c r="W827" s="4360"/>
    </row>
    <row r="828" spans="2:23" s="4273" customFormat="1">
      <c r="B828" s="4360"/>
      <c r="C828" s="4360"/>
      <c r="D828" s="4360"/>
      <c r="E828" s="4360"/>
      <c r="F828" s="4360"/>
      <c r="G828" s="4360"/>
      <c r="H828" s="4360"/>
      <c r="I828" s="4360"/>
      <c r="J828" s="4360"/>
      <c r="K828" s="4360"/>
      <c r="L828" s="4361"/>
      <c r="M828" s="4360"/>
      <c r="N828" s="4360"/>
      <c r="O828" s="4360"/>
      <c r="P828" s="4360"/>
      <c r="Q828" s="4360"/>
      <c r="R828" s="4360"/>
      <c r="S828" s="4360"/>
      <c r="T828" s="4360"/>
      <c r="U828" s="4360"/>
      <c r="V828" s="4360"/>
      <c r="W828" s="4360"/>
    </row>
    <row r="829" spans="2:23" s="4273" customFormat="1">
      <c r="B829" s="4360"/>
      <c r="C829" s="4360"/>
      <c r="D829" s="4360"/>
      <c r="E829" s="4360"/>
      <c r="F829" s="4360"/>
      <c r="G829" s="4360"/>
      <c r="H829" s="4360"/>
      <c r="I829" s="4360"/>
      <c r="J829" s="4360"/>
      <c r="K829" s="4360"/>
      <c r="L829" s="4361"/>
      <c r="M829" s="4360"/>
      <c r="N829" s="4360"/>
      <c r="O829" s="4360"/>
      <c r="P829" s="4360"/>
      <c r="Q829" s="4360"/>
      <c r="R829" s="4360"/>
      <c r="S829" s="4360"/>
      <c r="T829" s="4360"/>
      <c r="U829" s="4360"/>
      <c r="V829" s="4360"/>
      <c r="W829" s="4360"/>
    </row>
    <row r="830" spans="2:23" s="4273" customFormat="1">
      <c r="B830" s="4360"/>
      <c r="C830" s="4360"/>
      <c r="D830" s="4360"/>
      <c r="E830" s="4360"/>
      <c r="F830" s="4360"/>
      <c r="G830" s="4360"/>
      <c r="H830" s="4360"/>
      <c r="I830" s="4360"/>
      <c r="J830" s="4360"/>
      <c r="K830" s="4360"/>
      <c r="L830" s="4361"/>
      <c r="M830" s="4360"/>
      <c r="N830" s="4360"/>
      <c r="O830" s="4360"/>
      <c r="P830" s="4360"/>
      <c r="Q830" s="4360"/>
      <c r="R830" s="4360"/>
      <c r="S830" s="4360"/>
      <c r="T830" s="4360"/>
      <c r="U830" s="4360"/>
      <c r="V830" s="4360"/>
      <c r="W830" s="4360"/>
    </row>
    <row r="831" spans="2:23" s="4273" customFormat="1">
      <c r="B831" s="4360"/>
      <c r="C831" s="4360"/>
      <c r="D831" s="4360"/>
      <c r="E831" s="4360"/>
      <c r="F831" s="4360"/>
      <c r="G831" s="4360"/>
      <c r="H831" s="4360"/>
      <c r="I831" s="4360"/>
      <c r="J831" s="4360"/>
      <c r="K831" s="4360"/>
      <c r="L831" s="4361"/>
      <c r="M831" s="4360"/>
      <c r="N831" s="4360"/>
      <c r="O831" s="4360"/>
      <c r="P831" s="4360"/>
      <c r="Q831" s="4360"/>
      <c r="R831" s="4360"/>
      <c r="S831" s="4360"/>
      <c r="T831" s="4360"/>
      <c r="U831" s="4360"/>
      <c r="V831" s="4360"/>
      <c r="W831" s="4360"/>
    </row>
    <row r="832" spans="2:23" s="4273" customFormat="1">
      <c r="B832" s="4360"/>
      <c r="C832" s="4360"/>
      <c r="D832" s="4360"/>
      <c r="E832" s="4360"/>
      <c r="F832" s="4360"/>
      <c r="G832" s="4360"/>
      <c r="H832" s="4360"/>
      <c r="I832" s="4360"/>
      <c r="J832" s="4360"/>
      <c r="K832" s="4360"/>
      <c r="L832" s="4361"/>
      <c r="M832" s="4360"/>
      <c r="N832" s="4360"/>
      <c r="O832" s="4360"/>
      <c r="P832" s="4360"/>
      <c r="Q832" s="4360"/>
      <c r="R832" s="4360"/>
      <c r="S832" s="4360"/>
      <c r="T832" s="4360"/>
      <c r="U832" s="4360"/>
      <c r="V832" s="4360"/>
      <c r="W832" s="4360"/>
    </row>
    <row r="833" spans="2:23" s="4273" customFormat="1">
      <c r="B833" s="4360"/>
      <c r="C833" s="4360"/>
      <c r="D833" s="4360"/>
      <c r="E833" s="4360"/>
      <c r="F833" s="4360"/>
      <c r="G833" s="4360"/>
      <c r="H833" s="4360"/>
      <c r="I833" s="4360"/>
      <c r="J833" s="4360"/>
      <c r="K833" s="4360"/>
      <c r="L833" s="4361"/>
      <c r="M833" s="4360"/>
      <c r="N833" s="4360"/>
      <c r="O833" s="4360"/>
      <c r="P833" s="4360"/>
      <c r="Q833" s="4360"/>
      <c r="R833" s="4360"/>
      <c r="S833" s="4360"/>
      <c r="T833" s="4360"/>
      <c r="U833" s="4360"/>
      <c r="V833" s="4360"/>
      <c r="W833" s="4360"/>
    </row>
    <row r="834" spans="2:23" s="4273" customFormat="1">
      <c r="B834" s="4360"/>
      <c r="C834" s="4360"/>
      <c r="D834" s="4360"/>
      <c r="E834" s="4360"/>
      <c r="F834" s="4360"/>
      <c r="G834" s="4360"/>
      <c r="H834" s="4360"/>
      <c r="I834" s="4360"/>
      <c r="J834" s="4360"/>
      <c r="K834" s="4360"/>
      <c r="L834" s="4361"/>
      <c r="M834" s="4360"/>
      <c r="N834" s="4360"/>
      <c r="O834" s="4360"/>
      <c r="P834" s="4360"/>
      <c r="Q834" s="4360"/>
      <c r="R834" s="4360"/>
      <c r="S834" s="4360"/>
      <c r="T834" s="4360"/>
      <c r="U834" s="4360"/>
      <c r="V834" s="4360"/>
      <c r="W834" s="4360"/>
    </row>
    <row r="835" spans="2:23" s="4273" customFormat="1">
      <c r="B835" s="4360"/>
      <c r="C835" s="4360"/>
      <c r="D835" s="4360"/>
      <c r="E835" s="4360"/>
      <c r="F835" s="4360"/>
      <c r="G835" s="4360"/>
      <c r="H835" s="4360"/>
      <c r="I835" s="4360"/>
      <c r="J835" s="4360"/>
      <c r="K835" s="4360"/>
      <c r="L835" s="4361"/>
      <c r="M835" s="4360"/>
      <c r="N835" s="4360"/>
      <c r="O835" s="4360"/>
      <c r="P835" s="4360"/>
      <c r="Q835" s="4360"/>
      <c r="R835" s="4360"/>
      <c r="S835" s="4360"/>
      <c r="T835" s="4360"/>
      <c r="U835" s="4360"/>
      <c r="V835" s="4360"/>
      <c r="W835" s="4360"/>
    </row>
    <row r="836" spans="2:23" s="4273" customFormat="1">
      <c r="B836" s="4360"/>
      <c r="C836" s="4360"/>
      <c r="D836" s="4360"/>
      <c r="E836" s="4360"/>
      <c r="F836" s="4360"/>
      <c r="G836" s="4360"/>
      <c r="H836" s="4360"/>
      <c r="I836" s="4360"/>
      <c r="J836" s="4360"/>
      <c r="K836" s="4360"/>
      <c r="L836" s="4361"/>
      <c r="M836" s="4360"/>
      <c r="N836" s="4360"/>
      <c r="O836" s="4360"/>
      <c r="P836" s="4360"/>
      <c r="Q836" s="4360"/>
      <c r="R836" s="4360"/>
      <c r="S836" s="4360"/>
      <c r="T836" s="4360"/>
      <c r="U836" s="4360"/>
      <c r="V836" s="4360"/>
      <c r="W836" s="4360"/>
    </row>
    <row r="837" spans="2:23" s="4273" customFormat="1">
      <c r="B837" s="4360"/>
      <c r="C837" s="4360"/>
      <c r="D837" s="4360"/>
      <c r="E837" s="4360"/>
      <c r="F837" s="4360"/>
      <c r="G837" s="4360"/>
      <c r="H837" s="4360"/>
      <c r="I837" s="4360"/>
      <c r="J837" s="4360"/>
      <c r="K837" s="4360"/>
      <c r="L837" s="4361"/>
      <c r="M837" s="4360"/>
      <c r="N837" s="4360"/>
      <c r="O837" s="4360"/>
      <c r="P837" s="4360"/>
      <c r="Q837" s="4360"/>
      <c r="R837" s="4360"/>
      <c r="S837" s="4360"/>
      <c r="T837" s="4360"/>
      <c r="U837" s="4360"/>
      <c r="V837" s="4360"/>
      <c r="W837" s="4360"/>
    </row>
    <row r="838" spans="2:23" s="4273" customFormat="1">
      <c r="B838" s="4360"/>
      <c r="C838" s="4360"/>
      <c r="D838" s="4360"/>
      <c r="E838" s="4360"/>
      <c r="F838" s="4360"/>
      <c r="G838" s="4360"/>
      <c r="H838" s="4360"/>
      <c r="I838" s="4360"/>
      <c r="J838" s="4360"/>
      <c r="K838" s="4360"/>
      <c r="L838" s="4361"/>
      <c r="M838" s="4360"/>
      <c r="N838" s="4360"/>
      <c r="O838" s="4360"/>
      <c r="P838" s="4360"/>
      <c r="Q838" s="4360"/>
      <c r="R838" s="4360"/>
      <c r="S838" s="4360"/>
      <c r="T838" s="4360"/>
      <c r="U838" s="4360"/>
      <c r="V838" s="4360"/>
      <c r="W838" s="4360"/>
    </row>
    <row r="839" spans="2:23" s="4273" customFormat="1">
      <c r="B839" s="4360"/>
      <c r="C839" s="4360"/>
      <c r="D839" s="4360"/>
      <c r="E839" s="4360"/>
      <c r="F839" s="4360"/>
      <c r="G839" s="4360"/>
      <c r="H839" s="4360"/>
      <c r="I839" s="4360"/>
      <c r="J839" s="4360"/>
      <c r="K839" s="4360"/>
      <c r="L839" s="4361"/>
      <c r="M839" s="4360"/>
      <c r="N839" s="4360"/>
      <c r="O839" s="4360"/>
      <c r="P839" s="4360"/>
      <c r="Q839" s="4360"/>
      <c r="R839" s="4360"/>
      <c r="S839" s="4360"/>
      <c r="T839" s="4360"/>
      <c r="U839" s="4360"/>
      <c r="V839" s="4360"/>
      <c r="W839" s="4360"/>
    </row>
    <row r="840" spans="2:23" s="4273" customFormat="1">
      <c r="B840" s="4360"/>
      <c r="C840" s="4360"/>
      <c r="D840" s="4360"/>
      <c r="E840" s="4360"/>
      <c r="F840" s="4360"/>
      <c r="G840" s="4360"/>
      <c r="H840" s="4360"/>
      <c r="I840" s="4360"/>
      <c r="J840" s="4360"/>
      <c r="K840" s="4360"/>
      <c r="L840" s="4361"/>
      <c r="M840" s="4360"/>
      <c r="N840" s="4360"/>
      <c r="O840" s="4360"/>
      <c r="P840" s="4360"/>
      <c r="Q840" s="4360"/>
      <c r="R840" s="4360"/>
      <c r="S840" s="4360"/>
      <c r="T840" s="4360"/>
      <c r="U840" s="4360"/>
      <c r="V840" s="4360"/>
      <c r="W840" s="4360"/>
    </row>
    <row r="841" spans="2:23" s="4273" customFormat="1">
      <c r="B841" s="4360"/>
      <c r="C841" s="4360"/>
      <c r="D841" s="4360"/>
      <c r="E841" s="4360"/>
      <c r="F841" s="4360"/>
      <c r="G841" s="4360"/>
      <c r="H841" s="4360"/>
      <c r="I841" s="4360"/>
      <c r="J841" s="4360"/>
      <c r="K841" s="4360"/>
      <c r="L841" s="4361"/>
      <c r="M841" s="4360"/>
      <c r="N841" s="4360"/>
      <c r="O841" s="4360"/>
      <c r="P841" s="4360"/>
      <c r="Q841" s="4360"/>
      <c r="R841" s="4360"/>
      <c r="S841" s="4360"/>
      <c r="T841" s="4360"/>
      <c r="U841" s="4360"/>
      <c r="V841" s="4360"/>
      <c r="W841" s="4360"/>
    </row>
    <row r="842" spans="2:23" s="4273" customFormat="1">
      <c r="B842" s="4360"/>
      <c r="C842" s="4360"/>
      <c r="D842" s="4360"/>
      <c r="E842" s="4360"/>
      <c r="F842" s="4360"/>
      <c r="G842" s="4360"/>
      <c r="H842" s="4360"/>
      <c r="I842" s="4360"/>
      <c r="J842" s="4360"/>
      <c r="K842" s="4360"/>
      <c r="L842" s="4361"/>
      <c r="M842" s="4360"/>
      <c r="N842" s="4360"/>
      <c r="O842" s="4360"/>
      <c r="P842" s="4360"/>
      <c r="Q842" s="4360"/>
      <c r="R842" s="4360"/>
      <c r="S842" s="4360"/>
      <c r="T842" s="4360"/>
      <c r="U842" s="4360"/>
      <c r="V842" s="4360"/>
      <c r="W842" s="4360"/>
    </row>
    <row r="843" spans="2:23" s="4273" customFormat="1">
      <c r="B843" s="4360"/>
      <c r="C843" s="4360"/>
      <c r="D843" s="4360"/>
      <c r="E843" s="4360"/>
      <c r="F843" s="4360"/>
      <c r="G843" s="4360"/>
      <c r="H843" s="4360"/>
      <c r="I843" s="4360"/>
      <c r="J843" s="4360"/>
      <c r="K843" s="4360"/>
      <c r="L843" s="4361"/>
      <c r="M843" s="4360"/>
      <c r="N843" s="4360"/>
      <c r="O843" s="4360"/>
      <c r="P843" s="4360"/>
      <c r="Q843" s="4360"/>
      <c r="R843" s="4360"/>
      <c r="S843" s="4360"/>
      <c r="T843" s="4360"/>
      <c r="U843" s="4360"/>
      <c r="V843" s="4360"/>
      <c r="W843" s="4360"/>
    </row>
    <row r="844" spans="2:23" s="4273" customFormat="1">
      <c r="B844" s="4360"/>
      <c r="C844" s="4360"/>
      <c r="D844" s="4360"/>
      <c r="E844" s="4360"/>
      <c r="F844" s="4360"/>
      <c r="G844" s="4360"/>
      <c r="H844" s="4360"/>
      <c r="I844" s="4360"/>
      <c r="J844" s="4360"/>
      <c r="K844" s="4360"/>
      <c r="L844" s="4361"/>
      <c r="M844" s="4360"/>
      <c r="N844" s="4360"/>
      <c r="O844" s="4360"/>
      <c r="P844" s="4360"/>
      <c r="Q844" s="4360"/>
      <c r="R844" s="4360"/>
      <c r="S844" s="4360"/>
      <c r="T844" s="4360"/>
      <c r="U844" s="4360"/>
      <c r="V844" s="4360"/>
      <c r="W844" s="4360"/>
    </row>
    <row r="845" spans="2:23" s="4273" customFormat="1">
      <c r="B845" s="4360"/>
      <c r="C845" s="4360"/>
      <c r="D845" s="4360"/>
      <c r="E845" s="4360"/>
      <c r="F845" s="4360"/>
      <c r="G845" s="4360"/>
      <c r="H845" s="4360"/>
      <c r="I845" s="4360"/>
      <c r="J845" s="4360"/>
      <c r="K845" s="4360"/>
      <c r="L845" s="4361"/>
      <c r="M845" s="4360"/>
      <c r="N845" s="4360"/>
      <c r="O845" s="4360"/>
      <c r="P845" s="4360"/>
      <c r="Q845" s="4360"/>
      <c r="R845" s="4360"/>
      <c r="S845" s="4360"/>
      <c r="T845" s="4360"/>
      <c r="U845" s="4360"/>
      <c r="V845" s="4360"/>
      <c r="W845" s="4360"/>
    </row>
    <row r="846" spans="2:23" s="4273" customFormat="1">
      <c r="B846" s="4360"/>
      <c r="C846" s="4360"/>
      <c r="D846" s="4360"/>
      <c r="E846" s="4360"/>
      <c r="F846" s="4360"/>
      <c r="G846" s="4360"/>
      <c r="H846" s="4360"/>
      <c r="I846" s="4360"/>
      <c r="J846" s="4360"/>
      <c r="K846" s="4360"/>
      <c r="L846" s="4361"/>
      <c r="M846" s="4360"/>
      <c r="N846" s="4360"/>
      <c r="O846" s="4360"/>
      <c r="P846" s="4360"/>
      <c r="Q846" s="4360"/>
      <c r="R846" s="4360"/>
      <c r="S846" s="4360"/>
      <c r="T846" s="4360"/>
      <c r="U846" s="4360"/>
      <c r="V846" s="4360"/>
      <c r="W846" s="4360"/>
    </row>
    <row r="847" spans="2:23" s="4273" customFormat="1">
      <c r="B847" s="4360"/>
      <c r="C847" s="4360"/>
      <c r="D847" s="4360"/>
      <c r="E847" s="4360"/>
      <c r="F847" s="4360"/>
      <c r="G847" s="4360"/>
      <c r="H847" s="4360"/>
      <c r="I847" s="4360"/>
      <c r="J847" s="4360"/>
      <c r="K847" s="4360"/>
      <c r="L847" s="4361"/>
      <c r="M847" s="4360"/>
      <c r="N847" s="4360"/>
      <c r="O847" s="4360"/>
      <c r="P847" s="4360"/>
      <c r="Q847" s="4360"/>
      <c r="R847" s="4360"/>
      <c r="S847" s="4360"/>
      <c r="T847" s="4360"/>
      <c r="U847" s="4360"/>
      <c r="V847" s="4360"/>
      <c r="W847" s="4360"/>
    </row>
    <row r="848" spans="2:23" s="4273" customFormat="1">
      <c r="B848" s="4360"/>
      <c r="C848" s="4360"/>
      <c r="D848" s="4360"/>
      <c r="E848" s="4360"/>
      <c r="F848" s="4360"/>
      <c r="G848" s="4360"/>
      <c r="H848" s="4360"/>
      <c r="I848" s="4360"/>
      <c r="J848" s="4360"/>
      <c r="K848" s="4360"/>
      <c r="L848" s="4361"/>
      <c r="M848" s="4360"/>
      <c r="N848" s="4360"/>
      <c r="O848" s="4360"/>
      <c r="P848" s="4360"/>
      <c r="Q848" s="4360"/>
      <c r="R848" s="4360"/>
      <c r="S848" s="4360"/>
      <c r="T848" s="4360"/>
      <c r="U848" s="4360"/>
      <c r="V848" s="4360"/>
      <c r="W848" s="4360"/>
    </row>
    <row r="849" spans="2:23" s="4273" customFormat="1">
      <c r="B849" s="4360"/>
      <c r="C849" s="4360"/>
      <c r="D849" s="4360"/>
      <c r="E849" s="4360"/>
      <c r="F849" s="4360"/>
      <c r="G849" s="4360"/>
      <c r="H849" s="4360"/>
      <c r="I849" s="4360"/>
      <c r="J849" s="4360"/>
      <c r="K849" s="4360"/>
      <c r="L849" s="4361"/>
      <c r="M849" s="4360"/>
      <c r="N849" s="4360"/>
      <c r="O849" s="4360"/>
      <c r="P849" s="4360"/>
      <c r="Q849" s="4360"/>
      <c r="R849" s="4360"/>
      <c r="S849" s="4360"/>
      <c r="T849" s="4360"/>
      <c r="U849" s="4360"/>
      <c r="V849" s="4360"/>
      <c r="W849" s="4360"/>
    </row>
    <row r="850" spans="2:23" s="4273" customFormat="1">
      <c r="B850" s="4360"/>
      <c r="C850" s="4360"/>
      <c r="D850" s="4360"/>
      <c r="E850" s="4360"/>
      <c r="F850" s="4360"/>
      <c r="G850" s="4360"/>
      <c r="H850" s="4360"/>
      <c r="I850" s="4360"/>
      <c r="J850" s="4360"/>
      <c r="K850" s="4360"/>
      <c r="L850" s="4361"/>
      <c r="M850" s="4360"/>
      <c r="N850" s="4360"/>
      <c r="O850" s="4360"/>
      <c r="P850" s="4360"/>
      <c r="Q850" s="4360"/>
      <c r="R850" s="4360"/>
      <c r="S850" s="4360"/>
      <c r="T850" s="4360"/>
      <c r="U850" s="4360"/>
      <c r="V850" s="4360"/>
      <c r="W850" s="4360"/>
    </row>
    <row r="851" spans="2:23" s="4273" customFormat="1">
      <c r="B851" s="4360"/>
      <c r="C851" s="4360"/>
      <c r="D851" s="4360"/>
      <c r="E851" s="4360"/>
      <c r="F851" s="4360"/>
      <c r="G851" s="4360"/>
      <c r="H851" s="4360"/>
      <c r="I851" s="4360"/>
      <c r="J851" s="4360"/>
      <c r="K851" s="4360"/>
      <c r="L851" s="4361"/>
      <c r="M851" s="4360"/>
      <c r="N851" s="4360"/>
      <c r="O851" s="4360"/>
      <c r="P851" s="4360"/>
      <c r="Q851" s="4360"/>
      <c r="R851" s="4360"/>
      <c r="S851" s="4360"/>
      <c r="T851" s="4360"/>
      <c r="U851" s="4360"/>
      <c r="V851" s="4360"/>
      <c r="W851" s="4360"/>
    </row>
    <row r="852" spans="2:23" s="4273" customFormat="1">
      <c r="B852" s="4360"/>
      <c r="C852" s="4360"/>
      <c r="D852" s="4360"/>
      <c r="E852" s="4360"/>
      <c r="F852" s="4360"/>
      <c r="G852" s="4360"/>
      <c r="H852" s="4360"/>
      <c r="I852" s="4360"/>
      <c r="J852" s="4360"/>
      <c r="K852" s="4360"/>
      <c r="L852" s="4361"/>
      <c r="M852" s="4360"/>
      <c r="N852" s="4360"/>
      <c r="O852" s="4360"/>
      <c r="P852" s="4360"/>
      <c r="Q852" s="4360"/>
      <c r="R852" s="4360"/>
      <c r="S852" s="4360"/>
      <c r="T852" s="4360"/>
      <c r="U852" s="4360"/>
      <c r="V852" s="4360"/>
      <c r="W852" s="4360"/>
    </row>
    <row r="853" spans="2:23" s="4273" customFormat="1">
      <c r="B853" s="4360"/>
      <c r="C853" s="4360"/>
      <c r="D853" s="4360"/>
      <c r="E853" s="4360"/>
      <c r="F853" s="4360"/>
      <c r="G853" s="4360"/>
      <c r="H853" s="4360"/>
      <c r="I853" s="4360"/>
      <c r="J853" s="4360"/>
      <c r="K853" s="4360"/>
      <c r="L853" s="4361"/>
      <c r="M853" s="4360"/>
      <c r="N853" s="4360"/>
      <c r="O853" s="4360"/>
      <c r="P853" s="4360"/>
      <c r="Q853" s="4360"/>
      <c r="R853" s="4360"/>
      <c r="S853" s="4360"/>
      <c r="T853" s="4360"/>
      <c r="U853" s="4360"/>
      <c r="V853" s="4360"/>
      <c r="W853" s="4360"/>
    </row>
    <row r="854" spans="2:23" s="4273" customFormat="1">
      <c r="B854" s="4360"/>
      <c r="C854" s="4360"/>
      <c r="D854" s="4360"/>
      <c r="E854" s="4360"/>
      <c r="F854" s="4360"/>
      <c r="G854" s="4360"/>
      <c r="H854" s="4360"/>
      <c r="I854" s="4360"/>
      <c r="J854" s="4360"/>
      <c r="K854" s="4360"/>
      <c r="L854" s="4361"/>
      <c r="M854" s="4360"/>
      <c r="N854" s="4360"/>
      <c r="O854" s="4360"/>
      <c r="P854" s="4360"/>
      <c r="Q854" s="4360"/>
      <c r="R854" s="4360"/>
      <c r="S854" s="4360"/>
      <c r="T854" s="4360"/>
      <c r="U854" s="4360"/>
      <c r="V854" s="4360"/>
      <c r="W854" s="4360"/>
    </row>
    <row r="855" spans="2:23" s="4273" customFormat="1">
      <c r="B855" s="4360"/>
      <c r="C855" s="4360"/>
      <c r="D855" s="4360"/>
      <c r="E855" s="4360"/>
      <c r="F855" s="4360"/>
      <c r="G855" s="4360"/>
      <c r="H855" s="4360"/>
      <c r="I855" s="4360"/>
      <c r="J855" s="4360"/>
      <c r="K855" s="4360"/>
      <c r="L855" s="4361"/>
      <c r="M855" s="4360"/>
      <c r="N855" s="4360"/>
      <c r="O855" s="4360"/>
      <c r="P855" s="4360"/>
      <c r="Q855" s="4360"/>
      <c r="R855" s="4360"/>
      <c r="S855" s="4360"/>
      <c r="T855" s="4360"/>
      <c r="U855" s="4360"/>
      <c r="V855" s="4360"/>
      <c r="W855" s="4360"/>
    </row>
    <row r="856" spans="2:23" s="4273" customFormat="1">
      <c r="B856" s="4360"/>
      <c r="C856" s="4360"/>
      <c r="D856" s="4360"/>
      <c r="E856" s="4360"/>
      <c r="F856" s="4360"/>
      <c r="G856" s="4360"/>
      <c r="H856" s="4360"/>
      <c r="I856" s="4360"/>
      <c r="J856" s="4360"/>
      <c r="K856" s="4360"/>
      <c r="L856" s="4361"/>
      <c r="M856" s="4360"/>
      <c r="N856" s="4360"/>
      <c r="O856" s="4360"/>
      <c r="P856" s="4360"/>
      <c r="Q856" s="4360"/>
      <c r="R856" s="4360"/>
      <c r="S856" s="4360"/>
      <c r="T856" s="4360"/>
      <c r="U856" s="4360"/>
      <c r="V856" s="4360"/>
      <c r="W856" s="4360"/>
    </row>
    <row r="857" spans="2:23" s="4273" customFormat="1">
      <c r="B857" s="4360"/>
      <c r="C857" s="4360"/>
      <c r="D857" s="4360"/>
      <c r="E857" s="4360"/>
      <c r="F857" s="4360"/>
      <c r="G857" s="4360"/>
      <c r="H857" s="4360"/>
      <c r="I857" s="4360"/>
      <c r="J857" s="4360"/>
      <c r="K857" s="4360"/>
      <c r="L857" s="4361"/>
      <c r="M857" s="4360"/>
      <c r="N857" s="4360"/>
      <c r="O857" s="4360"/>
      <c r="P857" s="4360"/>
      <c r="Q857" s="4360"/>
      <c r="R857" s="4360"/>
      <c r="S857" s="4360"/>
      <c r="T857" s="4360"/>
      <c r="U857" s="4360"/>
      <c r="V857" s="4360"/>
      <c r="W857" s="4360"/>
    </row>
    <row r="858" spans="2:23" s="4273" customFormat="1">
      <c r="B858" s="4360"/>
      <c r="C858" s="4360"/>
      <c r="D858" s="4360"/>
      <c r="E858" s="4360"/>
      <c r="F858" s="4360"/>
      <c r="G858" s="4360"/>
      <c r="H858" s="4360"/>
      <c r="I858" s="4360"/>
      <c r="J858" s="4360"/>
      <c r="K858" s="4360"/>
      <c r="L858" s="4361"/>
      <c r="M858" s="4360"/>
      <c r="N858" s="4360"/>
      <c r="O858" s="4360"/>
      <c r="P858" s="4360"/>
      <c r="Q858" s="4360"/>
      <c r="R858" s="4360"/>
      <c r="S858" s="4360"/>
      <c r="T858" s="4360"/>
      <c r="U858" s="4360"/>
      <c r="V858" s="4360"/>
      <c r="W858" s="4360"/>
    </row>
    <row r="859" spans="2:23" s="4273" customFormat="1">
      <c r="B859" s="4360"/>
      <c r="C859" s="4360"/>
      <c r="D859" s="4360"/>
      <c r="E859" s="4360"/>
      <c r="F859" s="4360"/>
      <c r="G859" s="4360"/>
      <c r="H859" s="4360"/>
      <c r="I859" s="4360"/>
      <c r="J859" s="4360"/>
      <c r="K859" s="4360"/>
      <c r="L859" s="4361"/>
      <c r="M859" s="4360"/>
      <c r="N859" s="4360"/>
      <c r="O859" s="4360"/>
      <c r="P859" s="4360"/>
      <c r="Q859" s="4360"/>
      <c r="R859" s="4360"/>
      <c r="S859" s="4360"/>
      <c r="T859" s="4360"/>
      <c r="U859" s="4360"/>
      <c r="V859" s="4360"/>
      <c r="W859" s="4360"/>
    </row>
    <row r="860" spans="2:23" s="4273" customFormat="1">
      <c r="B860" s="4360"/>
      <c r="C860" s="4360"/>
      <c r="D860" s="4360"/>
      <c r="E860" s="4360"/>
      <c r="F860" s="4360"/>
      <c r="G860" s="4360"/>
      <c r="H860" s="4360"/>
      <c r="I860" s="4360"/>
      <c r="J860" s="4360"/>
      <c r="K860" s="4360"/>
      <c r="L860" s="4361"/>
      <c r="M860" s="4360"/>
      <c r="N860" s="4360"/>
      <c r="O860" s="4360"/>
      <c r="P860" s="4360"/>
      <c r="Q860" s="4360"/>
      <c r="R860" s="4360"/>
      <c r="S860" s="4360"/>
      <c r="T860" s="4360"/>
      <c r="U860" s="4360"/>
      <c r="V860" s="4360"/>
      <c r="W860" s="4360"/>
    </row>
    <row r="861" spans="2:23" s="4273" customFormat="1">
      <c r="B861" s="4360"/>
      <c r="C861" s="4360"/>
      <c r="D861" s="4360"/>
      <c r="E861" s="4360"/>
      <c r="F861" s="4360"/>
      <c r="G861" s="4360"/>
      <c r="H861" s="4360"/>
      <c r="I861" s="4360"/>
      <c r="J861" s="4360"/>
      <c r="K861" s="4360"/>
      <c r="L861" s="4361"/>
      <c r="M861" s="4360"/>
      <c r="N861" s="4360"/>
      <c r="O861" s="4360"/>
      <c r="P861" s="4360"/>
      <c r="Q861" s="4360"/>
      <c r="R861" s="4360"/>
      <c r="S861" s="4360"/>
      <c r="T861" s="4360"/>
      <c r="U861" s="4360"/>
      <c r="V861" s="4360"/>
      <c r="W861" s="4360"/>
    </row>
    <row r="862" spans="2:23" s="4273" customFormat="1">
      <c r="B862" s="4360"/>
      <c r="C862" s="4360"/>
      <c r="D862" s="4360"/>
      <c r="E862" s="4360"/>
      <c r="F862" s="4360"/>
      <c r="G862" s="4360"/>
      <c r="H862" s="4360"/>
      <c r="I862" s="4360"/>
      <c r="J862" s="4360"/>
      <c r="K862" s="4360"/>
      <c r="L862" s="4361"/>
      <c r="M862" s="4360"/>
      <c r="N862" s="4360"/>
      <c r="O862" s="4360"/>
      <c r="P862" s="4360"/>
      <c r="Q862" s="4360"/>
      <c r="R862" s="4360"/>
      <c r="S862" s="4360"/>
      <c r="T862" s="4360"/>
      <c r="U862" s="4360"/>
      <c r="V862" s="4360"/>
      <c r="W862" s="4360"/>
    </row>
    <row r="863" spans="2:23" s="4273" customFormat="1">
      <c r="B863" s="4360"/>
      <c r="C863" s="4360"/>
      <c r="D863" s="4360"/>
      <c r="E863" s="4360"/>
      <c r="F863" s="4360"/>
      <c r="G863" s="4360"/>
      <c r="H863" s="4360"/>
      <c r="I863" s="4360"/>
      <c r="J863" s="4360"/>
      <c r="K863" s="4360"/>
      <c r="L863" s="4361"/>
      <c r="M863" s="4360"/>
      <c r="N863" s="4360"/>
      <c r="O863" s="4360"/>
      <c r="P863" s="4360"/>
      <c r="Q863" s="4360"/>
      <c r="R863" s="4360"/>
      <c r="S863" s="4360"/>
      <c r="T863" s="4360"/>
      <c r="U863" s="4360"/>
      <c r="V863" s="4360"/>
      <c r="W863" s="4360"/>
    </row>
    <row r="864" spans="2:23" s="4273" customFormat="1">
      <c r="B864" s="4360"/>
      <c r="C864" s="4360"/>
      <c r="D864" s="4360"/>
      <c r="E864" s="4360"/>
      <c r="F864" s="4360"/>
      <c r="G864" s="4360"/>
      <c r="H864" s="4360"/>
      <c r="I864" s="4360"/>
      <c r="J864" s="4360"/>
      <c r="K864" s="4360"/>
      <c r="L864" s="4361"/>
      <c r="M864" s="4360"/>
      <c r="N864" s="4360"/>
      <c r="O864" s="4360"/>
      <c r="P864" s="4360"/>
      <c r="Q864" s="4360"/>
      <c r="R864" s="4360"/>
      <c r="S864" s="4360"/>
      <c r="T864" s="4360"/>
      <c r="U864" s="4360"/>
      <c r="V864" s="4360"/>
      <c r="W864" s="4360"/>
    </row>
    <row r="865" spans="2:23" s="4273" customFormat="1">
      <c r="B865" s="4360"/>
      <c r="C865" s="4360"/>
      <c r="D865" s="4360"/>
      <c r="E865" s="4360"/>
      <c r="F865" s="4360"/>
      <c r="G865" s="4360"/>
      <c r="H865" s="4360"/>
      <c r="I865" s="4360"/>
      <c r="J865" s="4360"/>
      <c r="K865" s="4360"/>
      <c r="L865" s="4361"/>
      <c r="M865" s="4360"/>
      <c r="N865" s="4360"/>
      <c r="O865" s="4360"/>
      <c r="P865" s="4360"/>
      <c r="Q865" s="4360"/>
      <c r="R865" s="4360"/>
      <c r="S865" s="4360"/>
      <c r="T865" s="4360"/>
      <c r="U865" s="4360"/>
      <c r="V865" s="4360"/>
      <c r="W865" s="4360"/>
    </row>
    <row r="866" spans="2:23" s="4273" customFormat="1">
      <c r="B866" s="4360"/>
      <c r="C866" s="4360"/>
      <c r="D866" s="4360"/>
      <c r="E866" s="4360"/>
      <c r="F866" s="4360"/>
      <c r="G866" s="4360"/>
      <c r="H866" s="4360"/>
      <c r="I866" s="4360"/>
      <c r="J866" s="4360"/>
      <c r="K866" s="4360"/>
      <c r="L866" s="4361"/>
      <c r="M866" s="4360"/>
      <c r="N866" s="4360"/>
      <c r="O866" s="4360"/>
      <c r="P866" s="4360"/>
      <c r="Q866" s="4360"/>
      <c r="R866" s="4360"/>
      <c r="S866" s="4360"/>
      <c r="T866" s="4360"/>
      <c r="U866" s="4360"/>
      <c r="V866" s="4360"/>
      <c r="W866" s="4360"/>
    </row>
    <row r="867" spans="2:23" s="4273" customFormat="1">
      <c r="B867" s="4360"/>
      <c r="C867" s="4360"/>
      <c r="D867" s="4360"/>
      <c r="E867" s="4360"/>
      <c r="F867" s="4360"/>
      <c r="G867" s="4360"/>
      <c r="H867" s="4360"/>
      <c r="I867" s="4360"/>
      <c r="J867" s="4360"/>
      <c r="K867" s="4360"/>
      <c r="L867" s="4361"/>
      <c r="M867" s="4360"/>
      <c r="N867" s="4360"/>
      <c r="O867" s="4360"/>
      <c r="P867" s="4360"/>
      <c r="Q867" s="4360"/>
      <c r="R867" s="4360"/>
      <c r="S867" s="4360"/>
      <c r="T867" s="4360"/>
      <c r="U867" s="4360"/>
      <c r="V867" s="4360"/>
      <c r="W867" s="4360"/>
    </row>
    <row r="868" spans="2:23" s="4273" customFormat="1">
      <c r="B868" s="4360"/>
      <c r="C868" s="4360"/>
      <c r="D868" s="4360"/>
      <c r="E868" s="4360"/>
      <c r="F868" s="4360"/>
      <c r="G868" s="4360"/>
      <c r="H868" s="4360"/>
      <c r="I868" s="4360"/>
      <c r="J868" s="4360"/>
      <c r="K868" s="4360"/>
      <c r="L868" s="4361"/>
      <c r="M868" s="4360"/>
      <c r="N868" s="4360"/>
      <c r="O868" s="4360"/>
      <c r="P868" s="4360"/>
      <c r="Q868" s="4360"/>
      <c r="R868" s="4360"/>
      <c r="S868" s="4360"/>
      <c r="T868" s="4360"/>
      <c r="U868" s="4360"/>
      <c r="V868" s="4360"/>
      <c r="W868" s="4360"/>
    </row>
    <row r="869" spans="2:23" s="4273" customFormat="1">
      <c r="B869" s="4360"/>
      <c r="C869" s="4360"/>
      <c r="D869" s="4360"/>
      <c r="E869" s="4360"/>
      <c r="F869" s="4360"/>
      <c r="G869" s="4360"/>
      <c r="H869" s="4360"/>
      <c r="I869" s="4360"/>
      <c r="J869" s="4360"/>
      <c r="K869" s="4360"/>
      <c r="L869" s="4361"/>
      <c r="M869" s="4360"/>
      <c r="N869" s="4360"/>
      <c r="O869" s="4360"/>
      <c r="P869" s="4360"/>
      <c r="Q869" s="4360"/>
      <c r="R869" s="4360"/>
      <c r="S869" s="4360"/>
      <c r="T869" s="4360"/>
      <c r="U869" s="4360"/>
      <c r="V869" s="4360"/>
      <c r="W869" s="4360"/>
    </row>
    <row r="870" spans="2:23" s="4273" customFormat="1">
      <c r="B870" s="4360"/>
      <c r="C870" s="4360"/>
      <c r="D870" s="4360"/>
      <c r="E870" s="4360"/>
      <c r="F870" s="4360"/>
      <c r="G870" s="4360"/>
      <c r="H870" s="4360"/>
      <c r="I870" s="4360"/>
      <c r="J870" s="4360"/>
      <c r="K870" s="4360"/>
      <c r="L870" s="4361"/>
      <c r="M870" s="4360"/>
      <c r="N870" s="4360"/>
      <c r="O870" s="4360"/>
      <c r="P870" s="4360"/>
      <c r="Q870" s="4360"/>
      <c r="R870" s="4360"/>
      <c r="S870" s="4360"/>
      <c r="T870" s="4360"/>
      <c r="U870" s="4360"/>
      <c r="V870" s="4360"/>
      <c r="W870" s="4360"/>
    </row>
    <row r="871" spans="2:23" s="4273" customFormat="1">
      <c r="B871" s="4360"/>
      <c r="C871" s="4360"/>
      <c r="D871" s="4360"/>
      <c r="E871" s="4360"/>
      <c r="F871" s="4360"/>
      <c r="G871" s="4360"/>
      <c r="H871" s="4360"/>
      <c r="I871" s="4360"/>
      <c r="J871" s="4360"/>
      <c r="K871" s="4360"/>
      <c r="L871" s="4361"/>
      <c r="M871" s="4360"/>
      <c r="N871" s="4360"/>
      <c r="O871" s="4360"/>
      <c r="P871" s="4360"/>
      <c r="Q871" s="4360"/>
      <c r="R871" s="4360"/>
      <c r="S871" s="4360"/>
      <c r="T871" s="4360"/>
      <c r="U871" s="4360"/>
      <c r="V871" s="4360"/>
      <c r="W871" s="4360"/>
    </row>
    <row r="872" spans="2:23" s="4273" customFormat="1">
      <c r="B872" s="4360"/>
      <c r="C872" s="4360"/>
      <c r="D872" s="4360"/>
      <c r="E872" s="4360"/>
      <c r="F872" s="4360"/>
      <c r="G872" s="4360"/>
      <c r="H872" s="4360"/>
      <c r="I872" s="4360"/>
      <c r="J872" s="4360"/>
      <c r="K872" s="4360"/>
      <c r="L872" s="4361"/>
      <c r="M872" s="4360"/>
      <c r="N872" s="4360"/>
      <c r="O872" s="4360"/>
      <c r="P872" s="4360"/>
      <c r="Q872" s="4360"/>
      <c r="R872" s="4360"/>
      <c r="S872" s="4360"/>
      <c r="T872" s="4360"/>
      <c r="U872" s="4360"/>
      <c r="V872" s="4360"/>
      <c r="W872" s="4360"/>
    </row>
    <row r="873" spans="2:23" s="4273" customFormat="1">
      <c r="B873" s="4360"/>
      <c r="C873" s="4360"/>
      <c r="D873" s="4360"/>
      <c r="E873" s="4360"/>
      <c r="F873" s="4360"/>
      <c r="G873" s="4360"/>
      <c r="H873" s="4360"/>
      <c r="I873" s="4360"/>
      <c r="J873" s="4360"/>
      <c r="K873" s="4360"/>
      <c r="L873" s="4361"/>
      <c r="M873" s="4360"/>
      <c r="N873" s="4360"/>
      <c r="O873" s="4360"/>
      <c r="P873" s="4360"/>
      <c r="Q873" s="4360"/>
      <c r="R873" s="4360"/>
      <c r="S873" s="4360"/>
      <c r="T873" s="4360"/>
      <c r="U873" s="4360"/>
      <c r="V873" s="4360"/>
      <c r="W873" s="4360"/>
    </row>
    <row r="874" spans="2:23" s="4273" customFormat="1">
      <c r="B874" s="4360"/>
      <c r="C874" s="4360"/>
      <c r="D874" s="4360"/>
      <c r="E874" s="4360"/>
      <c r="F874" s="4360"/>
      <c r="G874" s="4360"/>
      <c r="H874" s="4360"/>
      <c r="I874" s="4360"/>
      <c r="J874" s="4360"/>
      <c r="K874" s="4360"/>
      <c r="L874" s="4361"/>
      <c r="M874" s="4360"/>
      <c r="N874" s="4360"/>
      <c r="O874" s="4360"/>
      <c r="P874" s="4360"/>
      <c r="Q874" s="4360"/>
      <c r="R874" s="4360"/>
      <c r="S874" s="4360"/>
      <c r="T874" s="4360"/>
      <c r="U874" s="4360"/>
      <c r="V874" s="4360"/>
      <c r="W874" s="4360"/>
    </row>
    <row r="875" spans="2:23" s="4273" customFormat="1">
      <c r="B875" s="4360"/>
      <c r="C875" s="4360"/>
      <c r="D875" s="4360"/>
      <c r="E875" s="4360"/>
      <c r="F875" s="4360"/>
      <c r="G875" s="4360"/>
      <c r="H875" s="4360"/>
      <c r="I875" s="4360"/>
      <c r="J875" s="4360"/>
      <c r="K875" s="4360"/>
      <c r="L875" s="4361"/>
      <c r="M875" s="4360"/>
      <c r="N875" s="4360"/>
      <c r="O875" s="4360"/>
      <c r="P875" s="4360"/>
      <c r="Q875" s="4360"/>
      <c r="R875" s="4360"/>
      <c r="S875" s="4360"/>
      <c r="T875" s="4360"/>
      <c r="U875" s="4360"/>
      <c r="V875" s="4360"/>
      <c r="W875" s="4360"/>
    </row>
    <row r="876" spans="2:23" s="4273" customFormat="1">
      <c r="B876" s="4360"/>
      <c r="C876" s="4360"/>
      <c r="D876" s="4360"/>
      <c r="E876" s="4360"/>
      <c r="F876" s="4360"/>
      <c r="G876" s="4360"/>
      <c r="H876" s="4360"/>
      <c r="I876" s="4360"/>
      <c r="J876" s="4360"/>
      <c r="K876" s="4360"/>
      <c r="L876" s="4361"/>
      <c r="M876" s="4360"/>
      <c r="N876" s="4360"/>
      <c r="O876" s="4360"/>
      <c r="P876" s="4360"/>
      <c r="Q876" s="4360"/>
      <c r="R876" s="4360"/>
      <c r="S876" s="4360"/>
      <c r="T876" s="4360"/>
      <c r="U876" s="4360"/>
      <c r="V876" s="4360"/>
      <c r="W876" s="4360"/>
    </row>
    <row r="877" spans="2:23" s="4273" customFormat="1">
      <c r="B877" s="4360"/>
      <c r="C877" s="4360"/>
      <c r="D877" s="4360"/>
      <c r="E877" s="4360"/>
      <c r="F877" s="4360"/>
      <c r="G877" s="4360"/>
      <c r="H877" s="4360"/>
      <c r="I877" s="4360"/>
      <c r="J877" s="4360"/>
      <c r="K877" s="4360"/>
      <c r="L877" s="4361"/>
      <c r="M877" s="4360"/>
      <c r="N877" s="4360"/>
      <c r="O877" s="4360"/>
      <c r="P877" s="4360"/>
      <c r="Q877" s="4360"/>
      <c r="R877" s="4360"/>
      <c r="S877" s="4360"/>
      <c r="T877" s="4360"/>
      <c r="U877" s="4360"/>
      <c r="V877" s="4360"/>
      <c r="W877" s="4360"/>
    </row>
    <row r="878" spans="2:23" s="4273" customFormat="1">
      <c r="B878" s="4360"/>
      <c r="C878" s="4360"/>
      <c r="D878" s="4360"/>
      <c r="E878" s="4360"/>
      <c r="F878" s="4360"/>
      <c r="G878" s="4360"/>
      <c r="H878" s="4360"/>
      <c r="I878" s="4360"/>
      <c r="J878" s="4360"/>
      <c r="K878" s="4360"/>
      <c r="L878" s="4361"/>
      <c r="M878" s="4360"/>
      <c r="N878" s="4360"/>
      <c r="O878" s="4360"/>
      <c r="P878" s="4360"/>
      <c r="Q878" s="4360"/>
      <c r="R878" s="4360"/>
      <c r="S878" s="4360"/>
      <c r="T878" s="4360"/>
      <c r="U878" s="4360"/>
      <c r="V878" s="4360"/>
      <c r="W878" s="4360"/>
    </row>
    <row r="879" spans="2:23" s="4273" customFormat="1">
      <c r="B879" s="4360"/>
      <c r="C879" s="4360"/>
      <c r="D879" s="4360"/>
      <c r="E879" s="4360"/>
      <c r="F879" s="4360"/>
      <c r="G879" s="4360"/>
      <c r="H879" s="4360"/>
      <c r="I879" s="4360"/>
      <c r="J879" s="4360"/>
      <c r="K879" s="4360"/>
      <c r="L879" s="4361"/>
      <c r="M879" s="4360"/>
      <c r="N879" s="4360"/>
      <c r="O879" s="4360"/>
      <c r="P879" s="4360"/>
      <c r="Q879" s="4360"/>
      <c r="R879" s="4360"/>
      <c r="S879" s="4360"/>
      <c r="T879" s="4360"/>
      <c r="U879" s="4360"/>
      <c r="V879" s="4360"/>
      <c r="W879" s="4360"/>
    </row>
    <row r="880" spans="2:23" s="4273" customFormat="1">
      <c r="B880" s="4360"/>
      <c r="C880" s="4360"/>
      <c r="D880" s="4360"/>
      <c r="E880" s="4360"/>
      <c r="F880" s="4360"/>
      <c r="G880" s="4360"/>
      <c r="H880" s="4360"/>
      <c r="I880" s="4360"/>
      <c r="J880" s="4360"/>
      <c r="K880" s="4360"/>
      <c r="L880" s="4361"/>
      <c r="M880" s="4360"/>
      <c r="N880" s="4360"/>
      <c r="O880" s="4360"/>
      <c r="P880" s="4360"/>
      <c r="Q880" s="4360"/>
      <c r="R880" s="4360"/>
      <c r="S880" s="4360"/>
      <c r="T880" s="4360"/>
      <c r="U880" s="4360"/>
      <c r="V880" s="4360"/>
      <c r="W880" s="4360"/>
    </row>
    <row r="881" spans="2:23" s="4273" customFormat="1">
      <c r="B881" s="4360"/>
      <c r="C881" s="4360"/>
      <c r="D881" s="4360"/>
      <c r="E881" s="4360"/>
      <c r="F881" s="4360"/>
      <c r="G881" s="4360"/>
      <c r="H881" s="4360"/>
      <c r="I881" s="4360"/>
      <c r="J881" s="4360"/>
      <c r="K881" s="4360"/>
      <c r="L881" s="4361"/>
      <c r="M881" s="4360"/>
      <c r="N881" s="4360"/>
      <c r="O881" s="4360"/>
      <c r="P881" s="4360"/>
      <c r="Q881" s="4360"/>
      <c r="R881" s="4360"/>
      <c r="S881" s="4360"/>
      <c r="T881" s="4360"/>
      <c r="U881" s="4360"/>
      <c r="V881" s="4360"/>
      <c r="W881" s="4360"/>
    </row>
    <row r="882" spans="2:23" s="4273" customFormat="1">
      <c r="B882" s="4360"/>
      <c r="C882" s="4360"/>
      <c r="D882" s="4360"/>
      <c r="E882" s="4360"/>
      <c r="F882" s="4360"/>
      <c r="G882" s="4360"/>
      <c r="H882" s="4360"/>
      <c r="I882" s="4360"/>
      <c r="J882" s="4360"/>
      <c r="K882" s="4360"/>
      <c r="L882" s="4361"/>
      <c r="M882" s="4360"/>
      <c r="N882" s="4360"/>
      <c r="O882" s="4360"/>
      <c r="P882" s="4360"/>
      <c r="Q882" s="4360"/>
      <c r="R882" s="4360"/>
      <c r="S882" s="4360"/>
      <c r="T882" s="4360"/>
      <c r="U882" s="4360"/>
      <c r="V882" s="4360"/>
      <c r="W882" s="4360"/>
    </row>
    <row r="883" spans="2:23" s="4273" customFormat="1">
      <c r="B883" s="4360"/>
      <c r="C883" s="4360"/>
      <c r="D883" s="4360"/>
      <c r="E883" s="4360"/>
      <c r="F883" s="4360"/>
      <c r="G883" s="4360"/>
      <c r="H883" s="4360"/>
      <c r="I883" s="4360"/>
      <c r="J883" s="4360"/>
      <c r="K883" s="4360"/>
      <c r="L883" s="4361"/>
      <c r="M883" s="4360"/>
      <c r="N883" s="4360"/>
      <c r="O883" s="4360"/>
      <c r="P883" s="4360"/>
      <c r="Q883" s="4360"/>
      <c r="R883" s="4360"/>
      <c r="S883" s="4360"/>
      <c r="T883" s="4360"/>
      <c r="U883" s="4360"/>
      <c r="V883" s="4360"/>
      <c r="W883" s="4360"/>
    </row>
    <row r="884" spans="2:23" s="4273" customFormat="1">
      <c r="B884" s="4360"/>
      <c r="C884" s="4360"/>
      <c r="D884" s="4360"/>
      <c r="E884" s="4360"/>
      <c r="F884" s="4360"/>
      <c r="G884" s="4360"/>
      <c r="H884" s="4360"/>
      <c r="I884" s="4360"/>
      <c r="J884" s="4360"/>
      <c r="K884" s="4360"/>
      <c r="L884" s="4361"/>
      <c r="M884" s="4360"/>
      <c r="N884" s="4360"/>
      <c r="O884" s="4360"/>
      <c r="P884" s="4360"/>
      <c r="Q884" s="4360"/>
      <c r="R884" s="4360"/>
      <c r="S884" s="4360"/>
      <c r="T884" s="4360"/>
      <c r="U884" s="4360"/>
      <c r="V884" s="4360"/>
      <c r="W884" s="4360"/>
    </row>
    <row r="885" spans="2:23" s="4273" customFormat="1">
      <c r="B885" s="4360"/>
      <c r="C885" s="4360"/>
      <c r="D885" s="4360"/>
      <c r="E885" s="4360"/>
      <c r="F885" s="4360"/>
      <c r="G885" s="4360"/>
      <c r="H885" s="4360"/>
      <c r="I885" s="4360"/>
      <c r="J885" s="4360"/>
      <c r="K885" s="4360"/>
      <c r="L885" s="4361"/>
      <c r="M885" s="4360"/>
      <c r="N885" s="4360"/>
      <c r="O885" s="4360"/>
      <c r="P885" s="4360"/>
      <c r="Q885" s="4360"/>
      <c r="R885" s="4360"/>
      <c r="S885" s="4360"/>
      <c r="T885" s="4360"/>
      <c r="U885" s="4360"/>
      <c r="V885" s="4360"/>
      <c r="W885" s="4360"/>
    </row>
    <row r="886" spans="2:23" s="4273" customFormat="1">
      <c r="B886" s="4360"/>
      <c r="C886" s="4360"/>
      <c r="D886" s="4360"/>
      <c r="E886" s="4360"/>
      <c r="F886" s="4360"/>
      <c r="G886" s="4360"/>
      <c r="H886" s="4360"/>
      <c r="I886" s="4360"/>
      <c r="J886" s="4360"/>
      <c r="K886" s="4360"/>
      <c r="L886" s="4361"/>
      <c r="M886" s="4360"/>
      <c r="N886" s="4360"/>
      <c r="O886" s="4360"/>
      <c r="P886" s="4360"/>
      <c r="Q886" s="4360"/>
      <c r="R886" s="4360"/>
      <c r="S886" s="4360"/>
      <c r="T886" s="4360"/>
      <c r="U886" s="4360"/>
      <c r="V886" s="4360"/>
      <c r="W886" s="4360"/>
    </row>
    <row r="887" spans="2:23" s="4273" customFormat="1">
      <c r="B887" s="4360"/>
      <c r="C887" s="4360"/>
      <c r="D887" s="4360"/>
      <c r="E887" s="4360"/>
      <c r="F887" s="4360"/>
      <c r="G887" s="4360"/>
      <c r="H887" s="4360"/>
      <c r="I887" s="4360"/>
      <c r="J887" s="4360"/>
      <c r="K887" s="4360"/>
      <c r="L887" s="4361"/>
      <c r="M887" s="4360"/>
      <c r="N887" s="4360"/>
      <c r="O887" s="4360"/>
      <c r="P887" s="4360"/>
      <c r="Q887" s="4360"/>
      <c r="R887" s="4360"/>
      <c r="S887" s="4360"/>
      <c r="T887" s="4360"/>
      <c r="U887" s="4360"/>
      <c r="V887" s="4360"/>
      <c r="W887" s="4360"/>
    </row>
    <row r="888" spans="2:23" s="4273" customFormat="1">
      <c r="B888" s="4360"/>
      <c r="C888" s="4360"/>
      <c r="D888" s="4360"/>
      <c r="E888" s="4360"/>
      <c r="F888" s="4360"/>
      <c r="G888" s="4360"/>
      <c r="H888" s="4360"/>
      <c r="I888" s="4360"/>
      <c r="J888" s="4360"/>
      <c r="K888" s="4360"/>
      <c r="L888" s="4361"/>
      <c r="M888" s="4360"/>
      <c r="N888" s="4360"/>
      <c r="O888" s="4360"/>
      <c r="P888" s="4360"/>
      <c r="Q888" s="4360"/>
      <c r="R888" s="4360"/>
      <c r="S888" s="4360"/>
      <c r="T888" s="4360"/>
      <c r="U888" s="4360"/>
      <c r="V888" s="4360"/>
      <c r="W888" s="4360"/>
    </row>
    <row r="889" spans="2:23" s="4273" customFormat="1">
      <c r="B889" s="4360"/>
      <c r="C889" s="4360"/>
      <c r="D889" s="4360"/>
      <c r="E889" s="4360"/>
      <c r="F889" s="4360"/>
      <c r="G889" s="4360"/>
      <c r="H889" s="4360"/>
      <c r="I889" s="4360"/>
      <c r="J889" s="4360"/>
      <c r="K889" s="4360"/>
      <c r="L889" s="4361"/>
      <c r="M889" s="4360"/>
      <c r="N889" s="4360"/>
      <c r="O889" s="4360"/>
      <c r="P889" s="4360"/>
      <c r="Q889" s="4360"/>
      <c r="R889" s="4360"/>
      <c r="S889" s="4360"/>
      <c r="T889" s="4360"/>
      <c r="U889" s="4360"/>
      <c r="V889" s="4360"/>
      <c r="W889" s="4360"/>
    </row>
    <row r="890" spans="2:23" s="4273" customFormat="1">
      <c r="B890" s="4360"/>
      <c r="C890" s="4360"/>
      <c r="D890" s="4360"/>
      <c r="E890" s="4360"/>
      <c r="F890" s="4360"/>
      <c r="G890" s="4360"/>
      <c r="H890" s="4360"/>
      <c r="I890" s="4360"/>
      <c r="J890" s="4360"/>
      <c r="K890" s="4360"/>
      <c r="L890" s="4361"/>
      <c r="M890" s="4360"/>
      <c r="N890" s="4360"/>
      <c r="O890" s="4360"/>
      <c r="P890" s="4360"/>
      <c r="Q890" s="4360"/>
      <c r="R890" s="4360"/>
      <c r="S890" s="4360"/>
      <c r="T890" s="4360"/>
      <c r="U890" s="4360"/>
      <c r="V890" s="4360"/>
      <c r="W890" s="4360"/>
    </row>
    <row r="891" spans="2:23" s="4273" customFormat="1">
      <c r="B891" s="4360"/>
      <c r="C891" s="4360"/>
      <c r="D891" s="4360"/>
      <c r="E891" s="4360"/>
      <c r="F891" s="4360"/>
      <c r="G891" s="4360"/>
      <c r="H891" s="4360"/>
      <c r="I891" s="4360"/>
      <c r="J891" s="4360"/>
      <c r="K891" s="4360"/>
      <c r="L891" s="4361"/>
      <c r="M891" s="4360"/>
      <c r="N891" s="4360"/>
      <c r="O891" s="4360"/>
      <c r="P891" s="4360"/>
      <c r="Q891" s="4360"/>
      <c r="R891" s="4360"/>
      <c r="S891" s="4360"/>
      <c r="T891" s="4360"/>
      <c r="U891" s="4360"/>
      <c r="V891" s="4360"/>
      <c r="W891" s="4360"/>
    </row>
    <row r="892" spans="2:23" s="4273" customFormat="1">
      <c r="B892" s="4360"/>
      <c r="C892" s="4360"/>
      <c r="D892" s="4360"/>
      <c r="E892" s="4360"/>
      <c r="F892" s="4360"/>
      <c r="G892" s="4360"/>
      <c r="H892" s="4360"/>
      <c r="I892" s="4360"/>
      <c r="J892" s="4360"/>
      <c r="K892" s="4360"/>
      <c r="L892" s="4361"/>
      <c r="M892" s="4360"/>
      <c r="N892" s="4360"/>
      <c r="O892" s="4360"/>
      <c r="P892" s="4360"/>
      <c r="Q892" s="4360"/>
      <c r="R892" s="4360"/>
      <c r="S892" s="4360"/>
      <c r="T892" s="4360"/>
      <c r="U892" s="4360"/>
      <c r="V892" s="4360"/>
      <c r="W892" s="4360"/>
    </row>
    <row r="893" spans="2:23" s="4273" customFormat="1">
      <c r="B893" s="4360"/>
      <c r="C893" s="4360"/>
      <c r="D893" s="4360"/>
      <c r="E893" s="4360"/>
      <c r="F893" s="4360"/>
      <c r="G893" s="4360"/>
      <c r="H893" s="4360"/>
      <c r="I893" s="4360"/>
      <c r="J893" s="4360"/>
      <c r="K893" s="4360"/>
      <c r="L893" s="4361"/>
      <c r="M893" s="4360"/>
      <c r="N893" s="4360"/>
      <c r="O893" s="4360"/>
      <c r="P893" s="4360"/>
      <c r="Q893" s="4360"/>
      <c r="R893" s="4360"/>
      <c r="S893" s="4360"/>
      <c r="T893" s="4360"/>
      <c r="U893" s="4360"/>
      <c r="V893" s="4360"/>
      <c r="W893" s="4360"/>
    </row>
    <row r="894" spans="2:23" s="4273" customFormat="1">
      <c r="B894" s="4360"/>
      <c r="C894" s="4360"/>
      <c r="D894" s="4360"/>
      <c r="E894" s="4360"/>
      <c r="F894" s="4360"/>
      <c r="G894" s="4360"/>
      <c r="H894" s="4360"/>
      <c r="I894" s="4360"/>
      <c r="J894" s="4360"/>
      <c r="K894" s="4360"/>
      <c r="L894" s="4361"/>
      <c r="M894" s="4360"/>
      <c r="N894" s="4360"/>
      <c r="O894" s="4360"/>
      <c r="P894" s="4360"/>
      <c r="Q894" s="4360"/>
      <c r="R894" s="4360"/>
      <c r="S894" s="4360"/>
      <c r="T894" s="4360"/>
      <c r="U894" s="4360"/>
      <c r="V894" s="4360"/>
      <c r="W894" s="4360"/>
    </row>
    <row r="895" spans="2:23" s="4273" customFormat="1">
      <c r="B895" s="4360"/>
      <c r="C895" s="4360"/>
      <c r="D895" s="4360"/>
      <c r="E895" s="4360"/>
      <c r="F895" s="4360"/>
      <c r="G895" s="4360"/>
      <c r="H895" s="4360"/>
      <c r="I895" s="4360"/>
      <c r="J895" s="4360"/>
      <c r="K895" s="4360"/>
      <c r="L895" s="4361"/>
      <c r="M895" s="4360"/>
      <c r="N895" s="4360"/>
      <c r="O895" s="4360"/>
      <c r="P895" s="4360"/>
      <c r="Q895" s="4360"/>
      <c r="R895" s="4360"/>
      <c r="S895" s="4360"/>
      <c r="T895" s="4360"/>
      <c r="U895" s="4360"/>
      <c r="V895" s="4360"/>
      <c r="W895" s="4360"/>
    </row>
    <row r="896" spans="2:23" s="4273" customFormat="1">
      <c r="B896" s="4360"/>
      <c r="C896" s="4360"/>
      <c r="D896" s="4360"/>
      <c r="E896" s="4360"/>
      <c r="F896" s="4360"/>
      <c r="G896" s="4360"/>
      <c r="H896" s="4360"/>
      <c r="I896" s="4360"/>
      <c r="J896" s="4360"/>
      <c r="K896" s="4360"/>
      <c r="L896" s="4361"/>
      <c r="M896" s="4360"/>
      <c r="N896" s="4360"/>
      <c r="O896" s="4360"/>
      <c r="P896" s="4360"/>
      <c r="Q896" s="4360"/>
      <c r="R896" s="4360"/>
      <c r="S896" s="4360"/>
      <c r="T896" s="4360"/>
      <c r="U896" s="4360"/>
      <c r="V896" s="4360"/>
      <c r="W896" s="4360"/>
    </row>
    <row r="897" spans="2:23" s="4273" customFormat="1">
      <c r="B897" s="4360"/>
      <c r="C897" s="4360"/>
      <c r="D897" s="4360"/>
      <c r="E897" s="4360"/>
      <c r="F897" s="4360"/>
      <c r="G897" s="4360"/>
      <c r="H897" s="4360"/>
      <c r="I897" s="4360"/>
      <c r="J897" s="4360"/>
      <c r="K897" s="4360"/>
      <c r="L897" s="4361"/>
      <c r="M897" s="4360"/>
      <c r="N897" s="4360"/>
      <c r="O897" s="4360"/>
      <c r="P897" s="4360"/>
      <c r="Q897" s="4360"/>
      <c r="R897" s="4360"/>
      <c r="S897" s="4360"/>
      <c r="T897" s="4360"/>
      <c r="U897" s="4360"/>
      <c r="V897" s="4360"/>
      <c r="W897" s="4360"/>
    </row>
    <row r="898" spans="2:23" s="4273" customFormat="1">
      <c r="B898" s="4360"/>
      <c r="C898" s="4360"/>
      <c r="D898" s="4360"/>
      <c r="E898" s="4360"/>
      <c r="F898" s="4360"/>
      <c r="G898" s="4360"/>
      <c r="H898" s="4360"/>
      <c r="I898" s="4360"/>
      <c r="J898" s="4360"/>
      <c r="K898" s="4360"/>
      <c r="L898" s="4361"/>
      <c r="M898" s="4360"/>
      <c r="N898" s="4360"/>
      <c r="O898" s="4360"/>
      <c r="P898" s="4360"/>
      <c r="Q898" s="4360"/>
      <c r="R898" s="4360"/>
      <c r="S898" s="4360"/>
      <c r="T898" s="4360"/>
      <c r="U898" s="4360"/>
      <c r="V898" s="4360"/>
      <c r="W898" s="4360"/>
    </row>
    <row r="899" spans="2:23" s="4273" customFormat="1">
      <c r="B899" s="4360"/>
      <c r="C899" s="4360"/>
      <c r="D899" s="4360"/>
      <c r="E899" s="4360"/>
      <c r="F899" s="4360"/>
      <c r="G899" s="4360"/>
      <c r="H899" s="4360"/>
      <c r="I899" s="4360"/>
      <c r="J899" s="4360"/>
      <c r="K899" s="4360"/>
      <c r="L899" s="4361"/>
      <c r="M899" s="4360"/>
      <c r="N899" s="4360"/>
      <c r="O899" s="4360"/>
      <c r="P899" s="4360"/>
      <c r="Q899" s="4360"/>
      <c r="R899" s="4360"/>
      <c r="S899" s="4360"/>
      <c r="T899" s="4360"/>
      <c r="U899" s="4360"/>
      <c r="V899" s="4360"/>
      <c r="W899" s="4360"/>
    </row>
    <row r="900" spans="2:23" s="4273" customFormat="1">
      <c r="B900" s="4360"/>
      <c r="C900" s="4360"/>
      <c r="D900" s="4360"/>
      <c r="E900" s="4360"/>
      <c r="F900" s="4360"/>
      <c r="G900" s="4360"/>
      <c r="H900" s="4360"/>
      <c r="I900" s="4360"/>
      <c r="J900" s="4360"/>
      <c r="K900" s="4360"/>
      <c r="L900" s="4361"/>
      <c r="M900" s="4360"/>
      <c r="N900" s="4360"/>
      <c r="O900" s="4360"/>
      <c r="P900" s="4360"/>
      <c r="Q900" s="4360"/>
      <c r="R900" s="4360"/>
      <c r="S900" s="4360"/>
      <c r="T900" s="4360"/>
      <c r="U900" s="4360"/>
      <c r="V900" s="4360"/>
      <c r="W900" s="4360"/>
    </row>
    <row r="901" spans="2:23" s="4273" customFormat="1">
      <c r="B901" s="4360"/>
      <c r="C901" s="4360"/>
      <c r="D901" s="4360"/>
      <c r="E901" s="4360"/>
      <c r="F901" s="4360"/>
      <c r="G901" s="4360"/>
      <c r="H901" s="4360"/>
      <c r="I901" s="4360"/>
      <c r="J901" s="4360"/>
      <c r="K901" s="4360"/>
      <c r="L901" s="4361"/>
      <c r="M901" s="4360"/>
      <c r="N901" s="4360"/>
      <c r="O901" s="4360"/>
      <c r="P901" s="4360"/>
      <c r="Q901" s="4360"/>
      <c r="R901" s="4360"/>
      <c r="S901" s="4360"/>
      <c r="T901" s="4360"/>
      <c r="U901" s="4360"/>
      <c r="V901" s="4360"/>
      <c r="W901" s="4360"/>
    </row>
    <row r="902" spans="2:23" s="4273" customFormat="1">
      <c r="B902" s="4360"/>
      <c r="C902" s="4360"/>
      <c r="D902" s="4360"/>
      <c r="E902" s="4360"/>
      <c r="F902" s="4360"/>
      <c r="G902" s="4360"/>
      <c r="H902" s="4360"/>
      <c r="I902" s="4360"/>
      <c r="J902" s="4360"/>
      <c r="K902" s="4360"/>
      <c r="L902" s="4361"/>
      <c r="M902" s="4360"/>
      <c r="N902" s="4360"/>
      <c r="O902" s="4360"/>
      <c r="P902" s="4360"/>
      <c r="Q902" s="4360"/>
      <c r="R902" s="4360"/>
      <c r="S902" s="4360"/>
      <c r="T902" s="4360"/>
      <c r="U902" s="4360"/>
      <c r="V902" s="4360"/>
      <c r="W902" s="4360"/>
    </row>
    <row r="903" spans="2:23" s="4273" customFormat="1">
      <c r="B903" s="4360"/>
      <c r="C903" s="4360"/>
      <c r="D903" s="4360"/>
      <c r="E903" s="4360"/>
      <c r="F903" s="4360"/>
      <c r="G903" s="4360"/>
      <c r="H903" s="4360"/>
      <c r="I903" s="4360"/>
      <c r="J903" s="4360"/>
      <c r="K903" s="4360"/>
      <c r="L903" s="4361"/>
      <c r="M903" s="4360"/>
      <c r="N903" s="4360"/>
      <c r="O903" s="4360"/>
      <c r="P903" s="4360"/>
      <c r="Q903" s="4360"/>
      <c r="R903" s="4360"/>
      <c r="S903" s="4360"/>
      <c r="T903" s="4360"/>
      <c r="U903" s="4360"/>
      <c r="V903" s="4360"/>
      <c r="W903" s="4360"/>
    </row>
    <row r="904" spans="2:23" s="4273" customFormat="1">
      <c r="B904" s="4360"/>
      <c r="C904" s="4360"/>
      <c r="D904" s="4360"/>
      <c r="E904" s="4360"/>
      <c r="F904" s="4360"/>
      <c r="G904" s="4360"/>
      <c r="H904" s="4360"/>
      <c r="I904" s="4360"/>
      <c r="J904" s="4360"/>
      <c r="K904" s="4360"/>
      <c r="L904" s="4361"/>
      <c r="M904" s="4360"/>
      <c r="N904" s="4360"/>
      <c r="O904" s="4360"/>
      <c r="P904" s="4360"/>
      <c r="Q904" s="4360"/>
      <c r="R904" s="4360"/>
      <c r="S904" s="4360"/>
      <c r="T904" s="4360"/>
      <c r="U904" s="4360"/>
      <c r="V904" s="4360"/>
      <c r="W904" s="4360"/>
    </row>
    <row r="905" spans="2:23" s="4273" customFormat="1">
      <c r="B905" s="4360"/>
      <c r="C905" s="4360"/>
      <c r="D905" s="4360"/>
      <c r="E905" s="4360"/>
      <c r="F905" s="4360"/>
      <c r="G905" s="4360"/>
      <c r="H905" s="4360"/>
      <c r="I905" s="4360"/>
      <c r="J905" s="4360"/>
      <c r="K905" s="4360"/>
      <c r="L905" s="4361"/>
      <c r="M905" s="4360"/>
      <c r="N905" s="4360"/>
      <c r="O905" s="4360"/>
      <c r="P905" s="4360"/>
      <c r="Q905" s="4360"/>
      <c r="R905" s="4360"/>
      <c r="S905" s="4360"/>
      <c r="T905" s="4360"/>
      <c r="U905" s="4360"/>
      <c r="V905" s="4360"/>
      <c r="W905" s="4360"/>
    </row>
    <row r="906" spans="2:23" s="4273" customFormat="1">
      <c r="B906" s="4360"/>
      <c r="C906" s="4360"/>
      <c r="D906" s="4360"/>
      <c r="E906" s="4360"/>
      <c r="F906" s="4360"/>
      <c r="G906" s="4360"/>
      <c r="H906" s="4360"/>
      <c r="I906" s="4360"/>
      <c r="J906" s="4360"/>
      <c r="K906" s="4360"/>
      <c r="L906" s="4361"/>
      <c r="M906" s="4360"/>
      <c r="N906" s="4360"/>
      <c r="O906" s="4360"/>
      <c r="P906" s="4360"/>
      <c r="Q906" s="4360"/>
      <c r="R906" s="4360"/>
      <c r="S906" s="4360"/>
      <c r="T906" s="4360"/>
      <c r="U906" s="4360"/>
      <c r="V906" s="4360"/>
      <c r="W906" s="4360"/>
    </row>
    <row r="907" spans="2:23" s="4273" customFormat="1">
      <c r="B907" s="4360"/>
      <c r="C907" s="4360"/>
      <c r="D907" s="4360"/>
      <c r="E907" s="4360"/>
      <c r="F907" s="4360"/>
      <c r="G907" s="4360"/>
      <c r="H907" s="4360"/>
      <c r="I907" s="4360"/>
      <c r="J907" s="4360"/>
      <c r="K907" s="4360"/>
      <c r="L907" s="4361"/>
      <c r="M907" s="4360"/>
      <c r="N907" s="4360"/>
      <c r="O907" s="4360"/>
      <c r="P907" s="4360"/>
      <c r="Q907" s="4360"/>
      <c r="R907" s="4360"/>
      <c r="S907" s="4360"/>
      <c r="T907" s="4360"/>
      <c r="U907" s="4360"/>
      <c r="V907" s="4360"/>
      <c r="W907" s="4360"/>
    </row>
    <row r="908" spans="2:23" s="4273" customFormat="1">
      <c r="B908" s="4360"/>
      <c r="C908" s="4360"/>
      <c r="D908" s="4360"/>
      <c r="E908" s="4360"/>
      <c r="F908" s="4360"/>
      <c r="G908" s="4360"/>
      <c r="H908" s="4360"/>
      <c r="I908" s="4360"/>
      <c r="J908" s="4360"/>
      <c r="K908" s="4360"/>
      <c r="L908" s="4361"/>
      <c r="M908" s="4360"/>
      <c r="N908" s="4360"/>
      <c r="O908" s="4360"/>
      <c r="P908" s="4360"/>
      <c r="Q908" s="4360"/>
      <c r="R908" s="4360"/>
      <c r="S908" s="4360"/>
      <c r="T908" s="4360"/>
      <c r="U908" s="4360"/>
      <c r="V908" s="4360"/>
      <c r="W908" s="4360"/>
    </row>
    <row r="909" spans="2:23" s="4273" customFormat="1">
      <c r="B909" s="4360"/>
      <c r="C909" s="4360"/>
      <c r="D909" s="4360"/>
      <c r="E909" s="4360"/>
      <c r="F909" s="4360"/>
      <c r="G909" s="4360"/>
      <c r="H909" s="4360"/>
      <c r="I909" s="4360"/>
      <c r="J909" s="4360"/>
      <c r="K909" s="4360"/>
      <c r="L909" s="4361"/>
      <c r="M909" s="4360"/>
      <c r="N909" s="4360"/>
      <c r="O909" s="4360"/>
      <c r="P909" s="4360"/>
      <c r="Q909" s="4360"/>
      <c r="R909" s="4360"/>
      <c r="S909" s="4360"/>
      <c r="T909" s="4360"/>
      <c r="U909" s="4360"/>
      <c r="V909" s="4360"/>
      <c r="W909" s="4360"/>
    </row>
    <row r="910" spans="2:23" s="4273" customFormat="1">
      <c r="B910" s="4360"/>
      <c r="C910" s="4360"/>
      <c r="D910" s="4360"/>
      <c r="E910" s="4360"/>
      <c r="F910" s="4360"/>
      <c r="G910" s="4360"/>
      <c r="H910" s="4360"/>
      <c r="I910" s="4360"/>
      <c r="J910" s="4360"/>
      <c r="K910" s="4360"/>
      <c r="L910" s="4361"/>
      <c r="M910" s="4360"/>
      <c r="N910" s="4360"/>
      <c r="O910" s="4360"/>
      <c r="P910" s="4360"/>
      <c r="Q910" s="4360"/>
      <c r="R910" s="4360"/>
      <c r="S910" s="4360"/>
      <c r="T910" s="4360"/>
      <c r="U910" s="4360"/>
      <c r="V910" s="4360"/>
      <c r="W910" s="4360"/>
    </row>
    <row r="911" spans="2:23" s="4273" customFormat="1">
      <c r="B911" s="4360"/>
      <c r="C911" s="4360"/>
      <c r="D911" s="4360"/>
      <c r="E911" s="4360"/>
      <c r="F911" s="4360"/>
      <c r="G911" s="4360"/>
      <c r="H911" s="4360"/>
      <c r="I911" s="4360"/>
      <c r="J911" s="4360"/>
      <c r="K911" s="4360"/>
      <c r="L911" s="4361"/>
      <c r="M911" s="4360"/>
      <c r="N911" s="4360"/>
      <c r="O911" s="4360"/>
      <c r="P911" s="4360"/>
      <c r="Q911" s="4360"/>
      <c r="R911" s="4360"/>
      <c r="S911" s="4360"/>
      <c r="T911" s="4360"/>
      <c r="U911" s="4360"/>
      <c r="V911" s="4360"/>
      <c r="W911" s="4360"/>
    </row>
    <row r="912" spans="2:23" s="4273" customFormat="1">
      <c r="B912" s="4360"/>
      <c r="C912" s="4360"/>
      <c r="D912" s="4360"/>
      <c r="E912" s="4360"/>
      <c r="F912" s="4360"/>
      <c r="G912" s="4360"/>
      <c r="H912" s="4360"/>
      <c r="I912" s="4360"/>
      <c r="J912" s="4360"/>
      <c r="K912" s="4360"/>
      <c r="L912" s="4361"/>
      <c r="M912" s="4360"/>
      <c r="N912" s="4360"/>
      <c r="O912" s="4360"/>
      <c r="P912" s="4360"/>
      <c r="Q912" s="4360"/>
      <c r="R912" s="4360"/>
      <c r="S912" s="4360"/>
      <c r="T912" s="4360"/>
      <c r="U912" s="4360"/>
      <c r="V912" s="4360"/>
      <c r="W912" s="4360"/>
    </row>
    <row r="913" spans="2:23" s="4273" customFormat="1">
      <c r="B913" s="4360"/>
      <c r="C913" s="4360"/>
      <c r="D913" s="4360"/>
      <c r="E913" s="4360"/>
      <c r="F913" s="4360"/>
      <c r="G913" s="4360"/>
      <c r="H913" s="4360"/>
      <c r="I913" s="4360"/>
      <c r="J913" s="4360"/>
      <c r="K913" s="4360"/>
      <c r="L913" s="4361"/>
      <c r="M913" s="4360"/>
      <c r="N913" s="4360"/>
      <c r="O913" s="4360"/>
      <c r="P913" s="4360"/>
      <c r="Q913" s="4360"/>
      <c r="R913" s="4360"/>
      <c r="S913" s="4360"/>
      <c r="T913" s="4360"/>
      <c r="U913" s="4360"/>
      <c r="V913" s="4360"/>
      <c r="W913" s="4360"/>
    </row>
    <row r="914" spans="2:23" s="4273" customFormat="1">
      <c r="B914" s="4360"/>
      <c r="C914" s="4360"/>
      <c r="D914" s="4360"/>
      <c r="E914" s="4360"/>
      <c r="F914" s="4360"/>
      <c r="G914" s="4360"/>
      <c r="H914" s="4360"/>
      <c r="I914" s="4360"/>
      <c r="J914" s="4360"/>
      <c r="K914" s="4360"/>
      <c r="L914" s="4361"/>
      <c r="M914" s="4360"/>
      <c r="N914" s="4360"/>
      <c r="O914" s="4360"/>
      <c r="P914" s="4360"/>
      <c r="Q914" s="4360"/>
      <c r="R914" s="4360"/>
      <c r="S914" s="4360"/>
      <c r="T914" s="4360"/>
      <c r="U914" s="4360"/>
      <c r="V914" s="4360"/>
      <c r="W914" s="4360"/>
    </row>
    <row r="915" spans="2:23" s="4273" customFormat="1">
      <c r="B915" s="4360"/>
      <c r="C915" s="4360"/>
      <c r="D915" s="4360"/>
      <c r="E915" s="4360"/>
      <c r="F915" s="4360"/>
      <c r="G915" s="4360"/>
      <c r="H915" s="4360"/>
      <c r="I915" s="4360"/>
      <c r="J915" s="4360"/>
      <c r="K915" s="4360"/>
      <c r="L915" s="4361"/>
      <c r="M915" s="4360"/>
      <c r="N915" s="4360"/>
      <c r="O915" s="4360"/>
      <c r="P915" s="4360"/>
      <c r="Q915" s="4360"/>
      <c r="R915" s="4360"/>
      <c r="S915" s="4360"/>
      <c r="T915" s="4360"/>
      <c r="U915" s="4360"/>
      <c r="V915" s="4360"/>
      <c r="W915" s="4360"/>
    </row>
    <row r="916" spans="2:23" s="4273" customFormat="1">
      <c r="B916" s="4360"/>
      <c r="C916" s="4360"/>
      <c r="D916" s="4360"/>
      <c r="E916" s="4360"/>
      <c r="F916" s="4360"/>
      <c r="G916" s="4360"/>
      <c r="H916" s="4360"/>
      <c r="I916" s="4360"/>
      <c r="J916" s="4360"/>
      <c r="K916" s="4360"/>
      <c r="L916" s="4361"/>
      <c r="M916" s="4360"/>
      <c r="N916" s="4360"/>
      <c r="O916" s="4360"/>
      <c r="P916" s="4360"/>
      <c r="Q916" s="4360"/>
      <c r="R916" s="4360"/>
      <c r="S916" s="4360"/>
      <c r="T916" s="4360"/>
      <c r="U916" s="4360"/>
      <c r="V916" s="4360"/>
      <c r="W916" s="4360"/>
    </row>
    <row r="917" spans="2:23" s="4273" customFormat="1">
      <c r="B917" s="4360"/>
      <c r="C917" s="4360"/>
      <c r="D917" s="4360"/>
      <c r="E917" s="4360"/>
      <c r="F917" s="4360"/>
      <c r="G917" s="4360"/>
      <c r="H917" s="4360"/>
      <c r="I917" s="4360"/>
      <c r="J917" s="4360"/>
      <c r="K917" s="4360"/>
      <c r="L917" s="4361"/>
      <c r="M917" s="4360"/>
      <c r="N917" s="4360"/>
      <c r="O917" s="4360"/>
      <c r="P917" s="4360"/>
      <c r="Q917" s="4360"/>
      <c r="R917" s="4360"/>
      <c r="S917" s="4360"/>
      <c r="T917" s="4360"/>
      <c r="U917" s="4360"/>
      <c r="V917" s="4360"/>
      <c r="W917" s="4360"/>
    </row>
    <row r="918" spans="2:23" s="4273" customFormat="1">
      <c r="B918" s="4360"/>
      <c r="C918" s="4360"/>
      <c r="D918" s="4360"/>
      <c r="E918" s="4360"/>
      <c r="F918" s="4360"/>
      <c r="G918" s="4360"/>
      <c r="H918" s="4360"/>
      <c r="I918" s="4360"/>
      <c r="J918" s="4360"/>
      <c r="K918" s="4360"/>
      <c r="L918" s="4361"/>
      <c r="M918" s="4360"/>
      <c r="N918" s="4360"/>
      <c r="O918" s="4360"/>
      <c r="P918" s="4360"/>
      <c r="Q918" s="4360"/>
      <c r="R918" s="4360"/>
      <c r="S918" s="4360"/>
      <c r="T918" s="4360"/>
      <c r="U918" s="4360"/>
      <c r="V918" s="4360"/>
      <c r="W918" s="4360"/>
    </row>
    <row r="919" spans="2:23" s="4273" customFormat="1">
      <c r="B919" s="4360"/>
      <c r="C919" s="4360"/>
      <c r="D919" s="4360"/>
      <c r="E919" s="4360"/>
      <c r="F919" s="4360"/>
      <c r="G919" s="4360"/>
      <c r="H919" s="4360"/>
      <c r="I919" s="4360"/>
      <c r="J919" s="4360"/>
      <c r="K919" s="4360"/>
      <c r="L919" s="4361"/>
      <c r="M919" s="4360"/>
      <c r="N919" s="4360"/>
      <c r="O919" s="4360"/>
      <c r="P919" s="4360"/>
      <c r="Q919" s="4360"/>
      <c r="R919" s="4360"/>
      <c r="S919" s="4360"/>
      <c r="T919" s="4360"/>
      <c r="U919" s="4360"/>
      <c r="V919" s="4360"/>
      <c r="W919" s="4360"/>
    </row>
    <row r="920" spans="2:23" s="4273" customFormat="1">
      <c r="B920" s="4360"/>
      <c r="C920" s="4360"/>
      <c r="D920" s="4360"/>
      <c r="E920" s="4360"/>
      <c r="F920" s="4360"/>
      <c r="G920" s="4360"/>
      <c r="H920" s="4360"/>
      <c r="I920" s="4360"/>
      <c r="J920" s="4360"/>
      <c r="K920" s="4360"/>
      <c r="L920" s="4361"/>
      <c r="M920" s="4360"/>
      <c r="N920" s="4360"/>
      <c r="O920" s="4360"/>
      <c r="P920" s="4360"/>
      <c r="Q920" s="4360"/>
      <c r="R920" s="4360"/>
      <c r="S920" s="4360"/>
      <c r="T920" s="4360"/>
      <c r="U920" s="4360"/>
      <c r="V920" s="4360"/>
      <c r="W920" s="4360"/>
    </row>
    <row r="921" spans="2:23" s="4273" customFormat="1">
      <c r="B921" s="4360"/>
      <c r="C921" s="4360"/>
      <c r="D921" s="4360"/>
      <c r="E921" s="4360"/>
      <c r="F921" s="4360"/>
      <c r="G921" s="4360"/>
      <c r="H921" s="4360"/>
      <c r="I921" s="4360"/>
      <c r="J921" s="4360"/>
      <c r="K921" s="4360"/>
      <c r="L921" s="4361"/>
      <c r="M921" s="4360"/>
      <c r="N921" s="4360"/>
      <c r="O921" s="4360"/>
      <c r="P921" s="4360"/>
      <c r="Q921" s="4360"/>
      <c r="R921" s="4360"/>
      <c r="S921" s="4360"/>
      <c r="T921" s="4360"/>
      <c r="U921" s="4360"/>
      <c r="V921" s="4360"/>
      <c r="W921" s="4360"/>
    </row>
    <row r="922" spans="2:23" s="4273" customFormat="1">
      <c r="B922" s="4360"/>
      <c r="C922" s="4360"/>
      <c r="D922" s="4360"/>
      <c r="E922" s="4360"/>
      <c r="F922" s="4360"/>
      <c r="G922" s="4360"/>
      <c r="H922" s="4360"/>
      <c r="I922" s="4360"/>
      <c r="J922" s="4360"/>
      <c r="K922" s="4360"/>
      <c r="L922" s="4361"/>
      <c r="M922" s="4360"/>
      <c r="N922" s="4360"/>
      <c r="O922" s="4360"/>
      <c r="P922" s="4360"/>
      <c r="Q922" s="4360"/>
      <c r="R922" s="4360"/>
      <c r="S922" s="4360"/>
      <c r="T922" s="4360"/>
      <c r="U922" s="4360"/>
      <c r="V922" s="4360"/>
      <c r="W922" s="4360"/>
    </row>
    <row r="923" spans="2:23" s="4273" customFormat="1">
      <c r="B923" s="4360"/>
      <c r="C923" s="4360"/>
      <c r="D923" s="4360"/>
      <c r="E923" s="4360"/>
      <c r="F923" s="4360"/>
      <c r="G923" s="4360"/>
      <c r="H923" s="4360"/>
      <c r="I923" s="4360"/>
      <c r="J923" s="4360"/>
      <c r="K923" s="4360"/>
      <c r="L923" s="4361"/>
      <c r="M923" s="4360"/>
      <c r="N923" s="4360"/>
      <c r="O923" s="4360"/>
      <c r="P923" s="4360"/>
      <c r="Q923" s="4360"/>
      <c r="R923" s="4360"/>
      <c r="S923" s="4360"/>
      <c r="T923" s="4360"/>
      <c r="U923" s="4360"/>
      <c r="V923" s="4360"/>
      <c r="W923" s="4360"/>
    </row>
    <row r="924" spans="2:23" s="4273" customFormat="1">
      <c r="B924" s="4360"/>
      <c r="C924" s="4360"/>
      <c r="D924" s="4360"/>
      <c r="E924" s="4360"/>
      <c r="F924" s="4360"/>
      <c r="G924" s="4360"/>
      <c r="H924" s="4360"/>
      <c r="I924" s="4360"/>
      <c r="J924" s="4360"/>
      <c r="K924" s="4360"/>
      <c r="L924" s="4361"/>
      <c r="M924" s="4360"/>
      <c r="N924" s="4360"/>
      <c r="O924" s="4360"/>
      <c r="P924" s="4360"/>
      <c r="Q924" s="4360"/>
      <c r="R924" s="4360"/>
      <c r="S924" s="4360"/>
      <c r="T924" s="4360"/>
      <c r="U924" s="4360"/>
      <c r="V924" s="4360"/>
      <c r="W924" s="4360"/>
    </row>
    <row r="925" spans="2:23" s="4273" customFormat="1">
      <c r="B925" s="4360"/>
      <c r="C925" s="4360"/>
      <c r="D925" s="4360"/>
      <c r="E925" s="4360"/>
      <c r="F925" s="4360"/>
      <c r="G925" s="4360"/>
      <c r="H925" s="4360"/>
      <c r="I925" s="4360"/>
      <c r="J925" s="4360"/>
      <c r="K925" s="4360"/>
      <c r="L925" s="4361"/>
      <c r="M925" s="4360"/>
      <c r="N925" s="4360"/>
      <c r="O925" s="4360"/>
      <c r="P925" s="4360"/>
      <c r="Q925" s="4360"/>
      <c r="R925" s="4360"/>
      <c r="S925" s="4360"/>
      <c r="T925" s="4360"/>
      <c r="U925" s="4360"/>
      <c r="V925" s="4360"/>
      <c r="W925" s="4360"/>
    </row>
    <row r="926" spans="2:23" s="4273" customFormat="1">
      <c r="B926" s="4360"/>
      <c r="C926" s="4360"/>
      <c r="D926" s="4360"/>
      <c r="E926" s="4360"/>
      <c r="F926" s="4360"/>
      <c r="G926" s="4360"/>
      <c r="H926" s="4360"/>
      <c r="I926" s="4360"/>
      <c r="J926" s="4360"/>
      <c r="K926" s="4360"/>
      <c r="L926" s="4361"/>
      <c r="M926" s="4360"/>
      <c r="N926" s="4360"/>
      <c r="O926" s="4360"/>
      <c r="P926" s="4360"/>
      <c r="Q926" s="4360"/>
      <c r="R926" s="4360"/>
      <c r="S926" s="4360"/>
      <c r="T926" s="4360"/>
      <c r="U926" s="4360"/>
      <c r="V926" s="4360"/>
      <c r="W926" s="4360"/>
    </row>
    <row r="927" spans="2:23" s="4273" customFormat="1">
      <c r="B927" s="4360"/>
      <c r="C927" s="4360"/>
      <c r="D927" s="4360"/>
      <c r="E927" s="4360"/>
      <c r="F927" s="4360"/>
      <c r="G927" s="4360"/>
      <c r="H927" s="4360"/>
      <c r="I927" s="4360"/>
      <c r="J927" s="4360"/>
      <c r="K927" s="4360"/>
      <c r="L927" s="4361"/>
      <c r="M927" s="4360"/>
      <c r="N927" s="4360"/>
      <c r="O927" s="4360"/>
      <c r="P927" s="4360"/>
      <c r="Q927" s="4360"/>
      <c r="R927" s="4360"/>
      <c r="S927" s="4360"/>
      <c r="T927" s="4360"/>
      <c r="U927" s="4360"/>
      <c r="V927" s="4360"/>
      <c r="W927" s="4360"/>
    </row>
    <row r="928" spans="2:23" s="4273" customFormat="1">
      <c r="B928" s="4360"/>
      <c r="C928" s="4360"/>
      <c r="D928" s="4360"/>
      <c r="E928" s="4360"/>
      <c r="F928" s="4360"/>
      <c r="G928" s="4360"/>
      <c r="H928" s="4360"/>
      <c r="I928" s="4360"/>
      <c r="J928" s="4360"/>
      <c r="K928" s="4360"/>
      <c r="L928" s="4361"/>
      <c r="M928" s="4360"/>
      <c r="N928" s="4360"/>
      <c r="O928" s="4360"/>
      <c r="P928" s="4360"/>
      <c r="Q928" s="4360"/>
      <c r="R928" s="4360"/>
      <c r="S928" s="4360"/>
      <c r="T928" s="4360"/>
      <c r="U928" s="4360"/>
      <c r="V928" s="4360"/>
      <c r="W928" s="4360"/>
    </row>
    <row r="929" spans="2:23" s="4273" customFormat="1">
      <c r="B929" s="4360"/>
      <c r="C929" s="4360"/>
      <c r="D929" s="4360"/>
      <c r="E929" s="4360"/>
      <c r="F929" s="4360"/>
      <c r="G929" s="4360"/>
      <c r="H929" s="4360"/>
      <c r="I929" s="4360"/>
      <c r="J929" s="4360"/>
      <c r="K929" s="4360"/>
      <c r="L929" s="4361"/>
      <c r="M929" s="4360"/>
      <c r="N929" s="4360"/>
      <c r="O929" s="4360"/>
      <c r="P929" s="4360"/>
      <c r="Q929" s="4360"/>
      <c r="R929" s="4360"/>
      <c r="S929" s="4360"/>
      <c r="T929" s="4360"/>
      <c r="U929" s="4360"/>
      <c r="V929" s="4360"/>
      <c r="W929" s="4360"/>
    </row>
    <row r="930" spans="2:23" s="4273" customFormat="1">
      <c r="B930" s="4360"/>
      <c r="C930" s="4360"/>
      <c r="D930" s="4360"/>
      <c r="E930" s="4360"/>
      <c r="F930" s="4360"/>
      <c r="G930" s="4360"/>
      <c r="H930" s="4360"/>
      <c r="I930" s="4360"/>
      <c r="J930" s="4360"/>
      <c r="K930" s="4360"/>
      <c r="L930" s="4361"/>
      <c r="M930" s="4360"/>
      <c r="N930" s="4360"/>
      <c r="O930" s="4360"/>
      <c r="P930" s="4360"/>
      <c r="Q930" s="4360"/>
      <c r="R930" s="4360"/>
      <c r="S930" s="4360"/>
      <c r="T930" s="4360"/>
      <c r="U930" s="4360"/>
      <c r="V930" s="4360"/>
      <c r="W930" s="4360"/>
    </row>
    <row r="931" spans="2:23" s="4273" customFormat="1">
      <c r="B931" s="4360"/>
      <c r="C931" s="4360"/>
      <c r="D931" s="4360"/>
      <c r="E931" s="4360"/>
      <c r="F931" s="4360"/>
      <c r="G931" s="4360"/>
      <c r="H931" s="4360"/>
      <c r="I931" s="4360"/>
      <c r="J931" s="4360"/>
      <c r="K931" s="4360"/>
      <c r="L931" s="4361"/>
      <c r="M931" s="4360"/>
      <c r="N931" s="4360"/>
      <c r="O931" s="4360"/>
      <c r="P931" s="4360"/>
      <c r="Q931" s="4360"/>
      <c r="R931" s="4360"/>
      <c r="S931" s="4360"/>
      <c r="T931" s="4360"/>
      <c r="U931" s="4360"/>
      <c r="V931" s="4360"/>
      <c r="W931" s="4360"/>
    </row>
    <row r="932" spans="2:23" s="4273" customFormat="1">
      <c r="B932" s="4360"/>
      <c r="C932" s="4360"/>
      <c r="D932" s="4360"/>
      <c r="E932" s="4360"/>
      <c r="F932" s="4360"/>
      <c r="G932" s="4360"/>
      <c r="H932" s="4360"/>
      <c r="I932" s="4360"/>
      <c r="J932" s="4360"/>
      <c r="K932" s="4360"/>
      <c r="L932" s="4361"/>
      <c r="M932" s="4360"/>
      <c r="N932" s="4360"/>
      <c r="O932" s="4360"/>
      <c r="P932" s="4360"/>
      <c r="Q932" s="4360"/>
      <c r="R932" s="4360"/>
      <c r="S932" s="4360"/>
      <c r="T932" s="4360"/>
      <c r="U932" s="4360"/>
      <c r="V932" s="4360"/>
      <c r="W932" s="4360"/>
    </row>
    <row r="933" spans="2:23" s="4273" customFormat="1">
      <c r="B933" s="4360"/>
      <c r="C933" s="4360"/>
      <c r="D933" s="4360"/>
      <c r="E933" s="4360"/>
      <c r="F933" s="4360"/>
      <c r="G933" s="4360"/>
      <c r="H933" s="4360"/>
      <c r="I933" s="4360"/>
      <c r="J933" s="4360"/>
      <c r="K933" s="4360"/>
      <c r="L933" s="4361"/>
      <c r="M933" s="4360"/>
      <c r="N933" s="4360"/>
      <c r="O933" s="4360"/>
      <c r="P933" s="4360"/>
      <c r="Q933" s="4360"/>
      <c r="R933" s="4360"/>
      <c r="S933" s="4360"/>
      <c r="T933" s="4360"/>
      <c r="U933" s="4360"/>
      <c r="V933" s="4360"/>
      <c r="W933" s="4360"/>
    </row>
    <row r="934" spans="2:23" s="4273" customFormat="1">
      <c r="B934" s="4360"/>
      <c r="C934" s="4360"/>
      <c r="D934" s="4360"/>
      <c r="E934" s="4360"/>
      <c r="F934" s="4360"/>
      <c r="G934" s="4360"/>
      <c r="H934" s="4360"/>
      <c r="I934" s="4360"/>
      <c r="J934" s="4360"/>
      <c r="K934" s="4360"/>
      <c r="L934" s="4361"/>
      <c r="M934" s="4360"/>
      <c r="N934" s="4360"/>
      <c r="O934" s="4360"/>
      <c r="P934" s="4360"/>
      <c r="Q934" s="4360"/>
      <c r="R934" s="4360"/>
      <c r="S934" s="4360"/>
      <c r="T934" s="4360"/>
      <c r="U934" s="4360"/>
      <c r="V934" s="4360"/>
      <c r="W934" s="4360"/>
    </row>
    <row r="935" spans="2:23" s="4273" customFormat="1">
      <c r="B935" s="4360"/>
      <c r="C935" s="4360"/>
      <c r="D935" s="4360"/>
      <c r="E935" s="4360"/>
      <c r="F935" s="4360"/>
      <c r="G935" s="4360"/>
      <c r="H935" s="4360"/>
      <c r="I935" s="4360"/>
      <c r="J935" s="4360"/>
      <c r="K935" s="4360"/>
      <c r="L935" s="4361"/>
      <c r="M935" s="4360"/>
      <c r="N935" s="4360"/>
      <c r="O935" s="4360"/>
      <c r="P935" s="4360"/>
      <c r="Q935" s="4360"/>
      <c r="R935" s="4360"/>
      <c r="S935" s="4360"/>
      <c r="T935" s="4360"/>
      <c r="U935" s="4360"/>
      <c r="V935" s="4360"/>
      <c r="W935" s="4360"/>
    </row>
    <row r="936" spans="2:23" s="4273" customFormat="1">
      <c r="B936" s="4360"/>
      <c r="C936" s="4360"/>
      <c r="D936" s="4360"/>
      <c r="E936" s="4360"/>
      <c r="F936" s="4360"/>
      <c r="G936" s="4360"/>
      <c r="H936" s="4360"/>
      <c r="I936" s="4360"/>
      <c r="J936" s="4360"/>
      <c r="K936" s="4360"/>
      <c r="L936" s="4361"/>
      <c r="M936" s="4360"/>
      <c r="N936" s="4360"/>
      <c r="O936" s="4360"/>
      <c r="P936" s="4360"/>
      <c r="Q936" s="4360"/>
      <c r="R936" s="4360"/>
      <c r="S936" s="4360"/>
      <c r="T936" s="4360"/>
      <c r="U936" s="4360"/>
      <c r="V936" s="4360"/>
      <c r="W936" s="4360"/>
    </row>
    <row r="937" spans="2:23" s="4273" customFormat="1">
      <c r="B937" s="4360"/>
      <c r="C937" s="4360"/>
      <c r="D937" s="4360"/>
      <c r="E937" s="4360"/>
      <c r="F937" s="4360"/>
      <c r="G937" s="4360"/>
      <c r="H937" s="4360"/>
      <c r="I937" s="4360"/>
      <c r="J937" s="4360"/>
      <c r="K937" s="4360"/>
      <c r="L937" s="4361"/>
      <c r="M937" s="4360"/>
      <c r="N937" s="4360"/>
      <c r="O937" s="4360"/>
      <c r="P937" s="4360"/>
      <c r="Q937" s="4360"/>
      <c r="R937" s="4360"/>
      <c r="S937" s="4360"/>
      <c r="T937" s="4360"/>
      <c r="U937" s="4360"/>
      <c r="V937" s="4360"/>
      <c r="W937" s="4360"/>
    </row>
    <row r="938" spans="2:23" s="4273" customFormat="1">
      <c r="B938" s="4360"/>
      <c r="C938" s="4360"/>
      <c r="D938" s="4360"/>
      <c r="E938" s="4360"/>
      <c r="F938" s="4360"/>
      <c r="G938" s="4360"/>
      <c r="H938" s="4360"/>
      <c r="I938" s="4360"/>
      <c r="J938" s="4360"/>
      <c r="K938" s="4360"/>
      <c r="L938" s="4361"/>
      <c r="M938" s="4360"/>
      <c r="N938" s="4360"/>
      <c r="O938" s="4360"/>
      <c r="P938" s="4360"/>
      <c r="Q938" s="4360"/>
      <c r="R938" s="4360"/>
      <c r="S938" s="4360"/>
      <c r="T938" s="4360"/>
      <c r="U938" s="4360"/>
      <c r="V938" s="4360"/>
      <c r="W938" s="4360"/>
    </row>
    <row r="939" spans="2:23" s="4273" customFormat="1">
      <c r="B939" s="4360"/>
      <c r="C939" s="4360"/>
      <c r="D939" s="4360"/>
      <c r="E939" s="4360"/>
      <c r="F939" s="4360"/>
      <c r="G939" s="4360"/>
      <c r="H939" s="4360"/>
      <c r="I939" s="4360"/>
      <c r="J939" s="4360"/>
      <c r="K939" s="4360"/>
      <c r="L939" s="4361"/>
      <c r="M939" s="4360"/>
      <c r="N939" s="4360"/>
      <c r="O939" s="4360"/>
      <c r="P939" s="4360"/>
      <c r="Q939" s="4360"/>
      <c r="R939" s="4360"/>
      <c r="S939" s="4360"/>
      <c r="T939" s="4360"/>
      <c r="U939" s="4360"/>
      <c r="V939" s="4360"/>
      <c r="W939" s="4360"/>
    </row>
    <row r="940" spans="2:23" s="4273" customFormat="1">
      <c r="B940" s="4360"/>
      <c r="C940" s="4360"/>
      <c r="D940" s="4360"/>
      <c r="E940" s="4360"/>
      <c r="F940" s="4360"/>
      <c r="G940" s="4360"/>
      <c r="H940" s="4360"/>
      <c r="I940" s="4360"/>
      <c r="J940" s="4360"/>
      <c r="K940" s="4360"/>
      <c r="L940" s="4361"/>
      <c r="M940" s="4360"/>
      <c r="N940" s="4360"/>
      <c r="O940" s="4360"/>
      <c r="P940" s="4360"/>
      <c r="Q940" s="4360"/>
      <c r="R940" s="4360"/>
      <c r="S940" s="4360"/>
      <c r="T940" s="4360"/>
      <c r="U940" s="4360"/>
      <c r="V940" s="4360"/>
      <c r="W940" s="4360"/>
    </row>
    <row r="941" spans="2:23" s="4273" customFormat="1">
      <c r="B941" s="4360"/>
      <c r="C941" s="4360"/>
      <c r="D941" s="4360"/>
      <c r="E941" s="4360"/>
      <c r="F941" s="4360"/>
      <c r="G941" s="4360"/>
      <c r="H941" s="4360"/>
      <c r="I941" s="4360"/>
      <c r="J941" s="4360"/>
      <c r="K941" s="4360"/>
      <c r="L941" s="4361"/>
      <c r="M941" s="4360"/>
      <c r="N941" s="4360"/>
      <c r="O941" s="4360"/>
      <c r="P941" s="4360"/>
      <c r="Q941" s="4360"/>
      <c r="R941" s="4360"/>
      <c r="S941" s="4360"/>
      <c r="T941" s="4360"/>
      <c r="U941" s="4360"/>
      <c r="V941" s="4360"/>
      <c r="W941" s="4360"/>
    </row>
    <row r="942" spans="2:23" s="4273" customFormat="1">
      <c r="B942" s="4360"/>
      <c r="C942" s="4360"/>
      <c r="D942" s="4360"/>
      <c r="E942" s="4360"/>
      <c r="F942" s="4360"/>
      <c r="G942" s="4360"/>
      <c r="H942" s="4360"/>
      <c r="I942" s="4360"/>
      <c r="J942" s="4360"/>
      <c r="K942" s="4360"/>
      <c r="L942" s="4361"/>
      <c r="M942" s="4360"/>
      <c r="N942" s="4360"/>
      <c r="O942" s="4360"/>
      <c r="P942" s="4360"/>
      <c r="Q942" s="4360"/>
      <c r="R942" s="4360"/>
      <c r="S942" s="4360"/>
      <c r="T942" s="4360"/>
      <c r="U942" s="4360"/>
      <c r="V942" s="4360"/>
      <c r="W942" s="4360"/>
    </row>
    <row r="943" spans="2:23" s="4273" customFormat="1">
      <c r="B943" s="4360"/>
      <c r="C943" s="4360"/>
      <c r="D943" s="4360"/>
      <c r="E943" s="4360"/>
      <c r="F943" s="4360"/>
      <c r="G943" s="4360"/>
      <c r="H943" s="4360"/>
      <c r="I943" s="4360"/>
      <c r="J943" s="4360"/>
      <c r="K943" s="4360"/>
      <c r="L943" s="4361"/>
      <c r="M943" s="4360"/>
      <c r="N943" s="4360"/>
      <c r="O943" s="4360"/>
      <c r="P943" s="4360"/>
      <c r="Q943" s="4360"/>
      <c r="R943" s="4360"/>
      <c r="S943" s="4360"/>
      <c r="T943" s="4360"/>
      <c r="U943" s="4360"/>
      <c r="V943" s="4360"/>
      <c r="W943" s="4360"/>
    </row>
    <row r="944" spans="2:23" s="4273" customFormat="1">
      <c r="B944" s="4360"/>
      <c r="C944" s="4360"/>
      <c r="D944" s="4360"/>
      <c r="E944" s="4360"/>
      <c r="F944" s="4360"/>
      <c r="G944" s="4360"/>
      <c r="H944" s="4360"/>
      <c r="I944" s="4360"/>
      <c r="J944" s="4360"/>
      <c r="K944" s="4360"/>
      <c r="L944" s="4361"/>
      <c r="M944" s="4360"/>
      <c r="N944" s="4360"/>
      <c r="O944" s="4360"/>
      <c r="P944" s="4360"/>
      <c r="Q944" s="4360"/>
      <c r="R944" s="4360"/>
      <c r="S944" s="4360"/>
      <c r="T944" s="4360"/>
      <c r="U944" s="4360"/>
      <c r="V944" s="4360"/>
      <c r="W944" s="4360"/>
    </row>
    <row r="945" spans="2:23" s="4273" customFormat="1">
      <c r="B945" s="4360"/>
      <c r="C945" s="4360"/>
      <c r="D945" s="4360"/>
      <c r="E945" s="4360"/>
      <c r="F945" s="4360"/>
      <c r="G945" s="4360"/>
      <c r="H945" s="4360"/>
      <c r="I945" s="4360"/>
      <c r="J945" s="4360"/>
      <c r="K945" s="4360"/>
      <c r="L945" s="4361"/>
      <c r="M945" s="4360"/>
      <c r="N945" s="4360"/>
      <c r="O945" s="4360"/>
      <c r="P945" s="4360"/>
      <c r="Q945" s="4360"/>
      <c r="R945" s="4360"/>
      <c r="S945" s="4360"/>
      <c r="T945" s="4360"/>
      <c r="U945" s="4360"/>
      <c r="V945" s="4360"/>
      <c r="W945" s="4360"/>
    </row>
    <row r="946" spans="2:23" s="4273" customFormat="1">
      <c r="B946" s="4360"/>
      <c r="C946" s="4360"/>
      <c r="D946" s="4360"/>
      <c r="E946" s="4360"/>
      <c r="F946" s="4360"/>
      <c r="G946" s="4360"/>
      <c r="H946" s="4360"/>
      <c r="I946" s="4360"/>
      <c r="J946" s="4360"/>
      <c r="K946" s="4360"/>
      <c r="L946" s="4361"/>
      <c r="M946" s="4360"/>
      <c r="N946" s="4360"/>
      <c r="O946" s="4360"/>
      <c r="P946" s="4360"/>
      <c r="Q946" s="4360"/>
      <c r="R946" s="4360"/>
      <c r="S946" s="4360"/>
      <c r="T946" s="4360"/>
      <c r="U946" s="4360"/>
      <c r="V946" s="4360"/>
      <c r="W946" s="4360"/>
    </row>
    <row r="947" spans="2:23" s="4273" customFormat="1">
      <c r="B947" s="4360"/>
      <c r="C947" s="4360"/>
      <c r="D947" s="4360"/>
      <c r="E947" s="4360"/>
      <c r="F947" s="4360"/>
      <c r="G947" s="4360"/>
      <c r="H947" s="4360"/>
      <c r="I947" s="4360"/>
      <c r="J947" s="4360"/>
      <c r="K947" s="4360"/>
      <c r="L947" s="4361"/>
      <c r="M947" s="4360"/>
      <c r="N947" s="4360"/>
      <c r="O947" s="4360"/>
      <c r="P947" s="4360"/>
      <c r="Q947" s="4360"/>
      <c r="R947" s="4360"/>
      <c r="S947" s="4360"/>
      <c r="T947" s="4360"/>
      <c r="U947" s="4360"/>
      <c r="V947" s="4360"/>
      <c r="W947" s="4360"/>
    </row>
    <row r="948" spans="2:23" s="4273" customFormat="1">
      <c r="B948" s="4360"/>
      <c r="C948" s="4360"/>
      <c r="D948" s="4360"/>
      <c r="E948" s="4360"/>
      <c r="F948" s="4360"/>
      <c r="G948" s="4360"/>
      <c r="H948" s="4360"/>
      <c r="I948" s="4360"/>
      <c r="J948" s="4360"/>
      <c r="K948" s="4360"/>
      <c r="L948" s="4361"/>
      <c r="M948" s="4360"/>
      <c r="N948" s="4360"/>
      <c r="O948" s="4360"/>
      <c r="P948" s="4360"/>
      <c r="Q948" s="4360"/>
      <c r="R948" s="4360"/>
      <c r="S948" s="4360"/>
      <c r="T948" s="4360"/>
      <c r="U948" s="4360"/>
      <c r="V948" s="4360"/>
      <c r="W948" s="4360"/>
    </row>
    <row r="949" spans="2:23" s="4273" customFormat="1">
      <c r="B949" s="4360"/>
      <c r="C949" s="4360"/>
      <c r="D949" s="4360"/>
      <c r="E949" s="4360"/>
      <c r="F949" s="4360"/>
      <c r="G949" s="4360"/>
      <c r="H949" s="4360"/>
      <c r="I949" s="4360"/>
      <c r="J949" s="4360"/>
      <c r="K949" s="4360"/>
      <c r="L949" s="4361"/>
      <c r="M949" s="4360"/>
      <c r="N949" s="4360"/>
      <c r="O949" s="4360"/>
      <c r="P949" s="4360"/>
      <c r="Q949" s="4360"/>
      <c r="R949" s="4360"/>
      <c r="S949" s="4360"/>
      <c r="T949" s="4360"/>
      <c r="U949" s="4360"/>
      <c r="V949" s="4360"/>
      <c r="W949" s="4360"/>
    </row>
    <row r="950" spans="2:23" s="4273" customFormat="1">
      <c r="B950" s="4360"/>
      <c r="C950" s="4360"/>
      <c r="D950" s="4360"/>
      <c r="E950" s="4360"/>
      <c r="F950" s="4360"/>
      <c r="G950" s="4360"/>
      <c r="H950" s="4360"/>
      <c r="I950" s="4360"/>
      <c r="J950" s="4360"/>
      <c r="K950" s="4360"/>
      <c r="L950" s="4361"/>
      <c r="M950" s="4360"/>
      <c r="N950" s="4360"/>
      <c r="O950" s="4360"/>
      <c r="P950" s="4360"/>
      <c r="Q950" s="4360"/>
      <c r="R950" s="4360"/>
      <c r="S950" s="4360"/>
      <c r="T950" s="4360"/>
      <c r="U950" s="4360"/>
      <c r="V950" s="4360"/>
      <c r="W950" s="4360"/>
    </row>
    <row r="951" spans="2:23" s="4273" customFormat="1">
      <c r="B951" s="4360"/>
      <c r="C951" s="4360"/>
      <c r="D951" s="4360"/>
      <c r="E951" s="4360"/>
      <c r="F951" s="4360"/>
      <c r="G951" s="4360"/>
      <c r="H951" s="4360"/>
      <c r="I951" s="4360"/>
      <c r="J951" s="4360"/>
      <c r="K951" s="4360"/>
      <c r="L951" s="4361"/>
      <c r="M951" s="4360"/>
      <c r="N951" s="4360"/>
      <c r="O951" s="4360"/>
      <c r="P951" s="4360"/>
      <c r="Q951" s="4360"/>
      <c r="R951" s="4360"/>
      <c r="S951" s="4360"/>
      <c r="T951" s="4360"/>
      <c r="U951" s="4360"/>
      <c r="V951" s="4360"/>
      <c r="W951" s="4360"/>
    </row>
    <row r="952" spans="2:23" s="4273" customFormat="1">
      <c r="B952" s="4360"/>
      <c r="C952" s="4360"/>
      <c r="D952" s="4360"/>
      <c r="E952" s="4360"/>
      <c r="F952" s="4360"/>
      <c r="G952" s="4360"/>
      <c r="H952" s="4360"/>
      <c r="I952" s="4360"/>
      <c r="J952" s="4360"/>
      <c r="K952" s="4360"/>
      <c r="L952" s="4361"/>
      <c r="M952" s="4360"/>
      <c r="N952" s="4360"/>
      <c r="O952" s="4360"/>
      <c r="P952" s="4360"/>
      <c r="Q952" s="4360"/>
      <c r="R952" s="4360"/>
      <c r="S952" s="4360"/>
      <c r="T952" s="4360"/>
      <c r="U952" s="4360"/>
      <c r="V952" s="4360"/>
      <c r="W952" s="4360"/>
    </row>
    <row r="953" spans="2:23" s="4273" customFormat="1">
      <c r="B953" s="4360"/>
      <c r="C953" s="4360"/>
      <c r="D953" s="4360"/>
      <c r="E953" s="4360"/>
      <c r="F953" s="4360"/>
      <c r="G953" s="4360"/>
      <c r="H953" s="4360"/>
      <c r="I953" s="4360"/>
      <c r="J953" s="4360"/>
      <c r="K953" s="4360"/>
      <c r="L953" s="4361"/>
      <c r="M953" s="4360"/>
      <c r="N953" s="4360"/>
      <c r="O953" s="4360"/>
      <c r="P953" s="4360"/>
      <c r="Q953" s="4360"/>
      <c r="R953" s="4360"/>
      <c r="S953" s="4360"/>
      <c r="T953" s="4360"/>
      <c r="U953" s="4360"/>
      <c r="V953" s="4360"/>
      <c r="W953" s="4360"/>
    </row>
    <row r="954" spans="2:23" s="4273" customFormat="1">
      <c r="B954" s="4360"/>
      <c r="C954" s="4360"/>
      <c r="D954" s="4360"/>
      <c r="E954" s="4360"/>
      <c r="F954" s="4360"/>
      <c r="G954" s="4360"/>
      <c r="H954" s="4360"/>
      <c r="I954" s="4360"/>
      <c r="J954" s="4360"/>
      <c r="K954" s="4360"/>
      <c r="L954" s="4361"/>
      <c r="M954" s="4360"/>
      <c r="N954" s="4360"/>
      <c r="O954" s="4360"/>
      <c r="P954" s="4360"/>
      <c r="Q954" s="4360"/>
      <c r="R954" s="4360"/>
      <c r="S954" s="4360"/>
      <c r="T954" s="4360"/>
      <c r="U954" s="4360"/>
      <c r="V954" s="4360"/>
      <c r="W954" s="4360"/>
    </row>
    <row r="955" spans="2:23" s="4273" customFormat="1">
      <c r="B955" s="4360"/>
      <c r="C955" s="4360"/>
      <c r="D955" s="4360"/>
      <c r="E955" s="4360"/>
      <c r="F955" s="4360"/>
      <c r="G955" s="4360"/>
      <c r="H955" s="4360"/>
      <c r="I955" s="4360"/>
      <c r="J955" s="4360"/>
      <c r="K955" s="4360"/>
      <c r="L955" s="4361"/>
      <c r="M955" s="4360"/>
      <c r="N955" s="4360"/>
      <c r="O955" s="4360"/>
      <c r="P955" s="4360"/>
      <c r="Q955" s="4360"/>
      <c r="R955" s="4360"/>
      <c r="S955" s="4360"/>
      <c r="T955" s="4360"/>
      <c r="U955" s="4360"/>
      <c r="V955" s="4360"/>
      <c r="W955" s="4360"/>
    </row>
    <row r="956" spans="2:23" s="4273" customFormat="1">
      <c r="B956" s="4360"/>
      <c r="C956" s="4360"/>
      <c r="D956" s="4360"/>
      <c r="E956" s="4360"/>
      <c r="F956" s="4360"/>
      <c r="G956" s="4360"/>
      <c r="H956" s="4360"/>
      <c r="I956" s="4360"/>
      <c r="J956" s="4360"/>
      <c r="K956" s="4360"/>
      <c r="L956" s="4361"/>
      <c r="M956" s="4360"/>
      <c r="N956" s="4360"/>
      <c r="O956" s="4360"/>
      <c r="P956" s="4360"/>
      <c r="Q956" s="4360"/>
      <c r="R956" s="4360"/>
      <c r="S956" s="4360"/>
      <c r="T956" s="4360"/>
      <c r="U956" s="4360"/>
      <c r="V956" s="4360"/>
      <c r="W956" s="4360"/>
    </row>
    <row r="957" spans="2:23" s="4273" customFormat="1">
      <c r="B957" s="4360"/>
      <c r="C957" s="4360"/>
      <c r="D957" s="4360"/>
      <c r="E957" s="4360"/>
      <c r="F957" s="4360"/>
      <c r="G957" s="4360"/>
      <c r="H957" s="4360"/>
      <c r="I957" s="4360"/>
      <c r="J957" s="4360"/>
      <c r="K957" s="4360"/>
      <c r="L957" s="4361"/>
      <c r="M957" s="4360"/>
      <c r="N957" s="4360"/>
      <c r="O957" s="4360"/>
      <c r="P957" s="4360"/>
      <c r="Q957" s="4360"/>
      <c r="R957" s="4360"/>
      <c r="S957" s="4360"/>
      <c r="T957" s="4360"/>
      <c r="U957" s="4360"/>
      <c r="V957" s="4360"/>
      <c r="W957" s="4360"/>
    </row>
    <row r="958" spans="2:23" s="4273" customFormat="1">
      <c r="B958" s="4360"/>
      <c r="C958" s="4360"/>
      <c r="D958" s="4360"/>
      <c r="E958" s="4360"/>
      <c r="F958" s="4360"/>
      <c r="G958" s="4360"/>
      <c r="H958" s="4360"/>
      <c r="I958" s="4360"/>
      <c r="J958" s="4360"/>
      <c r="K958" s="4360"/>
      <c r="L958" s="4361"/>
      <c r="M958" s="4360"/>
      <c r="N958" s="4360"/>
      <c r="O958" s="4360"/>
      <c r="P958" s="4360"/>
      <c r="Q958" s="4360"/>
      <c r="R958" s="4360"/>
      <c r="S958" s="4360"/>
      <c r="T958" s="4360"/>
      <c r="U958" s="4360"/>
      <c r="V958" s="4360"/>
      <c r="W958" s="4360"/>
    </row>
    <row r="959" spans="2:23" s="4273" customFormat="1">
      <c r="B959" s="4360"/>
      <c r="C959" s="4360"/>
      <c r="D959" s="4360"/>
      <c r="E959" s="4360"/>
      <c r="F959" s="4360"/>
      <c r="G959" s="4360"/>
      <c r="H959" s="4360"/>
      <c r="I959" s="4360"/>
      <c r="J959" s="4360"/>
      <c r="K959" s="4360"/>
      <c r="L959" s="4361"/>
      <c r="M959" s="4360"/>
      <c r="N959" s="4360"/>
      <c r="O959" s="4360"/>
      <c r="P959" s="4360"/>
      <c r="Q959" s="4360"/>
      <c r="R959" s="4360"/>
      <c r="S959" s="4360"/>
      <c r="T959" s="4360"/>
      <c r="U959" s="4360"/>
      <c r="V959" s="4360"/>
      <c r="W959" s="4360"/>
    </row>
    <row r="960" spans="2:23" s="4273" customFormat="1">
      <c r="B960" s="4360"/>
      <c r="C960" s="4360"/>
      <c r="D960" s="4360"/>
      <c r="E960" s="4360"/>
      <c r="F960" s="4360"/>
      <c r="G960" s="4360"/>
      <c r="H960" s="4360"/>
      <c r="I960" s="4360"/>
      <c r="J960" s="4360"/>
      <c r="K960" s="4360"/>
      <c r="L960" s="4361"/>
      <c r="M960" s="4360"/>
      <c r="N960" s="4360"/>
      <c r="O960" s="4360"/>
      <c r="P960" s="4360"/>
      <c r="Q960" s="4360"/>
      <c r="R960" s="4360"/>
      <c r="S960" s="4360"/>
      <c r="T960" s="4360"/>
      <c r="U960" s="4360"/>
      <c r="V960" s="4360"/>
      <c r="W960" s="4360"/>
    </row>
    <row r="961" spans="2:23" s="4273" customFormat="1">
      <c r="B961" s="4360"/>
      <c r="C961" s="4360"/>
      <c r="D961" s="4360"/>
      <c r="E961" s="4360"/>
      <c r="F961" s="4360"/>
      <c r="G961" s="4360"/>
      <c r="H961" s="4360"/>
      <c r="I961" s="4360"/>
      <c r="J961" s="4360"/>
      <c r="K961" s="4360"/>
      <c r="L961" s="4361"/>
      <c r="M961" s="4360"/>
      <c r="N961" s="4360"/>
      <c r="O961" s="4360"/>
      <c r="P961" s="4360"/>
      <c r="Q961" s="4360"/>
      <c r="R961" s="4360"/>
      <c r="S961" s="4360"/>
      <c r="T961" s="4360"/>
      <c r="U961" s="4360"/>
      <c r="V961" s="4360"/>
      <c r="W961" s="4360"/>
    </row>
    <row r="962" spans="2:23" s="4273" customFormat="1">
      <c r="B962" s="4360"/>
      <c r="C962" s="4360"/>
      <c r="D962" s="4360"/>
      <c r="E962" s="4360"/>
      <c r="F962" s="4360"/>
      <c r="G962" s="4360"/>
      <c r="H962" s="4360"/>
      <c r="I962" s="4360"/>
      <c r="J962" s="4360"/>
      <c r="K962" s="4360"/>
      <c r="L962" s="4361"/>
      <c r="M962" s="4360"/>
      <c r="N962" s="4360"/>
      <c r="O962" s="4360"/>
      <c r="P962" s="4360"/>
      <c r="Q962" s="4360"/>
      <c r="R962" s="4360"/>
      <c r="S962" s="4360"/>
      <c r="T962" s="4360"/>
      <c r="U962" s="4360"/>
      <c r="V962" s="4360"/>
      <c r="W962" s="4360"/>
    </row>
    <row r="963" spans="2:23" s="4273" customFormat="1">
      <c r="B963" s="4360"/>
      <c r="C963" s="4360"/>
      <c r="D963" s="4360"/>
      <c r="E963" s="4360"/>
      <c r="F963" s="4360"/>
      <c r="G963" s="4360"/>
      <c r="H963" s="4360"/>
      <c r="I963" s="4360"/>
      <c r="J963" s="4360"/>
      <c r="K963" s="4360"/>
      <c r="L963" s="4361"/>
      <c r="M963" s="4360"/>
      <c r="N963" s="4360"/>
      <c r="O963" s="4360"/>
      <c r="P963" s="4360"/>
      <c r="Q963" s="4360"/>
      <c r="R963" s="4360"/>
      <c r="S963" s="4360"/>
      <c r="T963" s="4360"/>
      <c r="U963" s="4360"/>
      <c r="V963" s="4360"/>
      <c r="W963" s="4360"/>
    </row>
    <row r="964" spans="2:23" s="4273" customFormat="1">
      <c r="B964" s="4360"/>
      <c r="C964" s="4360"/>
      <c r="D964" s="4360"/>
      <c r="E964" s="4360"/>
      <c r="F964" s="4360"/>
      <c r="G964" s="4360"/>
      <c r="H964" s="4360"/>
      <c r="I964" s="4360"/>
      <c r="J964" s="4360"/>
      <c r="K964" s="4360"/>
      <c r="L964" s="4361"/>
      <c r="M964" s="4360"/>
      <c r="N964" s="4360"/>
      <c r="O964" s="4360"/>
      <c r="P964" s="4360"/>
      <c r="Q964" s="4360"/>
      <c r="R964" s="4360"/>
      <c r="S964" s="4360"/>
      <c r="T964" s="4360"/>
      <c r="U964" s="4360"/>
      <c r="V964" s="4360"/>
      <c r="W964" s="4360"/>
    </row>
    <row r="965" spans="2:23" s="4273" customFormat="1">
      <c r="B965" s="4360"/>
      <c r="C965" s="4360"/>
      <c r="D965" s="4360"/>
      <c r="E965" s="4360"/>
      <c r="F965" s="4360"/>
      <c r="G965" s="4360"/>
      <c r="H965" s="4360"/>
      <c r="I965" s="4360"/>
      <c r="J965" s="4360"/>
      <c r="K965" s="4360"/>
      <c r="L965" s="4361"/>
      <c r="M965" s="4360"/>
      <c r="N965" s="4360"/>
      <c r="O965" s="4360"/>
      <c r="P965" s="4360"/>
      <c r="Q965" s="4360"/>
      <c r="R965" s="4360"/>
      <c r="S965" s="4360"/>
      <c r="T965" s="4360"/>
      <c r="U965" s="4360"/>
      <c r="V965" s="4360"/>
      <c r="W965" s="4360"/>
    </row>
    <row r="966" spans="2:23" s="4273" customFormat="1">
      <c r="B966" s="4360"/>
      <c r="C966" s="4360"/>
      <c r="D966" s="4360"/>
      <c r="E966" s="4360"/>
      <c r="F966" s="4360"/>
      <c r="G966" s="4360"/>
      <c r="H966" s="4360"/>
      <c r="I966" s="4360"/>
      <c r="J966" s="4360"/>
      <c r="K966" s="4360"/>
      <c r="L966" s="4361"/>
      <c r="M966" s="4360"/>
      <c r="N966" s="4360"/>
      <c r="O966" s="4360"/>
      <c r="P966" s="4360"/>
      <c r="Q966" s="4360"/>
      <c r="R966" s="4360"/>
      <c r="S966" s="4360"/>
      <c r="T966" s="4360"/>
      <c r="U966" s="4360"/>
      <c r="V966" s="4360"/>
      <c r="W966" s="4360"/>
    </row>
    <row r="967" spans="2:23" s="4273" customFormat="1">
      <c r="B967" s="4360"/>
      <c r="C967" s="4360"/>
      <c r="D967" s="4360"/>
      <c r="E967" s="4360"/>
      <c r="F967" s="4360"/>
      <c r="G967" s="4360"/>
      <c r="H967" s="4360"/>
      <c r="I967" s="4360"/>
      <c r="J967" s="4360"/>
      <c r="K967" s="4360"/>
      <c r="L967" s="4361"/>
      <c r="M967" s="4360"/>
      <c r="N967" s="4360"/>
      <c r="O967" s="4360"/>
      <c r="P967" s="4360"/>
      <c r="Q967" s="4360"/>
      <c r="R967" s="4360"/>
      <c r="S967" s="4360"/>
      <c r="T967" s="4360"/>
      <c r="U967" s="4360"/>
      <c r="V967" s="4360"/>
      <c r="W967" s="4360"/>
    </row>
    <row r="968" spans="2:23" s="4273" customFormat="1">
      <c r="B968" s="4360"/>
      <c r="C968" s="4360"/>
      <c r="D968" s="4360"/>
      <c r="E968" s="4360"/>
      <c r="F968" s="4360"/>
      <c r="G968" s="4360"/>
      <c r="H968" s="4360"/>
      <c r="I968" s="4360"/>
      <c r="J968" s="4360"/>
      <c r="K968" s="4360"/>
      <c r="L968" s="4361"/>
      <c r="M968" s="4360"/>
      <c r="N968" s="4360"/>
      <c r="O968" s="4360"/>
      <c r="P968" s="4360"/>
      <c r="Q968" s="4360"/>
      <c r="R968" s="4360"/>
      <c r="S968" s="4360"/>
      <c r="T968" s="4360"/>
      <c r="U968" s="4360"/>
      <c r="V968" s="4360"/>
      <c r="W968" s="4360"/>
    </row>
    <row r="969" spans="2:23" s="4273" customFormat="1">
      <c r="B969" s="4360"/>
      <c r="C969" s="4360"/>
      <c r="D969" s="4360"/>
      <c r="E969" s="4360"/>
      <c r="F969" s="4360"/>
      <c r="G969" s="4360"/>
      <c r="H969" s="4360"/>
      <c r="I969" s="4360"/>
      <c r="J969" s="4360"/>
      <c r="K969" s="4360"/>
      <c r="L969" s="4361"/>
      <c r="M969" s="4360"/>
      <c r="N969" s="4360"/>
      <c r="O969" s="4360"/>
      <c r="P969" s="4360"/>
      <c r="Q969" s="4360"/>
      <c r="R969" s="4360"/>
      <c r="S969" s="4360"/>
      <c r="T969" s="4360"/>
      <c r="U969" s="4360"/>
      <c r="V969" s="4360"/>
      <c r="W969" s="4360"/>
    </row>
    <row r="970" spans="2:23" s="4273" customFormat="1">
      <c r="B970" s="4360"/>
      <c r="C970" s="4360"/>
      <c r="D970" s="4360"/>
      <c r="E970" s="4360"/>
      <c r="F970" s="4360"/>
      <c r="G970" s="4360"/>
      <c r="H970" s="4360"/>
      <c r="I970" s="4360"/>
      <c r="J970" s="4360"/>
      <c r="K970" s="4360"/>
      <c r="L970" s="4361"/>
      <c r="M970" s="4360"/>
      <c r="N970" s="4360"/>
      <c r="O970" s="4360"/>
      <c r="P970" s="4360"/>
      <c r="Q970" s="4360"/>
      <c r="R970" s="4360"/>
      <c r="S970" s="4360"/>
      <c r="T970" s="4360"/>
      <c r="U970" s="4360"/>
      <c r="V970" s="4360"/>
      <c r="W970" s="4360"/>
    </row>
    <row r="971" spans="2:23" s="4273" customFormat="1">
      <c r="B971" s="4360"/>
      <c r="C971" s="4360"/>
      <c r="D971" s="4360"/>
      <c r="E971" s="4360"/>
      <c r="F971" s="4360"/>
      <c r="G971" s="4360"/>
      <c r="H971" s="4360"/>
      <c r="I971" s="4360"/>
      <c r="J971" s="4360"/>
      <c r="K971" s="4360"/>
      <c r="L971" s="4361"/>
      <c r="M971" s="4360"/>
      <c r="N971" s="4360"/>
      <c r="O971" s="4360"/>
      <c r="P971" s="4360"/>
      <c r="Q971" s="4360"/>
      <c r="R971" s="4360"/>
      <c r="S971" s="4360"/>
      <c r="T971" s="4360"/>
      <c r="U971" s="4360"/>
      <c r="V971" s="4360"/>
      <c r="W971" s="4360"/>
    </row>
    <row r="972" spans="2:23" s="4273" customFormat="1">
      <c r="B972" s="4360"/>
      <c r="C972" s="4360"/>
      <c r="D972" s="4360"/>
      <c r="E972" s="4360"/>
      <c r="F972" s="4360"/>
      <c r="G972" s="4360"/>
      <c r="H972" s="4360"/>
      <c r="I972" s="4360"/>
      <c r="J972" s="4360"/>
      <c r="K972" s="4360"/>
      <c r="L972" s="4361"/>
      <c r="M972" s="4360"/>
      <c r="N972" s="4360"/>
      <c r="O972" s="4360"/>
      <c r="P972" s="4360"/>
      <c r="Q972" s="4360"/>
      <c r="R972" s="4360"/>
      <c r="S972" s="4360"/>
      <c r="T972" s="4360"/>
      <c r="U972" s="4360"/>
      <c r="V972" s="4360"/>
      <c r="W972" s="4360"/>
    </row>
    <row r="973" spans="2:23" s="4273" customFormat="1">
      <c r="B973" s="4360"/>
      <c r="C973" s="4360"/>
      <c r="D973" s="4360"/>
      <c r="E973" s="4360"/>
      <c r="F973" s="4360"/>
      <c r="G973" s="4360"/>
      <c r="H973" s="4360"/>
      <c r="I973" s="4360"/>
      <c r="J973" s="4360"/>
      <c r="K973" s="4360"/>
      <c r="L973" s="4361"/>
      <c r="M973" s="4360"/>
      <c r="N973" s="4360"/>
      <c r="O973" s="4360"/>
      <c r="P973" s="4360"/>
      <c r="Q973" s="4360"/>
      <c r="R973" s="4360"/>
      <c r="S973" s="4360"/>
      <c r="T973" s="4360"/>
      <c r="U973" s="4360"/>
      <c r="V973" s="4360"/>
      <c r="W973" s="4360"/>
    </row>
    <row r="974" spans="2:23" s="4273" customFormat="1">
      <c r="B974" s="4360"/>
      <c r="C974" s="4360"/>
      <c r="D974" s="4360"/>
      <c r="E974" s="4360"/>
      <c r="F974" s="4360"/>
      <c r="G974" s="4360"/>
      <c r="H974" s="4360"/>
      <c r="I974" s="4360"/>
      <c r="J974" s="4360"/>
      <c r="K974" s="4360"/>
      <c r="L974" s="4361"/>
      <c r="M974" s="4360"/>
      <c r="N974" s="4360"/>
      <c r="O974" s="4360"/>
      <c r="P974" s="4360"/>
      <c r="Q974" s="4360"/>
      <c r="R974" s="4360"/>
      <c r="S974" s="4360"/>
      <c r="T974" s="4360"/>
      <c r="U974" s="4360"/>
      <c r="V974" s="4360"/>
      <c r="W974" s="4360"/>
    </row>
    <row r="975" spans="2:23" s="4273" customFormat="1">
      <c r="B975" s="4360"/>
      <c r="C975" s="4360"/>
      <c r="D975" s="4360"/>
      <c r="E975" s="4360"/>
      <c r="F975" s="4360"/>
      <c r="G975" s="4360"/>
      <c r="H975" s="4360"/>
      <c r="I975" s="4360"/>
      <c r="J975" s="4360"/>
      <c r="K975" s="4360"/>
      <c r="L975" s="4361"/>
      <c r="M975" s="4360"/>
      <c r="N975" s="4360"/>
      <c r="O975" s="4360"/>
      <c r="P975" s="4360"/>
      <c r="Q975" s="4360"/>
      <c r="R975" s="4360"/>
      <c r="S975" s="4360"/>
      <c r="T975" s="4360"/>
      <c r="U975" s="4360"/>
      <c r="V975" s="4360"/>
      <c r="W975" s="4360"/>
    </row>
    <row r="976" spans="2:23" s="4273" customFormat="1">
      <c r="B976" s="4360"/>
      <c r="C976" s="4360"/>
      <c r="D976" s="4360"/>
      <c r="E976" s="4360"/>
      <c r="F976" s="4360"/>
      <c r="G976" s="4360"/>
      <c r="H976" s="4360"/>
      <c r="I976" s="4360"/>
      <c r="J976" s="4360"/>
      <c r="K976" s="4360"/>
      <c r="L976" s="4361"/>
      <c r="M976" s="4360"/>
      <c r="N976" s="4360"/>
      <c r="O976" s="4360"/>
      <c r="P976" s="4360"/>
      <c r="Q976" s="4360"/>
      <c r="R976" s="4360"/>
      <c r="S976" s="4360"/>
      <c r="T976" s="4360"/>
      <c r="U976" s="4360"/>
      <c r="V976" s="4360"/>
      <c r="W976" s="4360"/>
    </row>
    <row r="977" spans="2:23" s="4273" customFormat="1">
      <c r="B977" s="4360"/>
      <c r="C977" s="4360"/>
      <c r="D977" s="4360"/>
      <c r="E977" s="4360"/>
      <c r="F977" s="4360"/>
      <c r="G977" s="4360"/>
      <c r="H977" s="4360"/>
      <c r="I977" s="4360"/>
      <c r="J977" s="4360"/>
      <c r="K977" s="4360"/>
      <c r="L977" s="4361"/>
      <c r="M977" s="4360"/>
      <c r="N977" s="4360"/>
      <c r="O977" s="4360"/>
      <c r="P977" s="4360"/>
      <c r="Q977" s="4360"/>
      <c r="R977" s="4360"/>
      <c r="S977" s="4360"/>
      <c r="T977" s="4360"/>
      <c r="U977" s="4360"/>
      <c r="V977" s="4360"/>
      <c r="W977" s="4360"/>
    </row>
    <row r="978" spans="2:23" s="4273" customFormat="1">
      <c r="B978" s="4360"/>
      <c r="C978" s="4360"/>
      <c r="D978" s="4360"/>
      <c r="E978" s="4360"/>
      <c r="F978" s="4360"/>
      <c r="G978" s="4360"/>
      <c r="H978" s="4360"/>
      <c r="I978" s="4360"/>
      <c r="J978" s="4360"/>
      <c r="K978" s="4360"/>
      <c r="L978" s="4361"/>
      <c r="M978" s="4360"/>
      <c r="N978" s="4360"/>
      <c r="O978" s="4360"/>
      <c r="P978" s="4360"/>
      <c r="Q978" s="4360"/>
      <c r="R978" s="4360"/>
      <c r="S978" s="4360"/>
      <c r="T978" s="4360"/>
      <c r="U978" s="4360"/>
      <c r="V978" s="4360"/>
      <c r="W978" s="4360"/>
    </row>
    <row r="979" spans="2:23" s="4273" customFormat="1">
      <c r="B979" s="4360"/>
      <c r="C979" s="4360"/>
      <c r="D979" s="4360"/>
      <c r="E979" s="4360"/>
      <c r="F979" s="4360"/>
      <c r="G979" s="4360"/>
      <c r="H979" s="4360"/>
      <c r="I979" s="4360"/>
      <c r="J979" s="4360"/>
      <c r="K979" s="4360"/>
      <c r="L979" s="4361"/>
      <c r="M979" s="4360"/>
      <c r="N979" s="4360"/>
      <c r="O979" s="4360"/>
      <c r="P979" s="4360"/>
      <c r="Q979" s="4360"/>
      <c r="R979" s="4360"/>
      <c r="S979" s="4360"/>
      <c r="T979" s="4360"/>
      <c r="U979" s="4360"/>
      <c r="V979" s="4360"/>
      <c r="W979" s="4360"/>
    </row>
    <row r="980" spans="2:23" s="4273" customFormat="1">
      <c r="B980" s="4360"/>
      <c r="C980" s="4360"/>
      <c r="D980" s="4360"/>
      <c r="E980" s="4360"/>
      <c r="F980" s="4360"/>
      <c r="G980" s="4360"/>
      <c r="H980" s="4360"/>
      <c r="I980" s="4360"/>
      <c r="J980" s="4360"/>
      <c r="K980" s="4360"/>
      <c r="L980" s="4361"/>
      <c r="M980" s="4360"/>
      <c r="N980" s="4360"/>
      <c r="O980" s="4360"/>
      <c r="P980" s="4360"/>
      <c r="Q980" s="4360"/>
      <c r="R980" s="4360"/>
      <c r="S980" s="4360"/>
      <c r="T980" s="4360"/>
      <c r="U980" s="4360"/>
      <c r="V980" s="4360"/>
      <c r="W980" s="4360"/>
    </row>
    <row r="981" spans="2:23" s="4273" customFormat="1">
      <c r="B981" s="4360"/>
      <c r="C981" s="4360"/>
      <c r="D981" s="4360"/>
      <c r="E981" s="4360"/>
      <c r="F981" s="4360"/>
      <c r="G981" s="4360"/>
      <c r="H981" s="4360"/>
      <c r="I981" s="4360"/>
      <c r="J981" s="4360"/>
      <c r="K981" s="4360"/>
      <c r="L981" s="4361"/>
      <c r="M981" s="4360"/>
      <c r="N981" s="4360"/>
      <c r="O981" s="4360"/>
      <c r="P981" s="4360"/>
      <c r="Q981" s="4360"/>
      <c r="R981" s="4360"/>
      <c r="S981" s="4360"/>
      <c r="T981" s="4360"/>
      <c r="U981" s="4360"/>
      <c r="V981" s="4360"/>
      <c r="W981" s="4360"/>
    </row>
    <row r="982" spans="2:23" s="4273" customFormat="1">
      <c r="B982" s="4360"/>
      <c r="C982" s="4360"/>
      <c r="D982" s="4360"/>
      <c r="E982" s="4360"/>
      <c r="F982" s="4360"/>
      <c r="G982" s="4360"/>
      <c r="H982" s="4360"/>
      <c r="I982" s="4360"/>
      <c r="J982" s="4360"/>
      <c r="K982" s="4360"/>
      <c r="L982" s="4361"/>
      <c r="M982" s="4360"/>
      <c r="N982" s="4360"/>
      <c r="O982" s="4360"/>
      <c r="P982" s="4360"/>
      <c r="Q982" s="4360"/>
      <c r="R982" s="4360"/>
      <c r="S982" s="4360"/>
      <c r="T982" s="4360"/>
      <c r="U982" s="4360"/>
      <c r="V982" s="4360"/>
      <c r="W982" s="4360"/>
    </row>
    <row r="983" spans="2:23" s="4273" customFormat="1">
      <c r="B983" s="4360"/>
      <c r="C983" s="4360"/>
      <c r="D983" s="4360"/>
      <c r="E983" s="4360"/>
      <c r="F983" s="4360"/>
      <c r="G983" s="4360"/>
      <c r="H983" s="4360"/>
      <c r="I983" s="4360"/>
      <c r="J983" s="4360"/>
      <c r="K983" s="4360"/>
      <c r="L983" s="4361"/>
      <c r="M983" s="4360"/>
      <c r="N983" s="4360"/>
      <c r="O983" s="4360"/>
      <c r="P983" s="4360"/>
      <c r="Q983" s="4360"/>
      <c r="R983" s="4360"/>
      <c r="S983" s="4360"/>
      <c r="T983" s="4360"/>
      <c r="U983" s="4360"/>
      <c r="V983" s="4360"/>
      <c r="W983" s="4360"/>
    </row>
    <row r="984" spans="2:23" s="4273" customFormat="1">
      <c r="B984" s="4360"/>
      <c r="C984" s="4360"/>
      <c r="D984" s="4360"/>
      <c r="E984" s="4360"/>
      <c r="F984" s="4360"/>
      <c r="G984" s="4360"/>
      <c r="H984" s="4360"/>
      <c r="I984" s="4360"/>
      <c r="J984" s="4360"/>
      <c r="K984" s="4360"/>
      <c r="L984" s="4361"/>
      <c r="M984" s="4360"/>
      <c r="N984" s="4360"/>
      <c r="O984" s="4360"/>
      <c r="P984" s="4360"/>
      <c r="Q984" s="4360"/>
      <c r="R984" s="4360"/>
      <c r="S984" s="4360"/>
      <c r="T984" s="4360"/>
      <c r="U984" s="4360"/>
      <c r="V984" s="4360"/>
      <c r="W984" s="4360"/>
    </row>
    <row r="985" spans="2:23" s="4273" customFormat="1">
      <c r="B985" s="4360"/>
      <c r="C985" s="4360"/>
      <c r="D985" s="4360"/>
      <c r="E985" s="4360"/>
      <c r="F985" s="4360"/>
      <c r="G985" s="4360"/>
      <c r="H985" s="4360"/>
      <c r="I985" s="4360"/>
      <c r="J985" s="4360"/>
      <c r="K985" s="4360"/>
      <c r="L985" s="4361"/>
      <c r="M985" s="4360"/>
      <c r="N985" s="4360"/>
      <c r="O985" s="4360"/>
      <c r="P985" s="4360"/>
      <c r="Q985" s="4360"/>
      <c r="R985" s="4360"/>
      <c r="S985" s="4360"/>
      <c r="T985" s="4360"/>
      <c r="U985" s="4360"/>
      <c r="V985" s="4360"/>
      <c r="W985" s="4360"/>
    </row>
    <row r="986" spans="2:23" s="4273" customFormat="1">
      <c r="B986" s="4360"/>
      <c r="C986" s="4360"/>
      <c r="D986" s="4360"/>
      <c r="E986" s="4360"/>
      <c r="F986" s="4360"/>
      <c r="G986" s="4360"/>
      <c r="H986" s="4360"/>
      <c r="I986" s="4360"/>
      <c r="J986" s="4360"/>
      <c r="K986" s="4360"/>
      <c r="L986" s="4361"/>
      <c r="M986" s="4360"/>
      <c r="N986" s="4360"/>
      <c r="O986" s="4360"/>
      <c r="P986" s="4360"/>
      <c r="Q986" s="4360"/>
      <c r="R986" s="4360"/>
      <c r="S986" s="4360"/>
      <c r="T986" s="4360"/>
      <c r="U986" s="4360"/>
      <c r="V986" s="4360"/>
      <c r="W986" s="4360"/>
    </row>
    <row r="987" spans="2:23" s="4273" customFormat="1">
      <c r="B987" s="4360"/>
      <c r="C987" s="4360"/>
      <c r="D987" s="4360"/>
      <c r="E987" s="4360"/>
      <c r="F987" s="4360"/>
      <c r="G987" s="4360"/>
      <c r="H987" s="4360"/>
      <c r="I987" s="4360"/>
      <c r="J987" s="4360"/>
      <c r="K987" s="4360"/>
      <c r="L987" s="4361"/>
      <c r="M987" s="4360"/>
      <c r="N987" s="4360"/>
      <c r="O987" s="4360"/>
      <c r="P987" s="4360"/>
      <c r="Q987" s="4360"/>
      <c r="R987" s="4360"/>
      <c r="S987" s="4360"/>
      <c r="T987" s="4360"/>
      <c r="U987" s="4360"/>
      <c r="V987" s="4360"/>
      <c r="W987" s="4360"/>
    </row>
    <row r="988" spans="2:23" s="4273" customFormat="1">
      <c r="B988" s="4360"/>
      <c r="C988" s="4360"/>
      <c r="D988" s="4360"/>
      <c r="E988" s="4360"/>
      <c r="F988" s="4360"/>
      <c r="G988" s="4360"/>
      <c r="H988" s="4360"/>
      <c r="I988" s="4360"/>
      <c r="J988" s="4360"/>
      <c r="K988" s="4360"/>
      <c r="L988" s="4361"/>
      <c r="M988" s="4360"/>
      <c r="N988" s="4360"/>
      <c r="O988" s="4360"/>
      <c r="P988" s="4360"/>
      <c r="Q988" s="4360"/>
      <c r="R988" s="4360"/>
      <c r="S988" s="4360"/>
      <c r="T988" s="4360"/>
      <c r="U988" s="4360"/>
      <c r="V988" s="4360"/>
      <c r="W988" s="4360"/>
    </row>
    <row r="989" spans="2:23" s="4273" customFormat="1">
      <c r="B989" s="4360"/>
      <c r="C989" s="4360"/>
      <c r="D989" s="4360"/>
      <c r="E989" s="4360"/>
      <c r="F989" s="4360"/>
      <c r="G989" s="4360"/>
      <c r="H989" s="4360"/>
      <c r="I989" s="4360"/>
      <c r="J989" s="4360"/>
      <c r="K989" s="4360"/>
      <c r="L989" s="4361"/>
      <c r="M989" s="4360"/>
      <c r="N989" s="4360"/>
      <c r="O989" s="4360"/>
      <c r="P989" s="4360"/>
      <c r="Q989" s="4360"/>
      <c r="R989" s="4360"/>
      <c r="S989" s="4360"/>
      <c r="T989" s="4360"/>
      <c r="U989" s="4360"/>
      <c r="V989" s="4360"/>
      <c r="W989" s="4360"/>
    </row>
    <row r="990" spans="2:23" s="4273" customFormat="1">
      <c r="B990" s="4360"/>
      <c r="C990" s="4360"/>
      <c r="D990" s="4360"/>
      <c r="E990" s="4360"/>
      <c r="F990" s="4360"/>
      <c r="G990" s="4360"/>
      <c r="H990" s="4360"/>
      <c r="I990" s="4360"/>
      <c r="J990" s="4360"/>
      <c r="K990" s="4360"/>
      <c r="L990" s="4361"/>
      <c r="M990" s="4360"/>
      <c r="N990" s="4360"/>
      <c r="O990" s="4360"/>
      <c r="P990" s="4360"/>
      <c r="Q990" s="4360"/>
      <c r="R990" s="4360"/>
      <c r="S990" s="4360"/>
      <c r="T990" s="4360"/>
      <c r="U990" s="4360"/>
      <c r="V990" s="4360"/>
      <c r="W990" s="4360"/>
    </row>
    <row r="991" spans="2:23" s="4273" customFormat="1">
      <c r="B991" s="4360"/>
      <c r="C991" s="4360"/>
      <c r="D991" s="4360"/>
      <c r="E991" s="4360"/>
      <c r="F991" s="4360"/>
      <c r="G991" s="4360"/>
      <c r="H991" s="4360"/>
      <c r="I991" s="4360"/>
      <c r="J991" s="4360"/>
      <c r="K991" s="4360"/>
      <c r="L991" s="4361"/>
      <c r="M991" s="4360"/>
      <c r="N991" s="4360"/>
      <c r="O991" s="4360"/>
      <c r="P991" s="4360"/>
      <c r="Q991" s="4360"/>
      <c r="R991" s="4360"/>
      <c r="S991" s="4360"/>
      <c r="T991" s="4360"/>
      <c r="U991" s="4360"/>
      <c r="V991" s="4360"/>
      <c r="W991" s="4360"/>
    </row>
    <row r="992" spans="2:23" s="4273" customFormat="1">
      <c r="B992" s="4360"/>
      <c r="C992" s="4360"/>
      <c r="D992" s="4360"/>
      <c r="E992" s="4360"/>
      <c r="F992" s="4360"/>
      <c r="G992" s="4360"/>
      <c r="H992" s="4360"/>
      <c r="I992" s="4360"/>
      <c r="J992" s="4360"/>
      <c r="K992" s="4360"/>
      <c r="L992" s="4361"/>
      <c r="M992" s="4360"/>
      <c r="N992" s="4360"/>
      <c r="O992" s="4360"/>
      <c r="P992" s="4360"/>
      <c r="Q992" s="4360"/>
      <c r="R992" s="4360"/>
      <c r="S992" s="4360"/>
      <c r="T992" s="4360"/>
      <c r="U992" s="4360"/>
      <c r="V992" s="4360"/>
      <c r="W992" s="4360"/>
    </row>
    <row r="993" spans="2:23" s="4273" customFormat="1">
      <c r="B993" s="4360"/>
      <c r="C993" s="4360"/>
      <c r="D993" s="4360"/>
      <c r="E993" s="4360"/>
      <c r="F993" s="4360"/>
      <c r="G993" s="4360"/>
      <c r="H993" s="4360"/>
      <c r="I993" s="4360"/>
      <c r="J993" s="4360"/>
      <c r="K993" s="4360"/>
      <c r="L993" s="4361"/>
      <c r="M993" s="4360"/>
      <c r="N993" s="4360"/>
      <c r="O993" s="4360"/>
      <c r="P993" s="4360"/>
      <c r="Q993" s="4360"/>
      <c r="R993" s="4360"/>
      <c r="S993" s="4360"/>
      <c r="T993" s="4360"/>
      <c r="U993" s="4360"/>
      <c r="V993" s="4360"/>
      <c r="W993" s="4360"/>
    </row>
    <row r="994" spans="2:23" s="4273" customFormat="1">
      <c r="B994" s="4360"/>
      <c r="C994" s="4360"/>
      <c r="D994" s="4360"/>
      <c r="E994" s="4360"/>
      <c r="F994" s="4360"/>
      <c r="G994" s="4360"/>
      <c r="H994" s="4360"/>
      <c r="I994" s="4360"/>
      <c r="J994" s="4360"/>
      <c r="K994" s="4360"/>
      <c r="L994" s="4361"/>
      <c r="M994" s="4360"/>
      <c r="N994" s="4360"/>
      <c r="O994" s="4360"/>
      <c r="P994" s="4360"/>
      <c r="Q994" s="4360"/>
      <c r="R994" s="4360"/>
      <c r="S994" s="4360"/>
      <c r="T994" s="4360"/>
      <c r="U994" s="4360"/>
      <c r="V994" s="4360"/>
      <c r="W994" s="4360"/>
    </row>
    <row r="995" spans="2:23" s="4273" customFormat="1">
      <c r="B995" s="4360"/>
      <c r="C995" s="4360"/>
      <c r="D995" s="4360"/>
      <c r="E995" s="4360"/>
      <c r="F995" s="4360"/>
      <c r="G995" s="4360"/>
      <c r="H995" s="4360"/>
      <c r="I995" s="4360"/>
      <c r="J995" s="4360"/>
      <c r="K995" s="4360"/>
      <c r="L995" s="4361"/>
      <c r="M995" s="4360"/>
      <c r="N995" s="4360"/>
      <c r="O995" s="4360"/>
      <c r="P995" s="4360"/>
      <c r="Q995" s="4360"/>
      <c r="R995" s="4360"/>
      <c r="S995" s="4360"/>
      <c r="T995" s="4360"/>
      <c r="U995" s="4360"/>
      <c r="V995" s="4360"/>
      <c r="W995" s="4360"/>
    </row>
    <row r="996" spans="2:23" s="4273" customFormat="1">
      <c r="B996" s="4360"/>
      <c r="C996" s="4360"/>
      <c r="D996" s="4360"/>
      <c r="E996" s="4360"/>
      <c r="F996" s="4360"/>
      <c r="G996" s="4360"/>
      <c r="H996" s="4360"/>
      <c r="I996" s="4360"/>
      <c r="J996" s="4360"/>
      <c r="K996" s="4360"/>
      <c r="L996" s="4361"/>
      <c r="M996" s="4360"/>
      <c r="N996" s="4360"/>
      <c r="O996" s="4360"/>
      <c r="P996" s="4360"/>
      <c r="Q996" s="4360"/>
      <c r="R996" s="4360"/>
      <c r="S996" s="4360"/>
      <c r="T996" s="4360"/>
      <c r="U996" s="4360"/>
      <c r="V996" s="4360"/>
      <c r="W996" s="4360"/>
    </row>
    <row r="997" spans="2:23" s="4273" customFormat="1">
      <c r="B997" s="4360"/>
      <c r="C997" s="4360"/>
      <c r="D997" s="4360"/>
      <c r="E997" s="4360"/>
      <c r="F997" s="4360"/>
      <c r="G997" s="4360"/>
      <c r="H997" s="4360"/>
      <c r="I997" s="4360"/>
      <c r="J997" s="4360"/>
      <c r="K997" s="4360"/>
      <c r="L997" s="4361"/>
      <c r="M997" s="4360"/>
      <c r="N997" s="4360"/>
      <c r="O997" s="4360"/>
      <c r="P997" s="4360"/>
      <c r="Q997" s="4360"/>
      <c r="R997" s="4360"/>
      <c r="S997" s="4360"/>
      <c r="T997" s="4360"/>
      <c r="U997" s="4360"/>
      <c r="V997" s="4360"/>
      <c r="W997" s="4360"/>
    </row>
    <row r="998" spans="2:23" s="4273" customFormat="1">
      <c r="B998" s="4360"/>
      <c r="C998" s="4360"/>
      <c r="D998" s="4360"/>
      <c r="E998" s="4360"/>
      <c r="F998" s="4360"/>
      <c r="G998" s="4360"/>
      <c r="H998" s="4360"/>
      <c r="I998" s="4360"/>
      <c r="J998" s="4360"/>
      <c r="K998" s="4360"/>
      <c r="L998" s="4361"/>
      <c r="M998" s="4360"/>
      <c r="N998" s="4360"/>
      <c r="O998" s="4360"/>
      <c r="P998" s="4360"/>
      <c r="Q998" s="4360"/>
      <c r="R998" s="4360"/>
      <c r="S998" s="4360"/>
      <c r="T998" s="4360"/>
      <c r="U998" s="4360"/>
      <c r="V998" s="4360"/>
      <c r="W998" s="4360"/>
    </row>
    <row r="999" spans="2:23" s="4273" customFormat="1">
      <c r="B999" s="4360"/>
      <c r="C999" s="4360"/>
      <c r="D999" s="4360"/>
      <c r="E999" s="4360"/>
      <c r="F999" s="4360"/>
      <c r="G999" s="4360"/>
      <c r="H999" s="4360"/>
      <c r="I999" s="4360"/>
      <c r="J999" s="4360"/>
      <c r="K999" s="4360"/>
      <c r="L999" s="4361"/>
      <c r="M999" s="4360"/>
      <c r="N999" s="4360"/>
      <c r="O999" s="4360"/>
      <c r="P999" s="4360"/>
      <c r="Q999" s="4360"/>
      <c r="R999" s="4360"/>
      <c r="S999" s="4360"/>
      <c r="T999" s="4360"/>
      <c r="U999" s="4360"/>
      <c r="V999" s="4360"/>
      <c r="W999" s="4360"/>
    </row>
    <row r="1000" spans="2:23" s="4273" customFormat="1">
      <c r="B1000" s="4360"/>
      <c r="C1000" s="4360"/>
      <c r="D1000" s="4360"/>
      <c r="E1000" s="4360"/>
      <c r="F1000" s="4360"/>
      <c r="G1000" s="4360"/>
      <c r="H1000" s="4360"/>
      <c r="I1000" s="4360"/>
      <c r="J1000" s="4360"/>
      <c r="K1000" s="4360"/>
      <c r="L1000" s="4361"/>
      <c r="M1000" s="4360"/>
      <c r="N1000" s="4360"/>
      <c r="O1000" s="4360"/>
      <c r="P1000" s="4360"/>
      <c r="Q1000" s="4360"/>
      <c r="R1000" s="4360"/>
      <c r="S1000" s="4360"/>
      <c r="T1000" s="4360"/>
      <c r="U1000" s="4360"/>
      <c r="V1000" s="4360"/>
      <c r="W1000" s="4360"/>
    </row>
    <row r="1001" spans="2:23" s="4273" customFormat="1">
      <c r="B1001" s="4360"/>
      <c r="C1001" s="4360"/>
      <c r="D1001" s="4360"/>
      <c r="E1001" s="4360"/>
      <c r="F1001" s="4360"/>
      <c r="G1001" s="4360"/>
      <c r="H1001" s="4360"/>
      <c r="I1001" s="4360"/>
      <c r="J1001" s="4360"/>
      <c r="K1001" s="4360"/>
      <c r="L1001" s="4361"/>
      <c r="M1001" s="4360"/>
      <c r="N1001" s="4360"/>
      <c r="O1001" s="4360"/>
      <c r="P1001" s="4360"/>
      <c r="Q1001" s="4360"/>
      <c r="R1001" s="4360"/>
      <c r="S1001" s="4360"/>
      <c r="T1001" s="4360"/>
      <c r="U1001" s="4360"/>
      <c r="V1001" s="4360"/>
      <c r="W1001" s="4360"/>
    </row>
    <row r="1002" spans="2:23" s="4273" customFormat="1">
      <c r="B1002" s="4360"/>
      <c r="C1002" s="4360"/>
      <c r="D1002" s="4360"/>
      <c r="E1002" s="4360"/>
      <c r="F1002" s="4360"/>
      <c r="G1002" s="4360"/>
      <c r="H1002" s="4360"/>
      <c r="I1002" s="4360"/>
      <c r="J1002" s="4360"/>
      <c r="K1002" s="4360"/>
      <c r="L1002" s="4361"/>
      <c r="M1002" s="4360"/>
      <c r="N1002" s="4360"/>
      <c r="O1002" s="4360"/>
      <c r="P1002" s="4360"/>
      <c r="Q1002" s="4360"/>
      <c r="R1002" s="4360"/>
      <c r="S1002" s="4360"/>
      <c r="T1002" s="4360"/>
      <c r="U1002" s="4360"/>
      <c r="V1002" s="4360"/>
      <c r="W1002" s="4360"/>
    </row>
    <row r="1003" spans="2:23" s="4273" customFormat="1">
      <c r="B1003" s="4360"/>
      <c r="C1003" s="4360"/>
      <c r="D1003" s="4360"/>
      <c r="E1003" s="4360"/>
      <c r="F1003" s="4360"/>
      <c r="G1003" s="4360"/>
      <c r="H1003" s="4360"/>
      <c r="I1003" s="4360"/>
      <c r="J1003" s="4360"/>
      <c r="K1003" s="4360"/>
      <c r="L1003" s="4361"/>
      <c r="M1003" s="4360"/>
      <c r="N1003" s="4360"/>
      <c r="O1003" s="4360"/>
      <c r="P1003" s="4360"/>
      <c r="Q1003" s="4360"/>
      <c r="R1003" s="4360"/>
      <c r="S1003" s="4360"/>
      <c r="T1003" s="4360"/>
      <c r="U1003" s="4360"/>
      <c r="V1003" s="4360"/>
      <c r="W1003" s="4360"/>
    </row>
    <row r="1004" spans="2:23" s="4273" customFormat="1">
      <c r="B1004" s="4360"/>
      <c r="C1004" s="4360"/>
      <c r="D1004" s="4360"/>
      <c r="E1004" s="4360"/>
      <c r="F1004" s="4360"/>
      <c r="G1004" s="4360"/>
      <c r="H1004" s="4360"/>
      <c r="I1004" s="4360"/>
      <c r="J1004" s="4360"/>
      <c r="K1004" s="4360"/>
      <c r="L1004" s="4361"/>
      <c r="M1004" s="4360"/>
      <c r="N1004" s="4360"/>
      <c r="O1004" s="4360"/>
      <c r="P1004" s="4360"/>
      <c r="Q1004" s="4360"/>
      <c r="R1004" s="4360"/>
      <c r="S1004" s="4360"/>
      <c r="T1004" s="4360"/>
      <c r="U1004" s="4360"/>
      <c r="V1004" s="4360"/>
      <c r="W1004" s="4360"/>
    </row>
    <row r="1005" spans="2:23" s="4273" customFormat="1">
      <c r="B1005" s="4360"/>
      <c r="C1005" s="4360"/>
      <c r="D1005" s="4360"/>
      <c r="E1005" s="4360"/>
      <c r="F1005" s="4360"/>
      <c r="G1005" s="4360"/>
      <c r="H1005" s="4360"/>
      <c r="I1005" s="4360"/>
      <c r="J1005" s="4360"/>
      <c r="K1005" s="4360"/>
      <c r="L1005" s="4361"/>
      <c r="M1005" s="4360"/>
      <c r="N1005" s="4360"/>
      <c r="O1005" s="4360"/>
      <c r="P1005" s="4360"/>
      <c r="Q1005" s="4360"/>
      <c r="R1005" s="4360"/>
      <c r="S1005" s="4360"/>
      <c r="T1005" s="4360"/>
      <c r="U1005" s="4360"/>
      <c r="V1005" s="4360"/>
      <c r="W1005" s="4360"/>
    </row>
    <row r="1006" spans="2:23" s="4273" customFormat="1">
      <c r="B1006" s="4360"/>
      <c r="C1006" s="4360"/>
      <c r="D1006" s="4360"/>
      <c r="E1006" s="4360"/>
      <c r="F1006" s="4360"/>
      <c r="G1006" s="4360"/>
      <c r="H1006" s="4360"/>
      <c r="I1006" s="4360"/>
      <c r="J1006" s="4360"/>
      <c r="K1006" s="4360"/>
      <c r="L1006" s="4361"/>
      <c r="M1006" s="4360"/>
      <c r="N1006" s="4360"/>
      <c r="O1006" s="4360"/>
      <c r="P1006" s="4360"/>
      <c r="Q1006" s="4360"/>
      <c r="R1006" s="4360"/>
      <c r="S1006" s="4360"/>
      <c r="T1006" s="4360"/>
      <c r="U1006" s="4360"/>
      <c r="V1006" s="4360"/>
      <c r="W1006" s="4360"/>
    </row>
    <row r="1007" spans="2:23" s="4273" customFormat="1">
      <c r="B1007" s="4360"/>
      <c r="C1007" s="4360"/>
      <c r="D1007" s="4360"/>
      <c r="E1007" s="4360"/>
      <c r="F1007" s="4360"/>
      <c r="G1007" s="4360"/>
      <c r="H1007" s="4360"/>
      <c r="I1007" s="4360"/>
      <c r="J1007" s="4360"/>
      <c r="K1007" s="4360"/>
      <c r="L1007" s="4361"/>
      <c r="M1007" s="4360"/>
      <c r="N1007" s="4360"/>
      <c r="O1007" s="4360"/>
      <c r="P1007" s="4360"/>
      <c r="Q1007" s="4360"/>
      <c r="R1007" s="4360"/>
      <c r="S1007" s="4360"/>
      <c r="T1007" s="4360"/>
      <c r="U1007" s="4360"/>
      <c r="V1007" s="4360"/>
      <c r="W1007" s="4360"/>
    </row>
    <row r="1008" spans="2:23" s="4273" customFormat="1">
      <c r="B1008" s="4360"/>
      <c r="C1008" s="4360"/>
      <c r="D1008" s="4360"/>
      <c r="E1008" s="4360"/>
      <c r="F1008" s="4360"/>
      <c r="G1008" s="4360"/>
      <c r="H1008" s="4360"/>
      <c r="I1008" s="4360"/>
      <c r="J1008" s="4360"/>
      <c r="K1008" s="4360"/>
      <c r="L1008" s="4361"/>
      <c r="M1008" s="4360"/>
      <c r="N1008" s="4360"/>
      <c r="O1008" s="4360"/>
      <c r="P1008" s="4360"/>
      <c r="Q1008" s="4360"/>
      <c r="R1008" s="4360"/>
      <c r="S1008" s="4360"/>
      <c r="T1008" s="4360"/>
      <c r="U1008" s="4360"/>
      <c r="V1008" s="4360"/>
      <c r="W1008" s="4360"/>
    </row>
  </sheetData>
  <mergeCells count="41"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  <mergeCell ref="A42:B42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41:B41"/>
    <mergeCell ref="A26:B26"/>
    <mergeCell ref="A23:B23"/>
    <mergeCell ref="A24:B24"/>
    <mergeCell ref="A38:B38"/>
    <mergeCell ref="A39:B39"/>
    <mergeCell ref="A27:B27"/>
    <mergeCell ref="A21:B21"/>
    <mergeCell ref="A22:B22"/>
    <mergeCell ref="A25:B25"/>
    <mergeCell ref="A16:B16"/>
    <mergeCell ref="A17:B17"/>
    <mergeCell ref="A18:B18"/>
    <mergeCell ref="A19:B19"/>
    <mergeCell ref="A20:B20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AB394"/>
  <sheetViews>
    <sheetView tabSelected="1" view="pageBreakPreview" topLeftCell="A4" zoomScaleNormal="100" zoomScaleSheetLayoutView="100" workbookViewId="0">
      <pane xSplit="2" ySplit="5" topLeftCell="C335" activePane="bottomRight" state="frozen"/>
      <selection activeCell="A4" sqref="A4"/>
      <selection pane="topRight" activeCell="C4" sqref="C4"/>
      <selection pane="bottomLeft" activeCell="A9" sqref="A9"/>
      <selection pane="bottomRight" activeCell="C27" sqref="C27"/>
    </sheetView>
  </sheetViews>
  <sheetFormatPr defaultColWidth="9.140625" defaultRowHeight="12.75"/>
  <cols>
    <col min="1" max="1" width="4" style="4390" customWidth="1"/>
    <col min="2" max="2" width="56.5703125" style="4389" customWidth="1"/>
    <col min="3" max="3" width="30.28515625" style="4389" customWidth="1"/>
    <col min="4" max="4" width="10.5703125" style="4317" customWidth="1"/>
    <col min="5" max="5" width="14" style="4389" customWidth="1"/>
    <col min="6" max="6" width="12.5703125" style="4389" customWidth="1"/>
    <col min="7" max="7" width="12.7109375" style="4389" hidden="1" customWidth="1"/>
    <col min="8" max="8" width="12.28515625" style="4389" customWidth="1"/>
    <col min="9" max="9" width="11.28515625" style="4389" customWidth="1"/>
    <col min="10" max="10" width="12.85546875" style="4389" customWidth="1"/>
    <col min="11" max="11" width="14" style="4389" customWidth="1"/>
    <col min="12" max="16" width="11.5703125" style="4389" customWidth="1"/>
    <col min="17" max="17" width="13.140625" style="4389" customWidth="1"/>
    <col min="18" max="18" width="19.85546875" style="4389" customWidth="1"/>
    <col min="19" max="20" width="1.42578125" style="4389" customWidth="1"/>
    <col min="21" max="21" width="9.7109375" style="4389" bestFit="1" customWidth="1"/>
    <col min="22" max="28" width="9.140625" style="4389"/>
    <col min="29" max="16384" width="9.140625" style="4272"/>
  </cols>
  <sheetData>
    <row r="1" spans="1:28" ht="47.25" customHeight="1">
      <c r="A1" s="4387" t="s">
        <v>604</v>
      </c>
      <c r="B1" s="4388"/>
      <c r="C1" s="4388"/>
      <c r="D1" s="4388"/>
      <c r="E1" s="4388"/>
      <c r="F1" s="4388"/>
      <c r="G1" s="4388"/>
      <c r="H1" s="4388"/>
      <c r="I1" s="4388"/>
      <c r="J1" s="4388"/>
      <c r="K1" s="4388"/>
      <c r="L1" s="4388"/>
      <c r="M1" s="4388"/>
      <c r="N1" s="4388"/>
      <c r="O1" s="4388"/>
      <c r="P1" s="4388"/>
      <c r="Q1" s="4388"/>
    </row>
    <row r="2" spans="1:28" ht="7.5" customHeight="1">
      <c r="Q2" s="4391"/>
      <c r="R2" s="4391"/>
    </row>
    <row r="3" spans="1:28" s="4317" customFormat="1" ht="27" customHeight="1" thickBot="1">
      <c r="A3" s="4392" t="s">
        <v>262</v>
      </c>
      <c r="B3" s="4393"/>
      <c r="C3" s="4393"/>
      <c r="D3" s="4394"/>
      <c r="E3" s="4393"/>
      <c r="F3" s="4393"/>
      <c r="G3" s="4393"/>
      <c r="H3" s="4393"/>
      <c r="I3" s="4393"/>
      <c r="J3" s="4393"/>
      <c r="K3" s="4393"/>
      <c r="L3" s="4393"/>
      <c r="M3" s="4393"/>
      <c r="N3" s="4393"/>
      <c r="O3" s="4393"/>
      <c r="P3" s="4393"/>
      <c r="Q3" s="4395"/>
      <c r="R3" s="4395"/>
      <c r="S3" s="4389"/>
      <c r="T3" s="4389"/>
      <c r="U3" s="4389"/>
      <c r="V3" s="4389"/>
      <c r="W3" s="4389"/>
      <c r="X3" s="4389"/>
      <c r="Y3" s="4389"/>
      <c r="Z3" s="4389"/>
      <c r="AA3" s="4389"/>
      <c r="AB3" s="4389"/>
    </row>
    <row r="4" spans="1:28" ht="17.25" customHeight="1">
      <c r="A4" s="4396" t="s">
        <v>592</v>
      </c>
      <c r="B4" s="4397" t="s">
        <v>91</v>
      </c>
      <c r="C4" s="4398" t="s">
        <v>264</v>
      </c>
      <c r="D4" s="4399" t="s">
        <v>263</v>
      </c>
      <c r="E4" s="4400" t="s">
        <v>265</v>
      </c>
      <c r="F4" s="4401" t="s">
        <v>327</v>
      </c>
      <c r="G4" s="4402" t="s">
        <v>513</v>
      </c>
      <c r="H4" s="4402" t="s">
        <v>513</v>
      </c>
      <c r="I4" s="4403" t="s">
        <v>669</v>
      </c>
      <c r="J4" s="4404"/>
      <c r="K4" s="4404"/>
      <c r="L4" s="4404"/>
      <c r="M4" s="4404"/>
      <c r="N4" s="4404"/>
      <c r="O4" s="4404"/>
      <c r="P4" s="4405"/>
      <c r="Q4" s="4406" t="s">
        <v>89</v>
      </c>
      <c r="R4" s="4406" t="s">
        <v>266</v>
      </c>
    </row>
    <row r="5" spans="1:28" ht="28.5" customHeight="1">
      <c r="A5" s="4407"/>
      <c r="B5" s="4408"/>
      <c r="C5" s="4409"/>
      <c r="D5" s="4410"/>
      <c r="E5" s="4411"/>
      <c r="F5" s="4412"/>
      <c r="G5" s="4413"/>
      <c r="H5" s="4413"/>
      <c r="I5" s="4414"/>
      <c r="J5" s="4415"/>
      <c r="K5" s="4415"/>
      <c r="L5" s="4415"/>
      <c r="M5" s="4415"/>
      <c r="N5" s="4415"/>
      <c r="O5" s="4415"/>
      <c r="P5" s="4416"/>
      <c r="Q5" s="4417"/>
      <c r="R5" s="4417"/>
    </row>
    <row r="6" spans="1:28" ht="13.5" thickBot="1">
      <c r="A6" s="4407"/>
      <c r="B6" s="4408"/>
      <c r="C6" s="4409"/>
      <c r="D6" s="4410"/>
      <c r="E6" s="4411"/>
      <c r="F6" s="4412"/>
      <c r="G6" s="4418"/>
      <c r="H6" s="4418"/>
      <c r="I6" s="4419"/>
      <c r="J6" s="4420"/>
      <c r="K6" s="4420"/>
      <c r="L6" s="4420"/>
      <c r="M6" s="4420"/>
      <c r="N6" s="4420"/>
      <c r="O6" s="4420"/>
      <c r="P6" s="4421"/>
      <c r="Q6" s="4417"/>
      <c r="R6" s="4417"/>
    </row>
    <row r="7" spans="1:28" ht="22.5" customHeight="1" thickBot="1">
      <c r="A7" s="4422"/>
      <c r="B7" s="4423"/>
      <c r="C7" s="4424"/>
      <c r="D7" s="4425"/>
      <c r="E7" s="4426"/>
      <c r="F7" s="4427"/>
      <c r="G7" s="4428">
        <v>2014</v>
      </c>
      <c r="H7" s="4429">
        <v>2015</v>
      </c>
      <c r="I7" s="4430">
        <v>2016</v>
      </c>
      <c r="J7" s="4431">
        <v>2017</v>
      </c>
      <c r="K7" s="4429">
        <v>2018</v>
      </c>
      <c r="L7" s="4432">
        <v>2019</v>
      </c>
      <c r="M7" s="4433">
        <v>2020</v>
      </c>
      <c r="N7" s="4433">
        <v>2021</v>
      </c>
      <c r="O7" s="4433">
        <v>2022</v>
      </c>
      <c r="P7" s="4434">
        <v>2023</v>
      </c>
      <c r="Q7" s="4435"/>
      <c r="R7" s="4435"/>
    </row>
    <row r="8" spans="1:28" ht="13.5" customHeight="1" thickBot="1">
      <c r="A8" s="4436">
        <v>1</v>
      </c>
      <c r="B8" s="4437">
        <v>2</v>
      </c>
      <c r="C8" s="4438">
        <v>3</v>
      </c>
      <c r="D8" s="4439">
        <v>7</v>
      </c>
      <c r="E8" s="4440">
        <v>8</v>
      </c>
      <c r="F8" s="4440">
        <v>10</v>
      </c>
      <c r="G8" s="4440"/>
      <c r="H8" s="4440">
        <v>11</v>
      </c>
      <c r="I8" s="4440">
        <v>12</v>
      </c>
      <c r="J8" s="4441">
        <v>13</v>
      </c>
      <c r="K8" s="4441">
        <v>14</v>
      </c>
      <c r="L8" s="4441"/>
      <c r="M8" s="4440"/>
      <c r="N8" s="4440"/>
      <c r="O8" s="4440"/>
      <c r="P8" s="4440"/>
      <c r="Q8" s="4442">
        <v>16</v>
      </c>
      <c r="R8" s="4442"/>
    </row>
    <row r="9" spans="1:28" ht="38.25" customHeight="1" thickBot="1">
      <c r="A9" s="4443" t="s">
        <v>97</v>
      </c>
      <c r="B9" s="4443" t="s">
        <v>573</v>
      </c>
      <c r="C9" s="4444">
        <v>0</v>
      </c>
      <c r="D9" s="4445">
        <v>0</v>
      </c>
      <c r="E9" s="4446">
        <f t="shared" ref="E9:P9" si="0">E10+E108</f>
        <v>1018745382</v>
      </c>
      <c r="F9" s="4446">
        <f t="shared" si="0"/>
        <v>343820599</v>
      </c>
      <c r="G9" s="4446">
        <f t="shared" si="0"/>
        <v>75344148</v>
      </c>
      <c r="H9" s="4446">
        <f t="shared" si="0"/>
        <v>122687425</v>
      </c>
      <c r="I9" s="4446">
        <f t="shared" si="0"/>
        <v>90914364</v>
      </c>
      <c r="J9" s="4446">
        <f t="shared" si="0"/>
        <v>69875622</v>
      </c>
      <c r="K9" s="4446">
        <f t="shared" si="0"/>
        <v>72511992</v>
      </c>
      <c r="L9" s="4446">
        <f t="shared" si="0"/>
        <v>76106793</v>
      </c>
      <c r="M9" s="4446">
        <f t="shared" si="0"/>
        <v>55615719</v>
      </c>
      <c r="N9" s="4446">
        <f t="shared" si="0"/>
        <v>39376544</v>
      </c>
      <c r="O9" s="4446">
        <f t="shared" si="0"/>
        <v>36843748</v>
      </c>
      <c r="P9" s="4446">
        <f t="shared" si="0"/>
        <v>35648428</v>
      </c>
      <c r="Q9" s="4447"/>
      <c r="R9" s="4448"/>
    </row>
    <row r="10" spans="1:28" ht="18.75" customHeight="1" thickBot="1">
      <c r="A10" s="4449" t="s">
        <v>590</v>
      </c>
      <c r="B10" s="4450" t="s">
        <v>566</v>
      </c>
      <c r="C10" s="4451"/>
      <c r="D10" s="4452"/>
      <c r="E10" s="4453">
        <f t="shared" ref="E10:M10" si="1">E12+E16+E20+E24+E28+E38+E43+E48+E53+E58+E70+E75+E63+E82+E88+E93+E98+E103+E33</f>
        <v>676143677</v>
      </c>
      <c r="F10" s="4453">
        <f t="shared" si="1"/>
        <v>343394042</v>
      </c>
      <c r="G10" s="4453">
        <f t="shared" si="1"/>
        <v>75344148</v>
      </c>
      <c r="H10" s="4453">
        <f t="shared" si="1"/>
        <v>118008929</v>
      </c>
      <c r="I10" s="4453">
        <f t="shared" si="1"/>
        <v>39793437</v>
      </c>
      <c r="J10" s="4453">
        <f t="shared" si="1"/>
        <v>20979135</v>
      </c>
      <c r="K10" s="4453">
        <f t="shared" si="1"/>
        <v>26985521</v>
      </c>
      <c r="L10" s="4453">
        <f t="shared" si="1"/>
        <v>36014665</v>
      </c>
      <c r="M10" s="4453">
        <f t="shared" si="1"/>
        <v>15122725</v>
      </c>
      <c r="N10" s="4453">
        <f>N12+N16+N20+N24+N28+N38+N43+N48+N53+N58+N70+N75+N63+N82+N88+N93+N98+N103</f>
        <v>167025</v>
      </c>
      <c r="O10" s="4453">
        <f>O12+O16+O20+O24+O28+O38+O43+O48+O53+O58+O70+O75+O63+O82+O88+O93+O98+O103</f>
        <v>167025</v>
      </c>
      <c r="P10" s="4453">
        <f>P12+P16+P20+P24+P28+P38+P43+P48+P53+P58+P70+P75+P63+P82+P88+P93+P98+P103</f>
        <v>167025</v>
      </c>
      <c r="Q10" s="4454"/>
      <c r="R10" s="4455"/>
    </row>
    <row r="11" spans="1:28" ht="63" customHeight="1" thickBot="1">
      <c r="A11" s="4456" t="s">
        <v>79</v>
      </c>
      <c r="B11" s="4457" t="s">
        <v>267</v>
      </c>
      <c r="C11" s="4458" t="s">
        <v>674</v>
      </c>
      <c r="D11" s="4459">
        <f>E14/E12%</f>
        <v>92.909940513241835</v>
      </c>
      <c r="E11" s="4460"/>
      <c r="F11" s="4461"/>
      <c r="G11" s="4460"/>
      <c r="H11" s="4462"/>
      <c r="I11" s="4463"/>
      <c r="J11" s="4462"/>
      <c r="K11" s="4461"/>
      <c r="L11" s="4461"/>
      <c r="M11" s="4461"/>
      <c r="N11" s="4461"/>
      <c r="O11" s="4461"/>
      <c r="P11" s="4461"/>
      <c r="Q11" s="4464" t="s">
        <v>326</v>
      </c>
      <c r="R11" s="4465"/>
    </row>
    <row r="12" spans="1:28" ht="16.5" customHeight="1" thickTop="1">
      <c r="A12" s="4466"/>
      <c r="B12" s="4467" t="s">
        <v>268</v>
      </c>
      <c r="C12" s="4468"/>
      <c r="D12" s="4469"/>
      <c r="E12" s="4469">
        <f>G12+F12+H12+I12+J12+K12</f>
        <v>35502523</v>
      </c>
      <c r="F12" s="4470">
        <f>'Tab. 6A -Drogi'!N157</f>
        <v>7467965</v>
      </c>
      <c r="G12" s="4470">
        <f>'Tab. 6A -Drogi'!M157</f>
        <v>27933609</v>
      </c>
      <c r="H12" s="4470">
        <f>'Tab. 6A -Drogi'!O157</f>
        <v>32489</v>
      </c>
      <c r="I12" s="4470">
        <f>'Tab. 6A -Drogi'!P157</f>
        <v>68460</v>
      </c>
      <c r="J12" s="4470">
        <f>'Tab. 6A -Drogi'!Q157</f>
        <v>0</v>
      </c>
      <c r="K12" s="4470">
        <f>'Tab. 6A -Drogi'!R157</f>
        <v>0</v>
      </c>
      <c r="L12" s="4470"/>
      <c r="M12" s="4470"/>
      <c r="N12" s="4470"/>
      <c r="O12" s="4470"/>
      <c r="P12" s="4470"/>
      <c r="Q12" s="4464"/>
      <c r="R12" s="4471"/>
    </row>
    <row r="13" spans="1:28" s="4317" customFormat="1" ht="19.5" customHeight="1">
      <c r="A13" s="4466"/>
      <c r="B13" s="4472" t="s">
        <v>269</v>
      </c>
      <c r="C13" s="4473"/>
      <c r="D13" s="4474"/>
      <c r="E13" s="4475">
        <f>G13+F13+H13+I13+J13+K13</f>
        <v>2517150</v>
      </c>
      <c r="F13" s="4476">
        <f>'Tab. 6A -Drogi'!N159</f>
        <v>622063</v>
      </c>
      <c r="G13" s="4476">
        <f>'Tab. 6A -Drogi'!M159</f>
        <v>1794138</v>
      </c>
      <c r="H13" s="4476">
        <f>'Tab. 6A -Drogi'!O159</f>
        <v>32489</v>
      </c>
      <c r="I13" s="4476">
        <f>'Tab. 6A -Drogi'!P159</f>
        <v>68460</v>
      </c>
      <c r="J13" s="4476">
        <f>'Tab. 6A -Drogi'!Q159</f>
        <v>0</v>
      </c>
      <c r="K13" s="4476">
        <f>'Tab. 6A -Drogi'!R159</f>
        <v>0</v>
      </c>
      <c r="L13" s="4476"/>
      <c r="M13" s="4476"/>
      <c r="N13" s="4476"/>
      <c r="O13" s="4476"/>
      <c r="P13" s="4476"/>
      <c r="Q13" s="4464"/>
      <c r="R13" s="4471"/>
      <c r="S13" s="4389"/>
      <c r="T13" s="4389"/>
      <c r="U13" s="4389"/>
      <c r="V13" s="4389"/>
      <c r="W13" s="4389"/>
      <c r="X13" s="4389"/>
      <c r="Y13" s="4389"/>
      <c r="Z13" s="4389"/>
      <c r="AA13" s="4389"/>
      <c r="AB13" s="4389"/>
    </row>
    <row r="14" spans="1:28" ht="13.5" thickBot="1">
      <c r="A14" s="4466"/>
      <c r="B14" s="4477" t="s">
        <v>270</v>
      </c>
      <c r="C14" s="4478"/>
      <c r="D14" s="4479"/>
      <c r="E14" s="4480">
        <f>G14+F14+H14+I14+J14+K14</f>
        <v>32985373</v>
      </c>
      <c r="F14" s="4481">
        <f>'Tab. 6A -Drogi'!N161</f>
        <v>6845902</v>
      </c>
      <c r="G14" s="4481">
        <f>'Tab. 6A -Drogi'!M161</f>
        <v>26139471</v>
      </c>
      <c r="H14" s="4481">
        <f>'Tab. 6A -Drogi'!O161</f>
        <v>0</v>
      </c>
      <c r="I14" s="4481">
        <f>'Tab. 6A -Drogi'!P161</f>
        <v>0</v>
      </c>
      <c r="J14" s="4481">
        <f>'Tab. 6A -Drogi'!Q161</f>
        <v>0</v>
      </c>
      <c r="K14" s="4481">
        <f>'Tab. 6A -Drogi'!R161</f>
        <v>0</v>
      </c>
      <c r="L14" s="4481"/>
      <c r="M14" s="4481"/>
      <c r="N14" s="4481"/>
      <c r="O14" s="4481"/>
      <c r="P14" s="4481"/>
      <c r="Q14" s="4482"/>
      <c r="R14" s="4483"/>
    </row>
    <row r="15" spans="1:28" ht="30.75" customHeight="1" thickBot="1">
      <c r="A15" s="4484" t="s">
        <v>80</v>
      </c>
      <c r="B15" s="4485" t="s">
        <v>271</v>
      </c>
      <c r="C15" s="4486" t="s">
        <v>272</v>
      </c>
      <c r="D15" s="4487">
        <f>E18/E16%</f>
        <v>82.742751527475946</v>
      </c>
      <c r="E15" s="4488"/>
      <c r="F15" s="4463"/>
      <c r="G15" s="4489"/>
      <c r="H15" s="4490"/>
      <c r="I15" s="4490"/>
      <c r="J15" s="4490"/>
      <c r="K15" s="4463"/>
      <c r="L15" s="4463"/>
      <c r="M15" s="4463"/>
      <c r="N15" s="4463"/>
      <c r="O15" s="4463"/>
      <c r="P15" s="4463"/>
      <c r="Q15" s="4491" t="s">
        <v>326</v>
      </c>
      <c r="R15" s="4491"/>
    </row>
    <row r="16" spans="1:28" ht="16.5" customHeight="1" thickTop="1">
      <c r="A16" s="4466"/>
      <c r="B16" s="4467" t="s">
        <v>268</v>
      </c>
      <c r="C16" s="4492"/>
      <c r="D16" s="4493"/>
      <c r="E16" s="4469">
        <f>G16+F16+H16+I16+J16+K16</f>
        <v>49097827</v>
      </c>
      <c r="F16" s="4470">
        <f>'Tab. 6A -Drogi'!N177</f>
        <v>20217946</v>
      </c>
      <c r="G16" s="4470">
        <f>'Tab. 6A -Drogi'!M177</f>
        <v>28794965</v>
      </c>
      <c r="H16" s="4470">
        <f>'Tab. 6A -Drogi'!O177</f>
        <v>14915</v>
      </c>
      <c r="I16" s="4470">
        <f>'Tab. 6A -Drogi'!P177</f>
        <v>70001</v>
      </c>
      <c r="J16" s="4470">
        <f>'Tab. 6A -Drogi'!Q177</f>
        <v>0</v>
      </c>
      <c r="K16" s="4470">
        <f>'Tab. 6A -Drogi'!R177</f>
        <v>0</v>
      </c>
      <c r="L16" s="4470"/>
      <c r="M16" s="4470"/>
      <c r="N16" s="4470"/>
      <c r="O16" s="4470"/>
      <c r="P16" s="4470"/>
      <c r="Q16" s="4464"/>
      <c r="R16" s="4464"/>
    </row>
    <row r="17" spans="1:28" ht="16.5" customHeight="1">
      <c r="A17" s="4466"/>
      <c r="B17" s="4472" t="s">
        <v>269</v>
      </c>
      <c r="C17" s="4494"/>
      <c r="D17" s="4495"/>
      <c r="E17" s="4475">
        <f>G17+F17+H17+I17+J17+K17</f>
        <v>6472934</v>
      </c>
      <c r="F17" s="4496">
        <f>'Tab. 6A -Drogi'!N179</f>
        <v>2687357</v>
      </c>
      <c r="G17" s="4496">
        <f>'Tab. 6A -Drogi'!M179</f>
        <v>3700661</v>
      </c>
      <c r="H17" s="4496">
        <f>'Tab. 6A -Drogi'!O179</f>
        <v>14915</v>
      </c>
      <c r="I17" s="4496">
        <f>'Tab. 6A -Drogi'!P179</f>
        <v>70001</v>
      </c>
      <c r="J17" s="4496">
        <f>'Tab. 6A -Drogi'!Q179</f>
        <v>0</v>
      </c>
      <c r="K17" s="4496">
        <f>'Tab. 6A -Drogi'!R179</f>
        <v>0</v>
      </c>
      <c r="L17" s="4496"/>
      <c r="M17" s="4496"/>
      <c r="N17" s="4496"/>
      <c r="O17" s="4496"/>
      <c r="P17" s="4496"/>
      <c r="Q17" s="4464"/>
      <c r="R17" s="4464"/>
    </row>
    <row r="18" spans="1:28" ht="16.5" customHeight="1" thickBot="1">
      <c r="A18" s="4497"/>
      <c r="B18" s="4477" t="s">
        <v>270</v>
      </c>
      <c r="C18" s="4498"/>
      <c r="D18" s="4499"/>
      <c r="E18" s="4500">
        <f>G18+F18+H18+I18+J18+K18</f>
        <v>40624893</v>
      </c>
      <c r="F18" s="4501">
        <f>'Tab. 6A -Drogi'!N182</f>
        <v>16530589</v>
      </c>
      <c r="G18" s="4501">
        <f>'Tab. 6A -Drogi'!M182</f>
        <v>24094304</v>
      </c>
      <c r="H18" s="4501">
        <f>'Tab. 6A -Drogi'!O182</f>
        <v>0</v>
      </c>
      <c r="I18" s="4501">
        <f>'Tab. 6A -Drogi'!P182</f>
        <v>0</v>
      </c>
      <c r="J18" s="4501">
        <f>'Tab. 6A -Drogi'!Q182</f>
        <v>0</v>
      </c>
      <c r="K18" s="4501">
        <f>'Tab. 6A -Drogi'!R182</f>
        <v>0</v>
      </c>
      <c r="L18" s="4501"/>
      <c r="M18" s="4501"/>
      <c r="N18" s="4501"/>
      <c r="O18" s="4501"/>
      <c r="P18" s="4501"/>
      <c r="Q18" s="4482"/>
      <c r="R18" s="4482"/>
    </row>
    <row r="19" spans="1:28" ht="28.5" customHeight="1" thickBot="1">
      <c r="A19" s="4484" t="s">
        <v>81</v>
      </c>
      <c r="B19" s="4485" t="s">
        <v>273</v>
      </c>
      <c r="C19" s="4502" t="s">
        <v>274</v>
      </c>
      <c r="D19" s="4459">
        <f>E22/E20%</f>
        <v>69.285209240584336</v>
      </c>
      <c r="E19" s="4460"/>
      <c r="F19" s="4461"/>
      <c r="G19" s="4460"/>
      <c r="H19" s="4462"/>
      <c r="I19" s="4462"/>
      <c r="J19" s="4462"/>
      <c r="K19" s="4461"/>
      <c r="L19" s="4461"/>
      <c r="M19" s="4461"/>
      <c r="N19" s="4461"/>
      <c r="O19" s="4461"/>
      <c r="P19" s="4461"/>
      <c r="Q19" s="4491" t="s">
        <v>326</v>
      </c>
      <c r="R19" s="4503"/>
    </row>
    <row r="20" spans="1:28" ht="16.5" customHeight="1" thickTop="1">
      <c r="A20" s="4466"/>
      <c r="B20" s="4504" t="s">
        <v>268</v>
      </c>
      <c r="C20" s="4505"/>
      <c r="D20" s="4506"/>
      <c r="E20" s="4507">
        <f>G20+F20+H20+I20+J20+K20</f>
        <v>14765300</v>
      </c>
      <c r="F20" s="4508">
        <f>'Tab. 6A -Drogi'!N168</f>
        <v>2281547</v>
      </c>
      <c r="G20" s="4508">
        <f>'Tab. 6A -Drogi'!M168</f>
        <v>12403753</v>
      </c>
      <c r="H20" s="4508">
        <f>'Tab. 6A -Drogi'!O168</f>
        <v>0</v>
      </c>
      <c r="I20" s="4508">
        <f>'Tab. 6A -Drogi'!P168</f>
        <v>80000</v>
      </c>
      <c r="J20" s="4508">
        <f>'Tab. 6A -Drogi'!Q168</f>
        <v>0</v>
      </c>
      <c r="K20" s="4508">
        <f>'Tab. 6A -Drogi'!R168</f>
        <v>0</v>
      </c>
      <c r="L20" s="4508"/>
      <c r="M20" s="4508"/>
      <c r="N20" s="4508"/>
      <c r="O20" s="4508"/>
      <c r="P20" s="4508"/>
      <c r="Q20" s="4464"/>
      <c r="R20" s="4509"/>
    </row>
    <row r="21" spans="1:28" s="4317" customFormat="1" ht="16.5" customHeight="1">
      <c r="A21" s="4466"/>
      <c r="B21" s="4472" t="s">
        <v>269</v>
      </c>
      <c r="C21" s="4510"/>
      <c r="D21" s="4495"/>
      <c r="E21" s="4475">
        <f>G21+F21+H21+I21+J21+K21</f>
        <v>4535131</v>
      </c>
      <c r="F21" s="4476">
        <f>'Tab. 6A -Drogi'!N170</f>
        <v>1951601</v>
      </c>
      <c r="G21" s="4476">
        <f>'Tab. 6A -Drogi'!M170</f>
        <v>2503530</v>
      </c>
      <c r="H21" s="4476">
        <f>'Tab. 6A -Drogi'!O170</f>
        <v>0</v>
      </c>
      <c r="I21" s="4476">
        <f>'Tab. 6A -Drogi'!P170</f>
        <v>80000</v>
      </c>
      <c r="J21" s="4476">
        <f>'Tab. 6A -Drogi'!Q170</f>
        <v>0</v>
      </c>
      <c r="K21" s="4476">
        <f>'Tab. 6A -Drogi'!R170</f>
        <v>0</v>
      </c>
      <c r="L21" s="4476"/>
      <c r="M21" s="4476"/>
      <c r="N21" s="4476"/>
      <c r="O21" s="4476"/>
      <c r="P21" s="4476"/>
      <c r="Q21" s="4464"/>
      <c r="R21" s="4509"/>
      <c r="S21" s="4389"/>
      <c r="T21" s="4389"/>
      <c r="U21" s="4389"/>
      <c r="V21" s="4389"/>
      <c r="W21" s="4389"/>
      <c r="X21" s="4389"/>
      <c r="Y21" s="4389"/>
      <c r="Z21" s="4389"/>
      <c r="AA21" s="4389"/>
      <c r="AB21" s="4389"/>
    </row>
    <row r="22" spans="1:28" ht="13.5" customHeight="1" thickBot="1">
      <c r="A22" s="4497"/>
      <c r="B22" s="4511" t="s">
        <v>270</v>
      </c>
      <c r="C22" s="4512"/>
      <c r="D22" s="4499"/>
      <c r="E22" s="4500">
        <f>G22+F22+H22+I22+J22+K22</f>
        <v>10230169</v>
      </c>
      <c r="F22" s="4501">
        <f>'Tab. 6A -Drogi'!N172</f>
        <v>329946</v>
      </c>
      <c r="G22" s="4501">
        <f>'Tab. 6A -Drogi'!M172</f>
        <v>9900223</v>
      </c>
      <c r="H22" s="4501">
        <f>'Tab. 6A -Drogi'!O172</f>
        <v>0</v>
      </c>
      <c r="I22" s="4501">
        <f>'Tab. 6A -Drogi'!P172</f>
        <v>0</v>
      </c>
      <c r="J22" s="4501">
        <f>'Tab. 6A -Drogi'!Q172</f>
        <v>0</v>
      </c>
      <c r="K22" s="4501">
        <f>'Tab. 6A -Drogi'!R172</f>
        <v>0</v>
      </c>
      <c r="L22" s="4501"/>
      <c r="M22" s="4501"/>
      <c r="N22" s="4501"/>
      <c r="O22" s="4501"/>
      <c r="P22" s="4501"/>
      <c r="Q22" s="4482"/>
      <c r="R22" s="4513"/>
    </row>
    <row r="23" spans="1:28" ht="45" customHeight="1" thickBot="1">
      <c r="A23" s="4484" t="s">
        <v>82</v>
      </c>
      <c r="B23" s="4514" t="s">
        <v>113</v>
      </c>
      <c r="C23" s="4515" t="s">
        <v>325</v>
      </c>
      <c r="D23" s="4459">
        <f>E26/E24%</f>
        <v>94.885426498797727</v>
      </c>
      <c r="E23" s="4460"/>
      <c r="F23" s="4461"/>
      <c r="G23" s="4460"/>
      <c r="H23" s="4462"/>
      <c r="I23" s="4462"/>
      <c r="J23" s="4462"/>
      <c r="K23" s="4461"/>
      <c r="L23" s="4461"/>
      <c r="M23" s="4461"/>
      <c r="N23" s="4461"/>
      <c r="O23" s="4461"/>
      <c r="P23" s="4461"/>
      <c r="Q23" s="4491" t="s">
        <v>326</v>
      </c>
      <c r="R23" s="4503"/>
    </row>
    <row r="24" spans="1:28" ht="15.75" customHeight="1" thickTop="1">
      <c r="A24" s="4466"/>
      <c r="B24" s="4504" t="s">
        <v>268</v>
      </c>
      <c r="C24" s="4505"/>
      <c r="D24" s="4506"/>
      <c r="E24" s="4507">
        <f>G24+F24+H24+I24+J24+K24</f>
        <v>49776213</v>
      </c>
      <c r="F24" s="4508">
        <f>'Tab. 6A -Drogi'!N189</f>
        <v>5571486</v>
      </c>
      <c r="G24" s="4508">
        <f>'Tab. 6A -Drogi'!M189</f>
        <v>6211821</v>
      </c>
      <c r="H24" s="4508">
        <f>'Tab. 6A -Drogi'!O189</f>
        <v>37942906</v>
      </c>
      <c r="I24" s="4508">
        <f>'Tab. 6A -Drogi'!P189</f>
        <v>50000</v>
      </c>
      <c r="J24" s="4508">
        <f>'Tab. 6A -Drogi'!Q189</f>
        <v>0</v>
      </c>
      <c r="K24" s="4508">
        <f>'Tab. 6A -Drogi'!R189</f>
        <v>0</v>
      </c>
      <c r="L24" s="4508"/>
      <c r="M24" s="4508"/>
      <c r="N24" s="4508"/>
      <c r="O24" s="4508"/>
      <c r="P24" s="4508"/>
      <c r="Q24" s="4464"/>
      <c r="R24" s="4509"/>
    </row>
    <row r="25" spans="1:28" ht="15" customHeight="1">
      <c r="A25" s="4466"/>
      <c r="B25" s="4472" t="s">
        <v>269</v>
      </c>
      <c r="C25" s="4510"/>
      <c r="D25" s="4495"/>
      <c r="E25" s="4475">
        <f>G25+F25+H25+I25+J25+K25</f>
        <v>2545841</v>
      </c>
      <c r="F25" s="4476">
        <f>'Tab. 6A -Drogi'!N191</f>
        <v>55472</v>
      </c>
      <c r="G25" s="4476">
        <f>'Tab. 6A -Drogi'!M191</f>
        <v>111462</v>
      </c>
      <c r="H25" s="4476">
        <f>'Tab. 6A -Drogi'!O191</f>
        <v>2328907</v>
      </c>
      <c r="I25" s="4476">
        <f>'Tab. 6A -Drogi'!P191</f>
        <v>50000</v>
      </c>
      <c r="J25" s="4476">
        <f>'Tab. 6A -Drogi'!Q191</f>
        <v>0</v>
      </c>
      <c r="K25" s="4476">
        <f>'Tab. 6A -Drogi'!R191</f>
        <v>0</v>
      </c>
      <c r="L25" s="4476"/>
      <c r="M25" s="4476"/>
      <c r="N25" s="4476"/>
      <c r="O25" s="4476"/>
      <c r="P25" s="4476"/>
      <c r="Q25" s="4464"/>
      <c r="R25" s="4509"/>
    </row>
    <row r="26" spans="1:28" ht="13.5" customHeight="1" thickBot="1">
      <c r="A26" s="4497"/>
      <c r="B26" s="4511" t="s">
        <v>270</v>
      </c>
      <c r="C26" s="4512"/>
      <c r="D26" s="4499"/>
      <c r="E26" s="4500">
        <f>G26+F26+H26+I26+J26+K26</f>
        <v>47230372</v>
      </c>
      <c r="F26" s="4501">
        <f>'Tab. 6A -Drogi'!N193</f>
        <v>5516014</v>
      </c>
      <c r="G26" s="4501">
        <f>'Tab. 6A -Drogi'!M193</f>
        <v>6100359</v>
      </c>
      <c r="H26" s="4501">
        <f>'Tab. 6A -Drogi'!O193</f>
        <v>35613999</v>
      </c>
      <c r="I26" s="4501">
        <f>'Tab. 6A -Drogi'!P193</f>
        <v>0</v>
      </c>
      <c r="J26" s="4501">
        <f>'Tab. 6A -Drogi'!Q193</f>
        <v>0</v>
      </c>
      <c r="K26" s="4501">
        <f>'Tab. 6A -Drogi'!R193</f>
        <v>0</v>
      </c>
      <c r="L26" s="4501"/>
      <c r="M26" s="4501"/>
      <c r="N26" s="4501"/>
      <c r="O26" s="4501"/>
      <c r="P26" s="4501"/>
      <c r="Q26" s="4482"/>
      <c r="R26" s="4513"/>
    </row>
    <row r="27" spans="1:28" ht="41.25" customHeight="1">
      <c r="A27" s="4516" t="s">
        <v>83</v>
      </c>
      <c r="B27" s="4517" t="str">
        <f>'Tab. 6A -Drogi'!B339</f>
        <v>Zakup i modernizacja kolejowego taboru pasażerskiego o napędzie elektrycznym w ramach Osi V RPO (2014-2016)</v>
      </c>
      <c r="C27" s="4518" t="s">
        <v>609</v>
      </c>
      <c r="D27" s="4519">
        <f>E30/E28%</f>
        <v>100</v>
      </c>
      <c r="E27" s="4520"/>
      <c r="F27" s="4521"/>
      <c r="G27" s="4520"/>
      <c r="H27" s="4522"/>
      <c r="I27" s="4522"/>
      <c r="J27" s="4522"/>
      <c r="K27" s="4521"/>
      <c r="L27" s="4521"/>
      <c r="M27" s="4521"/>
      <c r="N27" s="4521"/>
      <c r="O27" s="4521"/>
      <c r="P27" s="4521"/>
      <c r="Q27" s="4491" t="s">
        <v>569</v>
      </c>
      <c r="R27" s="4523"/>
    </row>
    <row r="28" spans="1:28" ht="14.25" customHeight="1">
      <c r="A28" s="4524"/>
      <c r="B28" s="4525" t="s">
        <v>268</v>
      </c>
      <c r="C28" s="4505"/>
      <c r="D28" s="4506"/>
      <c r="E28" s="4507">
        <f>G28+F28+H28+I28+J28+K28+L28+M28</f>
        <v>36435000</v>
      </c>
      <c r="F28" s="4508">
        <f>'Tab. 6A -Drogi'!M340</f>
        <v>5000000</v>
      </c>
      <c r="G28" s="4508"/>
      <c r="H28" s="4508">
        <f>'Tab. 6A -Drogi'!O340</f>
        <v>0</v>
      </c>
      <c r="I28" s="4508">
        <f>'Tab. 6A -Drogi'!P340</f>
        <v>31435000</v>
      </c>
      <c r="J28" s="4508">
        <f>'Tab. 6A -Drogi'!Q340</f>
        <v>0</v>
      </c>
      <c r="K28" s="4508">
        <f>'Tab. 6A -Drogi'!R340</f>
        <v>0</v>
      </c>
      <c r="L28" s="4508">
        <f>'Tab. 6A -Drogi'!S340</f>
        <v>0</v>
      </c>
      <c r="M28" s="4508">
        <f>'Tab. 6A -Drogi'!T340</f>
        <v>0</v>
      </c>
      <c r="N28" s="4508"/>
      <c r="O28" s="4508"/>
      <c r="P28" s="4508"/>
      <c r="Q28" s="4464"/>
      <c r="R28" s="4523"/>
    </row>
    <row r="29" spans="1:28" ht="13.5" customHeight="1">
      <c r="A29" s="4524"/>
      <c r="B29" s="4526" t="s">
        <v>568</v>
      </c>
      <c r="C29" s="4527"/>
      <c r="D29" s="4528"/>
      <c r="E29" s="4529">
        <f>G29+F29+H29+I29+J29+K29+L29+M29</f>
        <v>0</v>
      </c>
      <c r="F29" s="4476"/>
      <c r="G29" s="4476"/>
      <c r="H29" s="4476"/>
      <c r="I29" s="4476"/>
      <c r="J29" s="4476"/>
      <c r="K29" s="4476"/>
      <c r="L29" s="4476"/>
      <c r="M29" s="4476"/>
      <c r="N29" s="4476"/>
      <c r="O29" s="4476"/>
      <c r="P29" s="4476"/>
      <c r="Q29" s="4464"/>
      <c r="R29" s="4523"/>
    </row>
    <row r="30" spans="1:28" ht="13.5" customHeight="1" thickBot="1">
      <c r="A30" s="4524"/>
      <c r="B30" s="4530" t="s">
        <v>270</v>
      </c>
      <c r="C30" s="4531"/>
      <c r="D30" s="4499"/>
      <c r="E30" s="4500">
        <f>G30+F30+H30+I30+J30+K30</f>
        <v>36435000</v>
      </c>
      <c r="F30" s="4532">
        <f>'Tab. 6A -Drogi'!M345</f>
        <v>5000000</v>
      </c>
      <c r="G30" s="4532"/>
      <c r="H30" s="4532">
        <f>'Tab. 6A -Drogi'!O345</f>
        <v>0</v>
      </c>
      <c r="I30" s="4532">
        <f>'Tab. 6A -Drogi'!P345</f>
        <v>31435000</v>
      </c>
      <c r="J30" s="4532">
        <f>'Tab. 6A -Drogi'!Q345</f>
        <v>0</v>
      </c>
      <c r="K30" s="4532">
        <f>'Tab. 6A -Drogi'!R345</f>
        <v>0</v>
      </c>
      <c r="L30" s="4532">
        <f>'Tab. 6A -Drogi'!S345</f>
        <v>0</v>
      </c>
      <c r="M30" s="4532">
        <f>'Tab. 6A -Drogi'!T345</f>
        <v>0</v>
      </c>
      <c r="N30" s="4532"/>
      <c r="O30" s="4532"/>
      <c r="P30" s="4532"/>
      <c r="Q30" s="4464"/>
      <c r="R30" s="4523"/>
    </row>
    <row r="31" spans="1:28" ht="18" customHeight="1" thickBot="1">
      <c r="A31" s="4533"/>
      <c r="B31" s="4534" t="s">
        <v>563</v>
      </c>
      <c r="C31" s="4535"/>
      <c r="D31" s="4536"/>
      <c r="E31" s="4537">
        <f>F31+H31+I31+J31+K31+L31+M31</f>
        <v>36435000</v>
      </c>
      <c r="F31" s="4538">
        <f>'Tab. 6A -Drogi'!M349</f>
        <v>0</v>
      </c>
      <c r="G31" s="4538">
        <f>'Tab. 6A -Drogi'!N349</f>
        <v>0</v>
      </c>
      <c r="H31" s="4538">
        <f>'Tab. 6A -Drogi'!O349</f>
        <v>0</v>
      </c>
      <c r="I31" s="4538">
        <f>'Tab. 6A -Drogi'!P349</f>
        <v>36435000</v>
      </c>
      <c r="J31" s="4538">
        <f>'Tab. 6A -Drogi'!Q349</f>
        <v>0</v>
      </c>
      <c r="K31" s="4538">
        <f>'Tab. 6A -Drogi'!R349</f>
        <v>0</v>
      </c>
      <c r="L31" s="4538">
        <f>'Tab. 6A -Drogi'!S349</f>
        <v>0</v>
      </c>
      <c r="M31" s="4538">
        <f>'Tab. 6A -Drogi'!T349</f>
        <v>0</v>
      </c>
      <c r="N31" s="4538"/>
      <c r="O31" s="4538"/>
      <c r="P31" s="4538"/>
      <c r="Q31" s="4482"/>
      <c r="R31" s="4523"/>
    </row>
    <row r="32" spans="1:28" ht="51.75" customHeight="1">
      <c r="A32" s="4516" t="s">
        <v>138</v>
      </c>
      <c r="B32" s="4517" t="str">
        <f>'Tab. 6A -Drogi'!B487</f>
        <v>Zakup pasażerskiego taboru kolejowego do obsługi połączeń międzywojewódzkich przez Województwa: Lubuskie i Zachodniopomorskie w ramach PO Infrastruktura i Środowisko (2013-2015)</v>
      </c>
      <c r="C32" s="4518" t="s">
        <v>608</v>
      </c>
      <c r="D32" s="4519">
        <f>E35/E33%</f>
        <v>84.450769230769225</v>
      </c>
      <c r="E32" s="4520"/>
      <c r="F32" s="4521"/>
      <c r="G32" s="4520"/>
      <c r="H32" s="4522"/>
      <c r="I32" s="4522"/>
      <c r="J32" s="4522"/>
      <c r="K32" s="4521"/>
      <c r="L32" s="4521"/>
      <c r="M32" s="4521"/>
      <c r="N32" s="4521"/>
      <c r="O32" s="4521"/>
      <c r="P32" s="4521"/>
      <c r="Q32" s="4491" t="s">
        <v>569</v>
      </c>
      <c r="R32" s="4523"/>
    </row>
    <row r="33" spans="1:18" ht="14.25" customHeight="1">
      <c r="A33" s="4524"/>
      <c r="B33" s="4525" t="s">
        <v>268</v>
      </c>
      <c r="C33" s="4505"/>
      <c r="D33" s="4506"/>
      <c r="E33" s="4507">
        <f>G33+F33+H33+I33+J33+K33+L33+M33</f>
        <v>226200000</v>
      </c>
      <c r="F33" s="4508">
        <f>'Tab. 6A -Drogi'!M488</f>
        <v>156600000</v>
      </c>
      <c r="G33" s="4508"/>
      <c r="H33" s="4508">
        <f>'Tab. 6A -Drogi'!O488</f>
        <v>69600000</v>
      </c>
      <c r="I33" s="4508">
        <f>'Tab. 6A -Drogi'!P488</f>
        <v>0</v>
      </c>
      <c r="J33" s="4508">
        <f>'Tab. 6A -Drogi'!Q488</f>
        <v>0</v>
      </c>
      <c r="K33" s="4508">
        <f>'Tab. 6A -Drogi'!R488</f>
        <v>0</v>
      </c>
      <c r="L33" s="4508"/>
      <c r="M33" s="4508"/>
      <c r="N33" s="4508"/>
      <c r="O33" s="4508"/>
      <c r="P33" s="4508"/>
      <c r="Q33" s="4464"/>
      <c r="R33" s="4523"/>
    </row>
    <row r="34" spans="1:18" ht="13.5" customHeight="1">
      <c r="A34" s="4524"/>
      <c r="B34" s="4526" t="s">
        <v>607</v>
      </c>
      <c r="C34" s="4527"/>
      <c r="D34" s="4528"/>
      <c r="E34" s="4529">
        <f>G34+F34+H34+I34+J34+K34+L34+M34</f>
        <v>35172360</v>
      </c>
      <c r="F34" s="4476">
        <f>'Tab. 6A -Drogi'!M489</f>
        <v>24732360</v>
      </c>
      <c r="G34" s="4476"/>
      <c r="H34" s="4476">
        <f>'Tab. 6A -Drogi'!O489</f>
        <v>10440000</v>
      </c>
      <c r="I34" s="4476">
        <f>'Tab. 6A -Drogi'!P489</f>
        <v>0</v>
      </c>
      <c r="J34" s="4476">
        <f>'Tab. 6A -Drogi'!Q489</f>
        <v>0</v>
      </c>
      <c r="K34" s="4476">
        <f>'Tab. 6A -Drogi'!R489</f>
        <v>0</v>
      </c>
      <c r="L34" s="4476"/>
      <c r="M34" s="4476"/>
      <c r="N34" s="4476"/>
      <c r="O34" s="4476"/>
      <c r="P34" s="4476"/>
      <c r="Q34" s="4464"/>
      <c r="R34" s="4523"/>
    </row>
    <row r="35" spans="1:18" ht="13.5" customHeight="1" thickBot="1">
      <c r="A35" s="4524"/>
      <c r="B35" s="4530" t="s">
        <v>270</v>
      </c>
      <c r="C35" s="4531"/>
      <c r="D35" s="4499"/>
      <c r="E35" s="4500">
        <f>G35+F35+H35+I35+J35+K35</f>
        <v>191027640</v>
      </c>
      <c r="F35" s="4532">
        <f>'Tab. 6A -Drogi'!M493</f>
        <v>131867640</v>
      </c>
      <c r="G35" s="4532"/>
      <c r="H35" s="4532">
        <f>'Tab. 6A -Drogi'!O493</f>
        <v>59160000</v>
      </c>
      <c r="I35" s="4532">
        <f>'Tab. 6A -Drogi'!P493</f>
        <v>0</v>
      </c>
      <c r="J35" s="4532">
        <f>'Tab. 6A -Drogi'!Q493</f>
        <v>0</v>
      </c>
      <c r="K35" s="4532">
        <f>'Tab. 6A -Drogi'!R493</f>
        <v>0</v>
      </c>
      <c r="L35" s="4532"/>
      <c r="M35" s="4532"/>
      <c r="N35" s="4532"/>
      <c r="O35" s="4532"/>
      <c r="P35" s="4532"/>
      <c r="Q35" s="4464"/>
      <c r="R35" s="4523"/>
    </row>
    <row r="36" spans="1:18" ht="18" customHeight="1" thickBot="1">
      <c r="A36" s="4533"/>
      <c r="B36" s="4534" t="s">
        <v>563</v>
      </c>
      <c r="C36" s="4535"/>
      <c r="D36" s="4536"/>
      <c r="E36" s="4537">
        <f>F36+H36+I36+J36+K36+L36+M36</f>
        <v>191027640</v>
      </c>
      <c r="F36" s="4538">
        <f>'Tab. 6A -Drogi'!M501</f>
        <v>108596880</v>
      </c>
      <c r="G36" s="4538"/>
      <c r="H36" s="4538">
        <f>'Tab. 6A -Drogi'!O501</f>
        <v>57273840</v>
      </c>
      <c r="I36" s="4538">
        <f>'Tab. 6A -Drogi'!P501</f>
        <v>25156920</v>
      </c>
      <c r="J36" s="4538">
        <f>'Tab. 6A -Drogi'!Q501</f>
        <v>0</v>
      </c>
      <c r="K36" s="4538">
        <f>'Tab. 6A -Drogi'!R501</f>
        <v>0</v>
      </c>
      <c r="L36" s="4538"/>
      <c r="M36" s="4538"/>
      <c r="N36" s="4538"/>
      <c r="O36" s="4538"/>
      <c r="P36" s="4538"/>
      <c r="Q36" s="4482"/>
      <c r="R36" s="4523"/>
    </row>
    <row r="37" spans="1:18" ht="60.75" customHeight="1">
      <c r="A37" s="4516" t="s">
        <v>105</v>
      </c>
      <c r="B37" s="4517" t="str">
        <f>'Tab. 6B Polit społ i rozwój prz'!B160</f>
        <v>Oś Priorytetowa VI, Pomoc Techniczna w ramach  PO WER 2014-2020 - wydatki majątkowe (2015-2018)</v>
      </c>
      <c r="C37" s="4539" t="s">
        <v>611</v>
      </c>
      <c r="D37" s="4519">
        <f>E40/E38%</f>
        <v>84.279411035645225</v>
      </c>
      <c r="E37" s="4520"/>
      <c r="F37" s="4521"/>
      <c r="G37" s="4520"/>
      <c r="H37" s="4522"/>
      <c r="I37" s="4522"/>
      <c r="J37" s="4522"/>
      <c r="K37" s="4521"/>
      <c r="L37" s="4521"/>
      <c r="M37" s="4521"/>
      <c r="N37" s="4521"/>
      <c r="O37" s="4521"/>
      <c r="P37" s="4521"/>
      <c r="Q37" s="4491" t="s">
        <v>572</v>
      </c>
      <c r="R37" s="4523"/>
    </row>
    <row r="38" spans="1:18" ht="13.5" customHeight="1">
      <c r="A38" s="4524"/>
      <c r="B38" s="4525" t="s">
        <v>268</v>
      </c>
      <c r="C38" s="4505"/>
      <c r="D38" s="4506"/>
      <c r="E38" s="4507">
        <f>G38+F38+H38+I38+J38+K38+L38+M38</f>
        <v>20171</v>
      </c>
      <c r="F38" s="4508">
        <f>'Tab. 6B Polit społ i rozwój prz'!M161</f>
        <v>0</v>
      </c>
      <c r="G38" s="4508">
        <f>'Tab. 6B Polit społ i rozwój prz'!N161</f>
        <v>0</v>
      </c>
      <c r="H38" s="4508">
        <f>'Tab. 6B Polit społ i rozwój prz'!O161</f>
        <v>0</v>
      </c>
      <c r="I38" s="4508">
        <f>'Tab. 6B Polit społ i rozwój prz'!P161</f>
        <v>20171</v>
      </c>
      <c r="J38" s="4508">
        <f>'Tab. 6B Polit społ i rozwój prz'!Q161</f>
        <v>0</v>
      </c>
      <c r="K38" s="4508">
        <f>'Tab. 6B Polit społ i rozwój prz'!R161</f>
        <v>0</v>
      </c>
      <c r="L38" s="4508">
        <f>'Tab. 6B Polit społ i rozwój prz'!S161</f>
        <v>0</v>
      </c>
      <c r="M38" s="4508">
        <f>'Tab. 6B Polit społ i rozwój prz'!T161</f>
        <v>0</v>
      </c>
      <c r="N38" s="4508"/>
      <c r="O38" s="4508"/>
      <c r="P38" s="4508"/>
      <c r="Q38" s="4464"/>
      <c r="R38" s="4523"/>
    </row>
    <row r="39" spans="1:18" ht="15.75" customHeight="1">
      <c r="A39" s="4524"/>
      <c r="B39" s="4526" t="s">
        <v>568</v>
      </c>
      <c r="C39" s="4527"/>
      <c r="D39" s="4528"/>
      <c r="E39" s="4529">
        <f>G39+F39+H39+I39+J39+K39+L39+M39</f>
        <v>3171</v>
      </c>
      <c r="F39" s="4476">
        <f>'Tab. 6B Polit społ i rozwój prz'!M162</f>
        <v>0</v>
      </c>
      <c r="G39" s="4476">
        <f>'Tab. 6B Polit społ i rozwój prz'!N162</f>
        <v>0</v>
      </c>
      <c r="H39" s="4476">
        <f>'Tab. 6B Polit społ i rozwój prz'!O162</f>
        <v>0</v>
      </c>
      <c r="I39" s="4476">
        <f>'Tab. 6B Polit społ i rozwój prz'!P162</f>
        <v>3171</v>
      </c>
      <c r="J39" s="4476">
        <f>'Tab. 6B Polit społ i rozwój prz'!Q162</f>
        <v>0</v>
      </c>
      <c r="K39" s="4476">
        <f>'Tab. 6B Polit społ i rozwój prz'!R162</f>
        <v>0</v>
      </c>
      <c r="L39" s="4476">
        <f>'Tab. 6B Polit społ i rozwój prz'!S162</f>
        <v>0</v>
      </c>
      <c r="M39" s="4476">
        <f>'Tab. 6B Polit społ i rozwój prz'!T162</f>
        <v>0</v>
      </c>
      <c r="N39" s="4476"/>
      <c r="O39" s="4476"/>
      <c r="P39" s="4476"/>
      <c r="Q39" s="4464"/>
      <c r="R39" s="4523"/>
    </row>
    <row r="40" spans="1:18" ht="15.75" customHeight="1" thickBot="1">
      <c r="A40" s="4524"/>
      <c r="B40" s="4530" t="s">
        <v>270</v>
      </c>
      <c r="C40" s="4531"/>
      <c r="D40" s="4499"/>
      <c r="E40" s="4500">
        <f>G40+F40+H40+I40+J40+K40</f>
        <v>17000</v>
      </c>
      <c r="F40" s="4532">
        <f>'Tab. 6B Polit społ i rozwój prz'!M165</f>
        <v>0</v>
      </c>
      <c r="G40" s="4532">
        <f>'Tab. 6B Polit społ i rozwój prz'!N165</f>
        <v>0</v>
      </c>
      <c r="H40" s="4532">
        <f>'Tab. 6B Polit społ i rozwój prz'!O165</f>
        <v>0</v>
      </c>
      <c r="I40" s="4532">
        <f>'Tab. 6B Polit społ i rozwój prz'!P165</f>
        <v>17000</v>
      </c>
      <c r="J40" s="4532">
        <f>'Tab. 6B Polit społ i rozwój prz'!Q165</f>
        <v>0</v>
      </c>
      <c r="K40" s="4532">
        <f>'Tab. 6B Polit społ i rozwój prz'!R165</f>
        <v>0</v>
      </c>
      <c r="L40" s="4532">
        <f>'Tab. 6B Polit społ i rozwój prz'!S165</f>
        <v>0</v>
      </c>
      <c r="M40" s="4532">
        <f>'Tab. 6B Polit społ i rozwój prz'!T165</f>
        <v>0</v>
      </c>
      <c r="N40" s="4532"/>
      <c r="O40" s="4532"/>
      <c r="P40" s="4532"/>
      <c r="Q40" s="4464"/>
      <c r="R40" s="4523"/>
    </row>
    <row r="41" spans="1:18" ht="13.5" customHeight="1" thickBot="1">
      <c r="A41" s="4533"/>
      <c r="B41" s="4534" t="s">
        <v>563</v>
      </c>
      <c r="C41" s="4535"/>
      <c r="D41" s="4536"/>
      <c r="E41" s="4537">
        <f>F41+H41+I41+J41+K41+L41+M41</f>
        <v>17000</v>
      </c>
      <c r="F41" s="4538">
        <f>'Tab. 6B Polit społ i rozwój prz'!M170</f>
        <v>0</v>
      </c>
      <c r="G41" s="4538">
        <f>'Tab. 6B Polit społ i rozwój prz'!N170</f>
        <v>0</v>
      </c>
      <c r="H41" s="4538">
        <f>'Tab. 6B Polit społ i rozwój prz'!O170</f>
        <v>0</v>
      </c>
      <c r="I41" s="4538">
        <f>'Tab. 6B Polit społ i rozwój prz'!P170</f>
        <v>17000</v>
      </c>
      <c r="J41" s="4538">
        <f>'Tab. 6B Polit społ i rozwój prz'!Q170</f>
        <v>0</v>
      </c>
      <c r="K41" s="4538">
        <f>'Tab. 6B Polit społ i rozwój prz'!R170</f>
        <v>0</v>
      </c>
      <c r="L41" s="4538">
        <f>'Tab. 6B Polit społ i rozwój prz'!S170</f>
        <v>0</v>
      </c>
      <c r="M41" s="4538">
        <f>'Tab. 6B Polit społ i rozwój prz'!T170</f>
        <v>0</v>
      </c>
      <c r="N41" s="4540"/>
      <c r="O41" s="4540"/>
      <c r="P41" s="4540"/>
      <c r="Q41" s="4482"/>
      <c r="R41" s="4523"/>
    </row>
    <row r="42" spans="1:18" ht="63.75" customHeight="1">
      <c r="A42" s="4516" t="s">
        <v>106</v>
      </c>
      <c r="B42" s="4517" t="str">
        <f>'Tab. 6E - Administracja'!B60</f>
        <v>Sieć Punktów Informacyjnych Funduszy Europejskich (PIFE) w Województwie Zachodniopomorskim w ramach PO Pomoc Techniczna - zakupy inwestycyjne  (2015-2020)</v>
      </c>
      <c r="C42" s="4539" t="s">
        <v>625</v>
      </c>
      <c r="D42" s="4519">
        <f>E45/E43%</f>
        <v>84.999211315000792</v>
      </c>
      <c r="E42" s="4520"/>
      <c r="F42" s="4521"/>
      <c r="G42" s="4520"/>
      <c r="H42" s="4522"/>
      <c r="I42" s="4522"/>
      <c r="J42" s="4522"/>
      <c r="K42" s="4521"/>
      <c r="L42" s="4521"/>
      <c r="M42" s="4521"/>
      <c r="N42" s="4522"/>
      <c r="O42" s="4522"/>
      <c r="P42" s="4521"/>
      <c r="Q42" s="4491" t="s">
        <v>552</v>
      </c>
      <c r="R42" s="4523"/>
    </row>
    <row r="43" spans="1:18" ht="13.5" customHeight="1">
      <c r="A43" s="4524"/>
      <c r="B43" s="4525" t="s">
        <v>268</v>
      </c>
      <c r="C43" s="4505"/>
      <c r="D43" s="4506"/>
      <c r="E43" s="4507">
        <f>G43+F43+H43+I43+J43+K43+L43+M43+N43+O43+P43</f>
        <v>38038</v>
      </c>
      <c r="F43" s="4508">
        <f>'Tab. 6E - Administracja'!M61</f>
        <v>0</v>
      </c>
      <c r="G43" s="4508">
        <f>'Tab. 6E - Administracja'!N61</f>
        <v>0</v>
      </c>
      <c r="H43" s="4508">
        <f>'Tab. 6E - Administracja'!O61</f>
        <v>38038</v>
      </c>
      <c r="I43" s="4508">
        <f>'Tab. 6E - Administracja'!P61</f>
        <v>0</v>
      </c>
      <c r="J43" s="4508">
        <f>'Tab. 6E - Administracja'!Q61</f>
        <v>0</v>
      </c>
      <c r="K43" s="4508">
        <f>'Tab. 6E - Administracja'!R61</f>
        <v>0</v>
      </c>
      <c r="L43" s="4508"/>
      <c r="M43" s="4508"/>
      <c r="N43" s="4508"/>
      <c r="O43" s="4508"/>
      <c r="P43" s="4508"/>
      <c r="Q43" s="4464"/>
      <c r="R43" s="4523"/>
    </row>
    <row r="44" spans="1:18" ht="13.5" customHeight="1">
      <c r="A44" s="4524"/>
      <c r="B44" s="4526" t="s">
        <v>675</v>
      </c>
      <c r="C44" s="4527"/>
      <c r="D44" s="4528"/>
      <c r="E44" s="4529">
        <f>G44+F44+H44+I44+J44+K44+L44+M44+N44+O44+P44</f>
        <v>5706</v>
      </c>
      <c r="F44" s="4476">
        <f>'Tab. 6E - Administracja'!M62</f>
        <v>0</v>
      </c>
      <c r="G44" s="4476">
        <f>'Tab. 6E - Administracja'!N62</f>
        <v>0</v>
      </c>
      <c r="H44" s="4476">
        <f>'Tab. 6E - Administracja'!O62</f>
        <v>5706</v>
      </c>
      <c r="I44" s="4476">
        <f>'Tab. 6E - Administracja'!P62</f>
        <v>0</v>
      </c>
      <c r="J44" s="4476">
        <f>'Tab. 6E - Administracja'!Q62</f>
        <v>0</v>
      </c>
      <c r="K44" s="4476">
        <f>'Tab. 6E - Administracja'!R62</f>
        <v>0</v>
      </c>
      <c r="L44" s="4476"/>
      <c r="M44" s="4476"/>
      <c r="N44" s="4476"/>
      <c r="O44" s="4476"/>
      <c r="P44" s="4476"/>
      <c r="Q44" s="4464"/>
      <c r="R44" s="4523"/>
    </row>
    <row r="45" spans="1:18" ht="13.5" customHeight="1" thickBot="1">
      <c r="A45" s="4524"/>
      <c r="B45" s="4530" t="s">
        <v>270</v>
      </c>
      <c r="C45" s="4531"/>
      <c r="D45" s="4499"/>
      <c r="E45" s="4500">
        <f>G45+F45+H45+I45+J45+K45+L45+M45+N45+O45+P45</f>
        <v>32332</v>
      </c>
      <c r="F45" s="4532">
        <f>'Tab. 6E - Administracja'!M65</f>
        <v>0</v>
      </c>
      <c r="G45" s="4532">
        <f>'Tab. 6E - Administracja'!N65</f>
        <v>0</v>
      </c>
      <c r="H45" s="4532">
        <f>'Tab. 6E - Administracja'!O65</f>
        <v>32332</v>
      </c>
      <c r="I45" s="4532">
        <f>'Tab. 6E - Administracja'!P65</f>
        <v>0</v>
      </c>
      <c r="J45" s="4532">
        <f>'Tab. 6E - Administracja'!Q65</f>
        <v>0</v>
      </c>
      <c r="K45" s="4532">
        <f>'Tab. 6E - Administracja'!R65</f>
        <v>0</v>
      </c>
      <c r="L45" s="4532"/>
      <c r="M45" s="4532"/>
      <c r="N45" s="4532"/>
      <c r="O45" s="4532"/>
      <c r="P45" s="4532"/>
      <c r="Q45" s="4464"/>
      <c r="R45" s="4523"/>
    </row>
    <row r="46" spans="1:18" ht="13.5" customHeight="1" thickBot="1">
      <c r="A46" s="4533"/>
      <c r="B46" s="4534" t="s">
        <v>563</v>
      </c>
      <c r="C46" s="4535"/>
      <c r="D46" s="4536"/>
      <c r="E46" s="4537">
        <f>F46+H46+I46+J46+K46+L46+M46+N46+O46+P46</f>
        <v>32332</v>
      </c>
      <c r="F46" s="4538">
        <f>'Tab. 6E - Administracja'!M69</f>
        <v>0</v>
      </c>
      <c r="G46" s="4538">
        <f>'Tab. 6E - Administracja'!N69</f>
        <v>0</v>
      </c>
      <c r="H46" s="4538">
        <f>'Tab. 6E - Administracja'!O69</f>
        <v>32332</v>
      </c>
      <c r="I46" s="4538">
        <f>'Tab. 6E - Administracja'!P69</f>
        <v>0</v>
      </c>
      <c r="J46" s="4538">
        <f>'Tab. 6E - Administracja'!Q69</f>
        <v>0</v>
      </c>
      <c r="K46" s="4538">
        <f>'Tab. 6E - Administracja'!R69</f>
        <v>0</v>
      </c>
      <c r="L46" s="4538"/>
      <c r="M46" s="4538"/>
      <c r="N46" s="4538"/>
      <c r="O46" s="4538"/>
      <c r="P46" s="4538"/>
      <c r="Q46" s="4482"/>
      <c r="R46" s="4523"/>
    </row>
    <row r="47" spans="1:18" ht="38.25" customHeight="1">
      <c r="A47" s="4516" t="s">
        <v>107</v>
      </c>
      <c r="B47" s="4541" t="str">
        <f>'Tab. 6E - Administracja'!B82</f>
        <v>e-Administracja i e-Turystyka w województwie zachodniopomorskim w ramach działania 3.2 Osi III RPO WZ (2011-2015)</v>
      </c>
      <c r="C47" s="4518" t="s">
        <v>641</v>
      </c>
      <c r="D47" s="4519">
        <f>E50/E48%</f>
        <v>99.883715985625201</v>
      </c>
      <c r="E47" s="4520"/>
      <c r="F47" s="4521"/>
      <c r="G47" s="4520"/>
      <c r="H47" s="4522"/>
      <c r="I47" s="4522"/>
      <c r="J47" s="4522"/>
      <c r="K47" s="4521"/>
      <c r="L47" s="4521"/>
      <c r="M47" s="4521"/>
      <c r="N47" s="4522"/>
      <c r="O47" s="4522"/>
      <c r="P47" s="4521"/>
      <c r="Q47" s="4491" t="s">
        <v>553</v>
      </c>
      <c r="R47" s="4523"/>
    </row>
    <row r="48" spans="1:18" ht="13.5" customHeight="1">
      <c r="A48" s="4524"/>
      <c r="B48" s="4525" t="s">
        <v>268</v>
      </c>
      <c r="C48" s="4505"/>
      <c r="D48" s="4506"/>
      <c r="E48" s="4507">
        <f>G48+F48+H48+I48+J48+K48+L48+M48+N48+O48+P48</f>
        <v>17684288</v>
      </c>
      <c r="F48" s="4508">
        <f>'Tab. 6E - Administracja'!M83</f>
        <v>12620733</v>
      </c>
      <c r="G48" s="4508"/>
      <c r="H48" s="4508">
        <f>'Tab. 6E - Administracja'!O83</f>
        <v>5063555</v>
      </c>
      <c r="I48" s="4508">
        <f>'Tab. 6E - Administracja'!P83</f>
        <v>0</v>
      </c>
      <c r="J48" s="4508">
        <f>'Tab. 6E - Administracja'!Q83</f>
        <v>0</v>
      </c>
      <c r="K48" s="4508">
        <f>'Tab. 6E - Administracja'!R83</f>
        <v>0</v>
      </c>
      <c r="L48" s="4508">
        <f>'Tab. 6E - Administracja'!S83</f>
        <v>0</v>
      </c>
      <c r="M48" s="4508">
        <f>'Tab. 6E - Administracja'!T83</f>
        <v>0</v>
      </c>
      <c r="N48" s="4508">
        <f>'Tab. 6E - Administracja'!U83</f>
        <v>0</v>
      </c>
      <c r="O48" s="4508">
        <f>'Tab. 6E - Administracja'!V83</f>
        <v>0</v>
      </c>
      <c r="P48" s="4508">
        <f>'Tab. 6E - Administracja'!W83</f>
        <v>0</v>
      </c>
      <c r="Q48" s="4464"/>
      <c r="R48" s="4523"/>
    </row>
    <row r="49" spans="1:18" ht="13.5" customHeight="1">
      <c r="A49" s="4524"/>
      <c r="B49" s="4526" t="s">
        <v>568</v>
      </c>
      <c r="C49" s="4527"/>
      <c r="D49" s="4528"/>
      <c r="E49" s="4529">
        <f>G49+F49+H49+I49+J49+K49+L49+M49+N49+O49+P49</f>
        <v>20564</v>
      </c>
      <c r="F49" s="4476">
        <f>'Tab. 6E - Administracja'!M84</f>
        <v>20564</v>
      </c>
      <c r="G49" s="4476"/>
      <c r="H49" s="4476">
        <f>'Tab. 6E - Administracja'!O84</f>
        <v>0</v>
      </c>
      <c r="I49" s="4476">
        <f>'Tab. 6E - Administracja'!P84</f>
        <v>0</v>
      </c>
      <c r="J49" s="4476">
        <f>'Tab. 6E - Administracja'!Q84</f>
        <v>0</v>
      </c>
      <c r="K49" s="4476">
        <f>'Tab. 6E - Administracja'!R84</f>
        <v>0</v>
      </c>
      <c r="L49" s="4476">
        <f>'Tab. 6E - Administracja'!S84</f>
        <v>0</v>
      </c>
      <c r="M49" s="4476">
        <f>'Tab. 6E - Administracja'!T84</f>
        <v>0</v>
      </c>
      <c r="N49" s="4476">
        <f>'Tab. 6E - Administracja'!U84</f>
        <v>0</v>
      </c>
      <c r="O49" s="4476">
        <f>'Tab. 6E - Administracja'!V84</f>
        <v>0</v>
      </c>
      <c r="P49" s="4476">
        <f>'Tab. 6E - Administracja'!W84</f>
        <v>0</v>
      </c>
      <c r="Q49" s="4464"/>
      <c r="R49" s="4523"/>
    </row>
    <row r="50" spans="1:18" ht="13.5" customHeight="1" thickBot="1">
      <c r="A50" s="4524"/>
      <c r="B50" s="4530" t="s">
        <v>270</v>
      </c>
      <c r="C50" s="4531"/>
      <c r="D50" s="4499"/>
      <c r="E50" s="4500">
        <f>G50+F50+H50+I50+J50+K50+L50+M50+N50+O50+P50</f>
        <v>17663724</v>
      </c>
      <c r="F50" s="4532">
        <f>'Tab. 6E - Administracja'!M87</f>
        <v>12600169</v>
      </c>
      <c r="G50" s="4532"/>
      <c r="H50" s="4532">
        <f>'Tab. 6E - Administracja'!O87</f>
        <v>5063555</v>
      </c>
      <c r="I50" s="4532">
        <f>'Tab. 6E - Administracja'!P87</f>
        <v>0</v>
      </c>
      <c r="J50" s="4532">
        <f>'Tab. 6E - Administracja'!Q87</f>
        <v>0</v>
      </c>
      <c r="K50" s="4532">
        <f>'Tab. 6E - Administracja'!R87</f>
        <v>0</v>
      </c>
      <c r="L50" s="4532">
        <f>'Tab. 6E - Administracja'!S87</f>
        <v>0</v>
      </c>
      <c r="M50" s="4532">
        <f>'Tab. 6E - Administracja'!T87</f>
        <v>0</v>
      </c>
      <c r="N50" s="4532">
        <f>'Tab. 6E - Administracja'!U87</f>
        <v>0</v>
      </c>
      <c r="O50" s="4532">
        <f>'Tab. 6E - Administracja'!V87</f>
        <v>0</v>
      </c>
      <c r="P50" s="4532">
        <f>'Tab. 6E - Administracja'!W87</f>
        <v>0</v>
      </c>
      <c r="Q50" s="4464"/>
      <c r="R50" s="4523"/>
    </row>
    <row r="51" spans="1:18" ht="13.5" customHeight="1" thickBot="1">
      <c r="A51" s="4533"/>
      <c r="B51" s="4534" t="s">
        <v>563</v>
      </c>
      <c r="C51" s="4535"/>
      <c r="D51" s="4536"/>
      <c r="E51" s="4537">
        <f>F51+H51+I51+J51+K51+L51+M51+N51+O51+P51</f>
        <v>17663724</v>
      </c>
      <c r="F51" s="4538">
        <f>'Tab. 6E - Administracja'!M90</f>
        <v>9376546</v>
      </c>
      <c r="G51" s="4538"/>
      <c r="H51" s="4538">
        <f>'Tab. 6E - Administracja'!O90</f>
        <v>3933596</v>
      </c>
      <c r="I51" s="4538">
        <f>'Tab. 6E - Administracja'!P90</f>
        <v>4353582</v>
      </c>
      <c r="J51" s="4538">
        <f>'Tab. 6E - Administracja'!Q90</f>
        <v>0</v>
      </c>
      <c r="K51" s="4538">
        <f>'Tab. 6E - Administracja'!R90</f>
        <v>0</v>
      </c>
      <c r="L51" s="4538">
        <f>'Tab. 6E - Administracja'!S90</f>
        <v>0</v>
      </c>
      <c r="M51" s="4538">
        <f>'Tab. 6E - Administracja'!T90</f>
        <v>0</v>
      </c>
      <c r="N51" s="4538">
        <f>'Tab. 6E - Administracja'!U90</f>
        <v>0</v>
      </c>
      <c r="O51" s="4538">
        <f>'Tab. 6E - Administracja'!V90</f>
        <v>0</v>
      </c>
      <c r="P51" s="4538">
        <f>'Tab. 6E - Administracja'!W90</f>
        <v>0</v>
      </c>
      <c r="Q51" s="4482"/>
      <c r="R51" s="4523"/>
    </row>
    <row r="52" spans="1:18" ht="59.25" customHeight="1">
      <c r="A52" s="4516" t="s">
        <v>108</v>
      </c>
      <c r="B52" s="4517" t="str">
        <f>'Tab. 6E - Administracja'!B115</f>
        <v>Zakupy inwestycyjne w ramach Osi X - Pomoc techniczna RPO WZ 2014 - 2020 (2015-2023)</v>
      </c>
      <c r="C52" s="4539" t="s">
        <v>659</v>
      </c>
      <c r="D52" s="4519">
        <f>E55/E53%</f>
        <v>100</v>
      </c>
      <c r="E52" s="4520"/>
      <c r="F52" s="4521"/>
      <c r="G52" s="4520"/>
      <c r="H52" s="4522"/>
      <c r="I52" s="4522"/>
      <c r="J52" s="4522"/>
      <c r="K52" s="4521"/>
      <c r="L52" s="4521"/>
      <c r="M52" s="4521"/>
      <c r="N52" s="4522"/>
      <c r="O52" s="4522"/>
      <c r="P52" s="4521"/>
      <c r="Q52" s="4491" t="s">
        <v>579</v>
      </c>
      <c r="R52" s="4523"/>
    </row>
    <row r="53" spans="1:18" ht="13.5" customHeight="1">
      <c r="A53" s="4524"/>
      <c r="B53" s="4525" t="s">
        <v>268</v>
      </c>
      <c r="C53" s="4505"/>
      <c r="D53" s="4506"/>
      <c r="E53" s="4507">
        <f>G53+F53+H53+I53+J53+K53+L53+M53+N53+O53+P53</f>
        <v>1536967</v>
      </c>
      <c r="F53" s="4508">
        <f>'Tab. 6E - Administracja'!M121</f>
        <v>0</v>
      </c>
      <c r="G53" s="4508">
        <f>'Tab. 6E - Administracja'!N121</f>
        <v>0</v>
      </c>
      <c r="H53" s="4508">
        <f>'Tab. 6E - Administracja'!O121</f>
        <v>0</v>
      </c>
      <c r="I53" s="4508">
        <f>'Tab. 6E - Administracja'!P121</f>
        <v>361842</v>
      </c>
      <c r="J53" s="4508">
        <f>'Tab. 6E - Administracja'!Q121</f>
        <v>170000</v>
      </c>
      <c r="K53" s="4508">
        <f>'Tab. 6E - Administracja'!R121</f>
        <v>170000</v>
      </c>
      <c r="L53" s="4508">
        <f>'Tab. 6E - Administracja'!S121</f>
        <v>167025</v>
      </c>
      <c r="M53" s="4508">
        <f>'Tab. 6E - Administracja'!T121</f>
        <v>167025</v>
      </c>
      <c r="N53" s="4508">
        <f>'Tab. 6E - Administracja'!U121</f>
        <v>167025</v>
      </c>
      <c r="O53" s="4508">
        <f>'Tab. 6E - Administracja'!V121</f>
        <v>167025</v>
      </c>
      <c r="P53" s="4508">
        <f>'Tab. 6E - Administracja'!W121</f>
        <v>167025</v>
      </c>
      <c r="Q53" s="4464"/>
      <c r="R53" s="4523"/>
    </row>
    <row r="54" spans="1:18" ht="13.5" customHeight="1">
      <c r="A54" s="4524"/>
      <c r="B54" s="4526" t="s">
        <v>568</v>
      </c>
      <c r="C54" s="4527"/>
      <c r="D54" s="4528"/>
      <c r="E54" s="4529">
        <f>G54+F54+H54+I54+J54+K54+L54+M54+N54+O54+P54</f>
        <v>0</v>
      </c>
      <c r="F54" s="4476"/>
      <c r="G54" s="4476"/>
      <c r="H54" s="4476"/>
      <c r="I54" s="4476"/>
      <c r="J54" s="4476"/>
      <c r="K54" s="4476"/>
      <c r="L54" s="4476"/>
      <c r="M54" s="4476"/>
      <c r="N54" s="4476"/>
      <c r="O54" s="4476"/>
      <c r="P54" s="4476"/>
      <c r="Q54" s="4464"/>
      <c r="R54" s="4523"/>
    </row>
    <row r="55" spans="1:18" ht="13.5" customHeight="1" thickBot="1">
      <c r="A55" s="4524"/>
      <c r="B55" s="4530" t="s">
        <v>270</v>
      </c>
      <c r="C55" s="4531"/>
      <c r="D55" s="4499"/>
      <c r="E55" s="4500">
        <f>G55+F55+H55+I55+J55+K55+L55+M55+N55+O55+P55</f>
        <v>1536967</v>
      </c>
      <c r="F55" s="4532">
        <f>'Tab. 6E - Administracja'!M122</f>
        <v>0</v>
      </c>
      <c r="G55" s="4532">
        <f>'Tab. 6E - Administracja'!N122</f>
        <v>0</v>
      </c>
      <c r="H55" s="4532">
        <f>'Tab. 6E - Administracja'!O122</f>
        <v>0</v>
      </c>
      <c r="I55" s="4532">
        <f>'Tab. 6E - Administracja'!P122</f>
        <v>361842</v>
      </c>
      <c r="J55" s="4532">
        <f>'Tab. 6E - Administracja'!Q122</f>
        <v>170000</v>
      </c>
      <c r="K55" s="4532">
        <f>'Tab. 6E - Administracja'!R122</f>
        <v>170000</v>
      </c>
      <c r="L55" s="4532">
        <f>'Tab. 6E - Administracja'!S122</f>
        <v>167025</v>
      </c>
      <c r="M55" s="4532">
        <f>'Tab. 6E - Administracja'!T122</f>
        <v>167025</v>
      </c>
      <c r="N55" s="4532">
        <f>'Tab. 6E - Administracja'!U122</f>
        <v>167025</v>
      </c>
      <c r="O55" s="4532">
        <f>'Tab. 6E - Administracja'!V122</f>
        <v>167025</v>
      </c>
      <c r="P55" s="4532">
        <f>'Tab. 6E - Administracja'!W122</f>
        <v>167025</v>
      </c>
      <c r="Q55" s="4464"/>
      <c r="R55" s="4523"/>
    </row>
    <row r="56" spans="1:18" ht="13.5" customHeight="1" thickBot="1">
      <c r="A56" s="4533"/>
      <c r="B56" s="4534" t="s">
        <v>563</v>
      </c>
      <c r="C56" s="4535"/>
      <c r="D56" s="4536"/>
      <c r="E56" s="4537">
        <f>F56+H56+I56+J56+K56+L56+M56+N56+O56+P56</f>
        <v>1536967</v>
      </c>
      <c r="F56" s="4538">
        <f>'Tab. 6E - Administracja'!M132</f>
        <v>0</v>
      </c>
      <c r="G56" s="4538">
        <f>'Tab. 6E - Administracja'!N132</f>
        <v>0</v>
      </c>
      <c r="H56" s="4538">
        <f>'Tab. 6E - Administracja'!O132</f>
        <v>0</v>
      </c>
      <c r="I56" s="4538">
        <f>'Tab. 6E - Administracja'!P132</f>
        <v>361842</v>
      </c>
      <c r="J56" s="4538">
        <f>'Tab. 6E - Administracja'!Q132</f>
        <v>170000</v>
      </c>
      <c r="K56" s="4538">
        <f>'Tab. 6E - Administracja'!R132</f>
        <v>170000</v>
      </c>
      <c r="L56" s="4538">
        <f>'Tab. 6E - Administracja'!S132</f>
        <v>167025</v>
      </c>
      <c r="M56" s="4538">
        <f>'Tab. 6E - Administracja'!T132</f>
        <v>167025</v>
      </c>
      <c r="N56" s="4538">
        <f>'Tab. 6E - Administracja'!U132</f>
        <v>167025</v>
      </c>
      <c r="O56" s="4538">
        <f>'Tab. 6E - Administracja'!V132</f>
        <v>167025</v>
      </c>
      <c r="P56" s="4538">
        <f>'Tab. 6E - Administracja'!W132</f>
        <v>167025</v>
      </c>
      <c r="Q56" s="4482"/>
      <c r="R56" s="4523"/>
    </row>
    <row r="57" spans="1:18" ht="66.75" customHeight="1">
      <c r="A57" s="4516" t="s">
        <v>109</v>
      </c>
      <c r="B57" s="4517" t="str">
        <f>'Tab. 6E - Administracja'!B133</f>
        <v>Konsolidacja siedziby Urzędu Marszałkowskiego Województwa Zachodniopomorskiego - razem etap A i B  (2016-2020)</v>
      </c>
      <c r="C57" s="4518" t="s">
        <v>659</v>
      </c>
      <c r="D57" s="4519">
        <f>E60/E58%</f>
        <v>80.393762077690553</v>
      </c>
      <c r="E57" s="4520"/>
      <c r="F57" s="4521"/>
      <c r="G57" s="4520"/>
      <c r="H57" s="4522"/>
      <c r="I57" s="4522"/>
      <c r="J57" s="4522"/>
      <c r="K57" s="4521"/>
      <c r="L57" s="4521"/>
      <c r="M57" s="4521"/>
      <c r="N57" s="4522"/>
      <c r="O57" s="4522"/>
      <c r="P57" s="4521"/>
      <c r="Q57" s="4491" t="s">
        <v>580</v>
      </c>
      <c r="R57" s="4523"/>
    </row>
    <row r="58" spans="1:18" ht="13.5" customHeight="1">
      <c r="A58" s="4524"/>
      <c r="B58" s="4525" t="s">
        <v>268</v>
      </c>
      <c r="C58" s="4505"/>
      <c r="D58" s="4506"/>
      <c r="E58" s="4507">
        <f>G58+F58+H58+I58+J58+K58+L58+M58+N58+O58+P58</f>
        <v>89390020</v>
      </c>
      <c r="F58" s="4508">
        <f>'Tab. 6E - Administracja'!M134</f>
        <v>0</v>
      </c>
      <c r="G58" s="4508">
        <f>'Tab. 6E - Administracja'!N134</f>
        <v>0</v>
      </c>
      <c r="H58" s="4508">
        <f>'Tab. 6E - Administracja'!O134</f>
        <v>0</v>
      </c>
      <c r="I58" s="4508">
        <f>'Tab. 6E - Administracja'!P134</f>
        <v>1543800</v>
      </c>
      <c r="J58" s="4508">
        <f>'Tab. 6E - Administracja'!Q134</f>
        <v>14675460</v>
      </c>
      <c r="K58" s="4508">
        <f>'Tab. 6E - Administracja'!R134</f>
        <v>23596460</v>
      </c>
      <c r="L58" s="4508">
        <f>'Tab. 6E - Administracja'!S134</f>
        <v>34618600</v>
      </c>
      <c r="M58" s="4508">
        <f>'Tab. 6E - Administracja'!T134</f>
        <v>14955700</v>
      </c>
      <c r="N58" s="4508">
        <f>'Tab. 6E - Administracja'!U134</f>
        <v>0</v>
      </c>
      <c r="O58" s="4508">
        <f>'Tab. 6E - Administracja'!V134</f>
        <v>0</v>
      </c>
      <c r="P58" s="4508">
        <f>'Tab. 6E - Administracja'!W134</f>
        <v>0</v>
      </c>
      <c r="Q58" s="4464"/>
      <c r="R58" s="4523"/>
    </row>
    <row r="59" spans="1:18" ht="27" customHeight="1">
      <c r="A59" s="4524"/>
      <c r="B59" s="4526" t="s">
        <v>676</v>
      </c>
      <c r="C59" s="4527"/>
      <c r="D59" s="4528"/>
      <c r="E59" s="4529">
        <f>G59+F59+H59+I59+J59+K59+L59+M59+N59+O59+P59</f>
        <v>17526020</v>
      </c>
      <c r="F59" s="4476">
        <f>'Tab. 6E - Administracja'!M135</f>
        <v>0</v>
      </c>
      <c r="G59" s="4476">
        <f>'Tab. 6E - Administracja'!N135</f>
        <v>0</v>
      </c>
      <c r="H59" s="4476">
        <f>'Tab. 6E - Administracja'!O135</f>
        <v>0</v>
      </c>
      <c r="I59" s="4476">
        <f>'Tab. 6E - Administracja'!P135</f>
        <v>100000</v>
      </c>
      <c r="J59" s="4476">
        <f>'Tab. 6E - Administracja'!Q135</f>
        <v>4422860</v>
      </c>
      <c r="K59" s="4476">
        <f>'Tab. 6E - Administracja'!R135</f>
        <v>5640660</v>
      </c>
      <c r="L59" s="4476">
        <f>'Tab. 6E - Administracja'!S135</f>
        <v>5142800</v>
      </c>
      <c r="M59" s="4476">
        <f>'Tab. 6E - Administracja'!T135</f>
        <v>2219700</v>
      </c>
      <c r="N59" s="4476">
        <f>'Tab. 6E - Administracja'!U135</f>
        <v>0</v>
      </c>
      <c r="O59" s="4476">
        <f>'Tab. 6E - Administracja'!V135</f>
        <v>0</v>
      </c>
      <c r="P59" s="4476">
        <f>'Tab. 6E - Administracja'!W135</f>
        <v>0</v>
      </c>
      <c r="Q59" s="4464"/>
      <c r="R59" s="4523"/>
    </row>
    <row r="60" spans="1:18" ht="16.5" customHeight="1" thickBot="1">
      <c r="A60" s="4524"/>
      <c r="B60" s="4530" t="s">
        <v>270</v>
      </c>
      <c r="C60" s="4531"/>
      <c r="D60" s="4499"/>
      <c r="E60" s="4500">
        <f>G60+F60+H60+I60+J60+K60+L60+M60+N60+O60+P60</f>
        <v>71864000</v>
      </c>
      <c r="F60" s="4532">
        <f>'Tab. 6E - Administracja'!M138</f>
        <v>0</v>
      </c>
      <c r="G60" s="4532">
        <f>'Tab. 6E - Administracja'!N138</f>
        <v>0</v>
      </c>
      <c r="H60" s="4532">
        <f>'Tab. 6E - Administracja'!O138</f>
        <v>0</v>
      </c>
      <c r="I60" s="4532">
        <f>'Tab. 6E - Administracja'!P138</f>
        <v>1443800</v>
      </c>
      <c r="J60" s="4532">
        <f>'Tab. 6E - Administracja'!Q138</f>
        <v>10252600</v>
      </c>
      <c r="K60" s="4532">
        <f>'Tab. 6E - Administracja'!R138</f>
        <v>17955800</v>
      </c>
      <c r="L60" s="4532">
        <f>'Tab. 6E - Administracja'!S138</f>
        <v>29475800</v>
      </c>
      <c r="M60" s="4532">
        <f>'Tab. 6E - Administracja'!T138</f>
        <v>12736000</v>
      </c>
      <c r="N60" s="4532">
        <f>'Tab. 6E - Administracja'!U138</f>
        <v>0</v>
      </c>
      <c r="O60" s="4532">
        <f>'Tab. 6E - Administracja'!V138</f>
        <v>0</v>
      </c>
      <c r="P60" s="4532">
        <f>'Tab. 6E - Administracja'!W138</f>
        <v>0</v>
      </c>
      <c r="Q60" s="4464"/>
      <c r="R60" s="4523"/>
    </row>
    <row r="61" spans="1:18" ht="13.5" customHeight="1" thickBot="1">
      <c r="A61" s="4533"/>
      <c r="B61" s="4534" t="s">
        <v>563</v>
      </c>
      <c r="C61" s="4535"/>
      <c r="D61" s="4536"/>
      <c r="E61" s="4537">
        <f>F61+H61+I61+J61+K61+L61+M61+N61+O61+P61</f>
        <v>71864000</v>
      </c>
      <c r="F61" s="4538">
        <f>'Tab. 6E - Administracja'!M146</f>
        <v>0</v>
      </c>
      <c r="G61" s="4538">
        <f>'Tab. 6E - Administracja'!N146</f>
        <v>0</v>
      </c>
      <c r="H61" s="4538">
        <f>'Tab. 6E - Administracja'!O146</f>
        <v>0</v>
      </c>
      <c r="I61" s="4538">
        <f>'Tab. 6E - Administracja'!P146</f>
        <v>1443800</v>
      </c>
      <c r="J61" s="4538">
        <f>'Tab. 6E - Administracja'!Q146</f>
        <v>10252600</v>
      </c>
      <c r="K61" s="4538">
        <f>'Tab. 6E - Administracja'!R146</f>
        <v>17955800</v>
      </c>
      <c r="L61" s="4538">
        <f>'Tab. 6E - Administracja'!S146</f>
        <v>29475800</v>
      </c>
      <c r="M61" s="4538">
        <f>'Tab. 6E - Administracja'!T146</f>
        <v>12736000</v>
      </c>
      <c r="N61" s="4538">
        <f>'Tab. 6E - Administracja'!U146</f>
        <v>0</v>
      </c>
      <c r="O61" s="4538">
        <f>'Tab. 6E - Administracja'!V146</f>
        <v>0</v>
      </c>
      <c r="P61" s="4538">
        <f>'Tab. 6E - Administracja'!W146</f>
        <v>0</v>
      </c>
      <c r="Q61" s="4482"/>
      <c r="R61" s="4523"/>
    </row>
    <row r="62" spans="1:18" ht="30" customHeight="1">
      <c r="A62" s="4516" t="s">
        <v>110</v>
      </c>
      <c r="B62" s="4517" t="str">
        <f>'Tab. 6H - Kultura fiz. i turyst'!B87</f>
        <v>Poznaj Pomorze Zachodnie. Oznakowanie turystyczne regionu w ramach RPO WZ, Osi V (2012-2015)</v>
      </c>
      <c r="C62" s="4518" t="s">
        <v>640</v>
      </c>
      <c r="D62" s="4519">
        <f>E65/E63%</f>
        <v>99.999999999999986</v>
      </c>
      <c r="E62" s="4520"/>
      <c r="F62" s="4521"/>
      <c r="G62" s="4520"/>
      <c r="H62" s="4522"/>
      <c r="I62" s="4522"/>
      <c r="J62" s="4522"/>
      <c r="K62" s="4521"/>
      <c r="L62" s="4521"/>
      <c r="M62" s="4521"/>
      <c r="N62" s="4522"/>
      <c r="O62" s="4522"/>
      <c r="P62" s="4521"/>
      <c r="Q62" s="4491" t="s">
        <v>583</v>
      </c>
      <c r="R62" s="4523"/>
    </row>
    <row r="63" spans="1:18" ht="13.5" customHeight="1">
      <c r="A63" s="4524"/>
      <c r="B63" s="4525" t="s">
        <v>268</v>
      </c>
      <c r="C63" s="4505"/>
      <c r="D63" s="4506"/>
      <c r="E63" s="4507">
        <f>G63+F63+H63+I63+J63+K63+L63+M63+N63+O63+P63</f>
        <v>238401</v>
      </c>
      <c r="F63" s="4508">
        <f>'Tab. 6H - Kultura fiz. i turyst'!M88</f>
        <v>0</v>
      </c>
      <c r="G63" s="4508"/>
      <c r="H63" s="4508">
        <f>'Tab. 6H - Kultura fiz. i turyst'!O88</f>
        <v>238401</v>
      </c>
      <c r="I63" s="4508">
        <f>'Tab. 6H - Kultura fiz. i turyst'!P88</f>
        <v>0</v>
      </c>
      <c r="J63" s="4508">
        <f>'Tab. 6H - Kultura fiz. i turyst'!Q88</f>
        <v>0</v>
      </c>
      <c r="K63" s="4508">
        <f>'Tab. 6H - Kultura fiz. i turyst'!R88</f>
        <v>0</v>
      </c>
      <c r="L63" s="4508"/>
      <c r="M63" s="4508"/>
      <c r="N63" s="4508"/>
      <c r="O63" s="4508"/>
      <c r="P63" s="4508"/>
      <c r="Q63" s="4464"/>
      <c r="R63" s="4523"/>
    </row>
    <row r="64" spans="1:18">
      <c r="A64" s="4524"/>
      <c r="B64" s="4542" t="s">
        <v>568</v>
      </c>
      <c r="C64" s="4527"/>
      <c r="D64" s="4528"/>
      <c r="E64" s="4529">
        <f>G64+F64+H64+I64+J64+K64+L64+M64+N64+O64+P64</f>
        <v>0</v>
      </c>
      <c r="F64" s="4476"/>
      <c r="G64" s="4476"/>
      <c r="H64" s="4476"/>
      <c r="I64" s="4476"/>
      <c r="J64" s="4476"/>
      <c r="K64" s="4476"/>
      <c r="L64" s="4476"/>
      <c r="M64" s="4476"/>
      <c r="N64" s="4476"/>
      <c r="O64" s="4476"/>
      <c r="P64" s="4476"/>
      <c r="Q64" s="4464"/>
      <c r="R64" s="4523"/>
    </row>
    <row r="65" spans="1:28" ht="13.5" customHeight="1" thickBot="1">
      <c r="A65" s="4524"/>
      <c r="B65" s="4530" t="s">
        <v>270</v>
      </c>
      <c r="C65" s="4531"/>
      <c r="D65" s="4499"/>
      <c r="E65" s="4500">
        <f>G65+F65+H65+I65+J65+K65+L65+M65+N65+O65+P65</f>
        <v>238401</v>
      </c>
      <c r="F65" s="4532">
        <f>'Tab. 6H - Kultura fiz. i turyst'!M90</f>
        <v>0</v>
      </c>
      <c r="G65" s="4532"/>
      <c r="H65" s="4532">
        <f>'Tab. 6H - Kultura fiz. i turyst'!O90</f>
        <v>238401</v>
      </c>
      <c r="I65" s="4532">
        <f>'Tab. 6H - Kultura fiz. i turyst'!P90</f>
        <v>0</v>
      </c>
      <c r="J65" s="4532">
        <f>'Tab. 6H - Kultura fiz. i turyst'!Q90</f>
        <v>0</v>
      </c>
      <c r="K65" s="4532">
        <f>'Tab. 6H - Kultura fiz. i turyst'!R90</f>
        <v>0</v>
      </c>
      <c r="L65" s="4532"/>
      <c r="M65" s="4532"/>
      <c r="N65" s="4532"/>
      <c r="O65" s="4532"/>
      <c r="P65" s="4532"/>
      <c r="Q65" s="4464"/>
      <c r="R65" s="4523"/>
    </row>
    <row r="66" spans="1:28" ht="13.5" customHeight="1" thickBot="1">
      <c r="A66" s="4533"/>
      <c r="B66" s="4534" t="s">
        <v>563</v>
      </c>
      <c r="C66" s="4535"/>
      <c r="D66" s="4536"/>
      <c r="E66" s="4537">
        <f>F66+H66+I66+J66+K66+L66+M66+N66+O66+P66</f>
        <v>238401</v>
      </c>
      <c r="F66" s="4538">
        <f>'Tab. 6H - Kultura fiz. i turyst'!M91</f>
        <v>0</v>
      </c>
      <c r="G66" s="4538"/>
      <c r="H66" s="4538">
        <f>'Tab. 6H - Kultura fiz. i turyst'!O91</f>
        <v>238401</v>
      </c>
      <c r="I66" s="4538">
        <f>'Tab. 6H - Kultura fiz. i turyst'!P91</f>
        <v>0</v>
      </c>
      <c r="J66" s="4538">
        <f>'Tab. 6H - Kultura fiz. i turyst'!Q91</f>
        <v>0</v>
      </c>
      <c r="K66" s="4538">
        <f>'Tab. 6H - Kultura fiz. i turyst'!R91</f>
        <v>0</v>
      </c>
      <c r="L66" s="4538"/>
      <c r="M66" s="4538"/>
      <c r="N66" s="4538"/>
      <c r="O66" s="4538"/>
      <c r="P66" s="4538"/>
      <c r="Q66" s="4482"/>
      <c r="R66" s="4523"/>
    </row>
    <row r="67" spans="1:28" s="4553" customFormat="1" ht="6" customHeight="1">
      <c r="A67" s="4543"/>
      <c r="B67" s="4544"/>
      <c r="C67" s="4545"/>
      <c r="D67" s="4546"/>
      <c r="E67" s="4547"/>
      <c r="F67" s="4548"/>
      <c r="G67" s="4548"/>
      <c r="H67" s="4549"/>
      <c r="I67" s="4549"/>
      <c r="J67" s="4549"/>
      <c r="K67" s="4548"/>
      <c r="L67" s="4548"/>
      <c r="M67" s="4548"/>
      <c r="N67" s="4549"/>
      <c r="O67" s="4549"/>
      <c r="P67" s="4548"/>
      <c r="Q67" s="4550"/>
      <c r="R67" s="4551"/>
      <c r="S67" s="4552"/>
      <c r="T67" s="4552"/>
      <c r="U67" s="4552"/>
      <c r="V67" s="4552"/>
      <c r="W67" s="4552"/>
      <c r="X67" s="4552"/>
      <c r="Y67" s="4552"/>
      <c r="Z67" s="4552"/>
      <c r="AA67" s="4552"/>
      <c r="AB67" s="4552"/>
    </row>
    <row r="68" spans="1:28" s="4553" customFormat="1" ht="30.75" thickBot="1">
      <c r="A68" s="4554"/>
      <c r="B68" s="4555" t="s">
        <v>671</v>
      </c>
      <c r="C68" s="4556"/>
      <c r="D68" s="4557"/>
      <c r="E68" s="4558"/>
      <c r="F68" s="4559"/>
      <c r="G68" s="4559"/>
      <c r="H68" s="4560"/>
      <c r="I68" s="4560"/>
      <c r="J68" s="4560"/>
      <c r="K68" s="4559"/>
      <c r="L68" s="4559"/>
      <c r="M68" s="4559"/>
      <c r="N68" s="4560"/>
      <c r="O68" s="4560"/>
      <c r="P68" s="4559"/>
      <c r="Q68" s="4561"/>
      <c r="R68" s="4551"/>
      <c r="S68" s="4552"/>
      <c r="T68" s="4552"/>
      <c r="U68" s="4552"/>
      <c r="V68" s="4552"/>
      <c r="W68" s="4552"/>
      <c r="X68" s="4552"/>
      <c r="Y68" s="4552"/>
      <c r="Z68" s="4552"/>
      <c r="AA68" s="4552"/>
      <c r="AB68" s="4552"/>
    </row>
    <row r="69" spans="1:28" ht="66.75" customHeight="1">
      <c r="A69" s="4516" t="s">
        <v>111</v>
      </c>
      <c r="B69" s="4517" t="str">
        <f>'Tab. 6G - Roln i ochrona środ.'!B68</f>
        <v xml:space="preserve">Budowa niebieskiego korytarza ekologicznego wzdłuż doliny rzeki Iny i jej dopływów w ramach Instrumentu Finansowego LIFE+ (2011-2016) </v>
      </c>
      <c r="C69" s="4518" t="s">
        <v>624</v>
      </c>
      <c r="D69" s="4519">
        <f>E72/E70%</f>
        <v>52.631579638960055</v>
      </c>
      <c r="E69" s="4520"/>
      <c r="F69" s="4521"/>
      <c r="G69" s="4520"/>
      <c r="H69" s="4522"/>
      <c r="I69" s="4522"/>
      <c r="J69" s="4522"/>
      <c r="K69" s="4521"/>
      <c r="L69" s="4521"/>
      <c r="M69" s="4521"/>
      <c r="N69" s="4522"/>
      <c r="O69" s="4522"/>
      <c r="P69" s="4521"/>
      <c r="Q69" s="4491" t="s">
        <v>581</v>
      </c>
      <c r="R69" s="4523"/>
    </row>
    <row r="70" spans="1:28" ht="13.5" customHeight="1">
      <c r="A70" s="4524"/>
      <c r="B70" s="4525" t="s">
        <v>268</v>
      </c>
      <c r="C70" s="4505"/>
      <c r="D70" s="4506"/>
      <c r="E70" s="4507">
        <f>G70+F70+H70+I70+J70+K70+L70+M70+N70+O70+P70</f>
        <v>15220421</v>
      </c>
      <c r="F70" s="4508">
        <f>'Tab. 6G - Roln i ochrona środ.'!M69</f>
        <v>11755762</v>
      </c>
      <c r="G70" s="4508"/>
      <c r="H70" s="4508">
        <f>'Tab. 6G - Roln i ochrona środ.'!O69</f>
        <v>2210811</v>
      </c>
      <c r="I70" s="4508">
        <f>'Tab. 6G - Roln i ochrona środ.'!P69</f>
        <v>1253848</v>
      </c>
      <c r="J70" s="4508">
        <f>'Tab. 6G - Roln i ochrona środ.'!Q69</f>
        <v>0</v>
      </c>
      <c r="K70" s="4508">
        <f>'Tab. 6G - Roln i ochrona środ.'!R69</f>
        <v>0</v>
      </c>
      <c r="L70" s="4508"/>
      <c r="M70" s="4508"/>
      <c r="N70" s="4508"/>
      <c r="O70" s="4508"/>
      <c r="P70" s="4508"/>
      <c r="Q70" s="4464"/>
      <c r="R70" s="4523"/>
    </row>
    <row r="71" spans="1:28" ht="29.25" customHeight="1">
      <c r="A71" s="4524"/>
      <c r="B71" s="4526" t="s">
        <v>668</v>
      </c>
      <c r="C71" s="4527"/>
      <c r="D71" s="4528"/>
      <c r="E71" s="4529">
        <f>G71+F71+H71+I71+J71+K71+L71+M71+N71+O71+P71</f>
        <v>7209673</v>
      </c>
      <c r="F71" s="4476">
        <f>'Tab. 6G - Roln i ochrona środ.'!M70</f>
        <v>6389845</v>
      </c>
      <c r="G71" s="4476"/>
      <c r="H71" s="4476">
        <f>'Tab. 6G - Roln i ochrona środ.'!O70</f>
        <v>303250</v>
      </c>
      <c r="I71" s="4476">
        <f>'Tab. 6G - Roln i ochrona środ.'!P70</f>
        <v>516578</v>
      </c>
      <c r="J71" s="4476">
        <f>'Tab. 6G - Roln i ochrona środ.'!Q70</f>
        <v>0</v>
      </c>
      <c r="K71" s="4476">
        <f>'Tab. 6G - Roln i ochrona środ.'!R70</f>
        <v>0</v>
      </c>
      <c r="L71" s="4476"/>
      <c r="M71" s="4476"/>
      <c r="N71" s="4476"/>
      <c r="O71" s="4476"/>
      <c r="P71" s="4476"/>
      <c r="Q71" s="4464"/>
      <c r="R71" s="4523"/>
    </row>
    <row r="72" spans="1:28" ht="13.5" customHeight="1" thickBot="1">
      <c r="A72" s="4524"/>
      <c r="B72" s="4530" t="s">
        <v>270</v>
      </c>
      <c r="C72" s="4531"/>
      <c r="D72" s="4499"/>
      <c r="E72" s="4500">
        <f>G72+F72+H72+I72+J72+K72+L72+M72+N72+O72+P72</f>
        <v>8010748</v>
      </c>
      <c r="F72" s="4532">
        <f>'Tab. 6G - Roln i ochrona środ.'!M72</f>
        <v>5365917</v>
      </c>
      <c r="G72" s="4532"/>
      <c r="H72" s="4532">
        <f>'Tab. 6G - Roln i ochrona środ.'!O72</f>
        <v>1907561</v>
      </c>
      <c r="I72" s="4532">
        <f>'Tab. 6G - Roln i ochrona środ.'!P72</f>
        <v>737270</v>
      </c>
      <c r="J72" s="4532">
        <f>'Tab. 6G - Roln i ochrona środ.'!Q72</f>
        <v>0</v>
      </c>
      <c r="K72" s="4532">
        <f>'Tab. 6G - Roln i ochrona środ.'!R72</f>
        <v>0</v>
      </c>
      <c r="L72" s="4532"/>
      <c r="M72" s="4532"/>
      <c r="N72" s="4532"/>
      <c r="O72" s="4532"/>
      <c r="P72" s="4532"/>
      <c r="Q72" s="4464"/>
      <c r="R72" s="4523"/>
    </row>
    <row r="73" spans="1:28" ht="13.5" customHeight="1" thickBot="1">
      <c r="A73" s="4533"/>
      <c r="B73" s="4534" t="s">
        <v>563</v>
      </c>
      <c r="C73" s="4535"/>
      <c r="D73" s="4536"/>
      <c r="E73" s="4537">
        <f>F73+H73+I73+J73+K73+L73+M73+N73+O73+P73</f>
        <v>8010748</v>
      </c>
      <c r="F73" s="4538">
        <f>'Tab. 6G - Roln i ochrona środ.'!M77</f>
        <v>6952805</v>
      </c>
      <c r="G73" s="4538"/>
      <c r="H73" s="4538">
        <f>'Tab. 6G - Roln i ochrona środ.'!O77</f>
        <v>0</v>
      </c>
      <c r="I73" s="4538">
        <f>'Tab. 6G - Roln i ochrona środ.'!P77</f>
        <v>0</v>
      </c>
      <c r="J73" s="4538">
        <f>'Tab. 6G - Roln i ochrona środ.'!Q77</f>
        <v>1057943</v>
      </c>
      <c r="K73" s="4538">
        <f>'Tab. 6G - Roln i ochrona środ.'!R77</f>
        <v>0</v>
      </c>
      <c r="L73" s="4538"/>
      <c r="M73" s="4538"/>
      <c r="N73" s="4538"/>
      <c r="O73" s="4538"/>
      <c r="P73" s="4538"/>
      <c r="Q73" s="4482"/>
      <c r="R73" s="4523"/>
    </row>
    <row r="74" spans="1:28" ht="67.5" customHeight="1">
      <c r="A74" s="4516" t="s">
        <v>112</v>
      </c>
      <c r="B74" s="4517" t="str">
        <f>'Tab. 6G - Roln i ochrona środ.'!B79</f>
        <v xml:space="preserve">Budowa niebieskiego korytarza ekologicznego wzdłuż doliny rzeki Regi  i jej dopływów w ramach Instrumentu Finansowego LIFE+ (2012-2017) </v>
      </c>
      <c r="C74" s="4518" t="s">
        <v>599</v>
      </c>
      <c r="D74" s="4519">
        <f>E77/E75%</f>
        <v>52.63162110979529</v>
      </c>
      <c r="E74" s="4520"/>
      <c r="F74" s="4521"/>
      <c r="G74" s="4520"/>
      <c r="H74" s="4522"/>
      <c r="I74" s="4522"/>
      <c r="J74" s="4522"/>
      <c r="K74" s="4521"/>
      <c r="L74" s="4521"/>
      <c r="M74" s="4521"/>
      <c r="N74" s="4522"/>
      <c r="O74" s="4522"/>
      <c r="P74" s="4521"/>
      <c r="Q74" s="4491" t="s">
        <v>581</v>
      </c>
      <c r="R74" s="4523"/>
    </row>
    <row r="75" spans="1:28" ht="13.5" customHeight="1">
      <c r="A75" s="4524"/>
      <c r="B75" s="4525" t="s">
        <v>268</v>
      </c>
      <c r="C75" s="4505"/>
      <c r="D75" s="4506"/>
      <c r="E75" s="4507">
        <f>G75+F75+H75+I75+J75+K75+L75+M75+N75+O75+P75</f>
        <v>19723223</v>
      </c>
      <c r="F75" s="4508">
        <f>'Tab. 6G - Roln i ochrona środ.'!M80</f>
        <v>2279787</v>
      </c>
      <c r="G75" s="4508"/>
      <c r="H75" s="4508">
        <f>'Tab. 6G - Roln i ochrona środ.'!O80</f>
        <v>2747420</v>
      </c>
      <c r="I75" s="4508">
        <f>'Tab. 6G - Roln i ochrona środ.'!P80</f>
        <v>4114240</v>
      </c>
      <c r="J75" s="4508">
        <f>'Tab. 6G - Roln i ochrona środ.'!Q80</f>
        <v>6133675</v>
      </c>
      <c r="K75" s="4508">
        <f>'Tab. 6G - Roln i ochrona środ.'!R80</f>
        <v>3219061</v>
      </c>
      <c r="L75" s="4508">
        <f>'Tab. 6G - Roln i ochrona środ.'!S80</f>
        <v>1229040</v>
      </c>
      <c r="M75" s="4508">
        <f>'Tab. 6G - Roln i ochrona środ.'!T80</f>
        <v>0</v>
      </c>
      <c r="N75" s="4508">
        <f>'Tab. 6G - Roln i ochrona środ.'!U80</f>
        <v>0</v>
      </c>
      <c r="O75" s="4508">
        <f>'Tab. 6G - Roln i ochrona środ.'!V80</f>
        <v>0</v>
      </c>
      <c r="P75" s="4508"/>
      <c r="Q75" s="4464"/>
      <c r="R75" s="4523"/>
    </row>
    <row r="76" spans="1:28" ht="24" customHeight="1">
      <c r="A76" s="4524"/>
      <c r="B76" s="4526" t="s">
        <v>668</v>
      </c>
      <c r="C76" s="4527"/>
      <c r="D76" s="4528"/>
      <c r="E76" s="4529">
        <f>G76+F76+H76+I76+J76+K76+L76+M76+N76+O76+P76</f>
        <v>9342571</v>
      </c>
      <c r="F76" s="4476">
        <f>'Tab. 6G - Roln i ochrona środ.'!M81</f>
        <v>673271</v>
      </c>
      <c r="G76" s="4476"/>
      <c r="H76" s="4476">
        <f>'Tab. 6G - Roln i ochrona środ.'!O81</f>
        <v>0</v>
      </c>
      <c r="I76" s="4476">
        <f>'Tab. 6G - Roln i ochrona środ.'!P81</f>
        <v>1522759</v>
      </c>
      <c r="J76" s="4476">
        <f>'Tab. 6G - Roln i ochrona środ.'!Q81</f>
        <v>5026915</v>
      </c>
      <c r="K76" s="4476">
        <f>'Tab. 6G - Roln i ochrona środ.'!R81</f>
        <v>1438588</v>
      </c>
      <c r="L76" s="4476">
        <f>'Tab. 6G - Roln i ochrona środ.'!S81</f>
        <v>681038</v>
      </c>
      <c r="M76" s="4476">
        <f>'Tab. 6G - Roln i ochrona środ.'!T81</f>
        <v>0</v>
      </c>
      <c r="N76" s="4476">
        <f>'Tab. 6G - Roln i ochrona środ.'!U81</f>
        <v>0</v>
      </c>
      <c r="O76" s="4476">
        <f>'Tab. 6G - Roln i ochrona środ.'!V81</f>
        <v>0</v>
      </c>
      <c r="P76" s="4476"/>
      <c r="Q76" s="4464"/>
      <c r="R76" s="4523"/>
    </row>
    <row r="77" spans="1:28" ht="13.5" customHeight="1" thickBot="1">
      <c r="A77" s="4524"/>
      <c r="B77" s="4530" t="s">
        <v>270</v>
      </c>
      <c r="C77" s="4531"/>
      <c r="D77" s="4499"/>
      <c r="E77" s="4500">
        <f>G77+F77+H77+I77+J77+K77+L77+M77+N77+O77+P77</f>
        <v>10380652</v>
      </c>
      <c r="F77" s="4532">
        <f>'Tab. 6G - Roln i ochrona środ.'!M83</f>
        <v>1606516</v>
      </c>
      <c r="G77" s="4532"/>
      <c r="H77" s="4532">
        <f>'Tab. 6G - Roln i ochrona środ.'!O83</f>
        <v>2747420</v>
      </c>
      <c r="I77" s="4532">
        <f>'Tab. 6G - Roln i ochrona środ.'!P83</f>
        <v>2591481</v>
      </c>
      <c r="J77" s="4532">
        <f>'Tab. 6G - Roln i ochrona środ.'!Q83</f>
        <v>1106760</v>
      </c>
      <c r="K77" s="4532">
        <f>'Tab. 6G - Roln i ochrona środ.'!R83</f>
        <v>1780473</v>
      </c>
      <c r="L77" s="4532">
        <f>'Tab. 6G - Roln i ochrona środ.'!S83</f>
        <v>548002</v>
      </c>
      <c r="M77" s="4532">
        <f>'Tab. 6G - Roln i ochrona środ.'!T83</f>
        <v>0</v>
      </c>
      <c r="N77" s="4532">
        <f>'Tab. 6G - Roln i ochrona środ.'!U83</f>
        <v>0</v>
      </c>
      <c r="O77" s="4532">
        <f>'Tab. 6G - Roln i ochrona środ.'!V83</f>
        <v>0</v>
      </c>
      <c r="P77" s="4532"/>
      <c r="Q77" s="4464"/>
      <c r="R77" s="4523"/>
    </row>
    <row r="78" spans="1:28" ht="13.5" thickBot="1">
      <c r="A78" s="4533"/>
      <c r="B78" s="4534" t="s">
        <v>563</v>
      </c>
      <c r="C78" s="4535"/>
      <c r="D78" s="4536"/>
      <c r="E78" s="4537">
        <f>F78+H78+I78+J78+K78+L78+M78+N78+O78+P78</f>
        <v>10380652</v>
      </c>
      <c r="F78" s="4538">
        <f>'Tab. 6G - Roln i ochrona środ.'!M88</f>
        <v>4405356</v>
      </c>
      <c r="G78" s="4538"/>
      <c r="H78" s="4538">
        <f>'Tab. 6G - Roln i ochrona środ.'!O88</f>
        <v>0</v>
      </c>
      <c r="I78" s="4538">
        <f>'Tab. 6G - Roln i ochrona środ.'!P88</f>
        <v>4695765</v>
      </c>
      <c r="J78" s="4538">
        <f>'Tab. 6G - Roln i ochrona środ.'!Q88</f>
        <v>0</v>
      </c>
      <c r="K78" s="4538">
        <f>'Tab. 6G - Roln i ochrona środ.'!R88</f>
        <v>0</v>
      </c>
      <c r="L78" s="4538">
        <f>'Tab. 6G - Roln i ochrona środ.'!S88</f>
        <v>1279531</v>
      </c>
      <c r="M78" s="4538">
        <f>'Tab. 6G - Roln i ochrona środ.'!T88</f>
        <v>0</v>
      </c>
      <c r="N78" s="4538">
        <f>'Tab. 6G - Roln i ochrona środ.'!U88</f>
        <v>0</v>
      </c>
      <c r="O78" s="4538">
        <f>'Tab. 6G - Roln i ochrona środ.'!V88</f>
        <v>0</v>
      </c>
      <c r="P78" s="4538"/>
      <c r="Q78" s="4482"/>
      <c r="R78" s="4523"/>
    </row>
    <row r="79" spans="1:28" s="4553" customFormat="1" ht="13.5" customHeight="1">
      <c r="A79" s="4543"/>
      <c r="B79" s="4544"/>
      <c r="C79" s="4545"/>
      <c r="D79" s="4546"/>
      <c r="E79" s="4547"/>
      <c r="F79" s="4548"/>
      <c r="G79" s="4548"/>
      <c r="H79" s="4549"/>
      <c r="I79" s="4549"/>
      <c r="J79" s="4549"/>
      <c r="K79" s="4548"/>
      <c r="L79" s="4548"/>
      <c r="M79" s="4548"/>
      <c r="N79" s="4549"/>
      <c r="O79" s="4549"/>
      <c r="P79" s="4548"/>
      <c r="Q79" s="4550"/>
      <c r="R79" s="4551"/>
      <c r="S79" s="4552"/>
      <c r="T79" s="4552"/>
      <c r="U79" s="4552"/>
      <c r="V79" s="4552"/>
      <c r="W79" s="4552"/>
      <c r="X79" s="4552"/>
      <c r="Y79" s="4552"/>
      <c r="Z79" s="4552"/>
      <c r="AA79" s="4552"/>
      <c r="AB79" s="4552"/>
    </row>
    <row r="80" spans="1:28" s="4553" customFormat="1" ht="20.25" customHeight="1" thickBot="1">
      <c r="A80" s="4554"/>
      <c r="B80" s="4562" t="s">
        <v>664</v>
      </c>
      <c r="C80" s="4556"/>
      <c r="D80" s="4557"/>
      <c r="E80" s="4558"/>
      <c r="F80" s="4559"/>
      <c r="G80" s="4559"/>
      <c r="H80" s="4560"/>
      <c r="I80" s="4560"/>
      <c r="J80" s="4560"/>
      <c r="K80" s="4559"/>
      <c r="L80" s="4559"/>
      <c r="M80" s="4559"/>
      <c r="N80" s="4560"/>
      <c r="O80" s="4560"/>
      <c r="P80" s="4559"/>
      <c r="Q80" s="4561"/>
      <c r="R80" s="4551"/>
      <c r="S80" s="4552"/>
      <c r="T80" s="4552"/>
      <c r="U80" s="4552"/>
      <c r="V80" s="4552"/>
      <c r="W80" s="4552"/>
      <c r="X80" s="4552"/>
      <c r="Y80" s="4552"/>
      <c r="Z80" s="4552"/>
      <c r="AA80" s="4552"/>
      <c r="AB80" s="4552"/>
    </row>
    <row r="81" spans="1:28" ht="43.5" customHeight="1">
      <c r="A81" s="4516" t="s">
        <v>114</v>
      </c>
      <c r="B81" s="4563" t="s">
        <v>662</v>
      </c>
      <c r="C81" s="4518" t="s">
        <v>653</v>
      </c>
      <c r="D81" s="4519">
        <f>E84/E82%</f>
        <v>75</v>
      </c>
      <c r="E81" s="4520"/>
      <c r="F81" s="4521"/>
      <c r="G81" s="4520"/>
      <c r="H81" s="4522"/>
      <c r="I81" s="4522"/>
      <c r="J81" s="4522"/>
      <c r="K81" s="4521"/>
      <c r="L81" s="4521"/>
      <c r="M81" s="4521"/>
      <c r="N81" s="4522"/>
      <c r="O81" s="4522"/>
      <c r="P81" s="4521"/>
      <c r="Q81" s="4491" t="s">
        <v>532</v>
      </c>
      <c r="R81" s="4523"/>
    </row>
    <row r="82" spans="1:28" ht="13.5" customHeight="1">
      <c r="A82" s="4524"/>
      <c r="B82" s="4525" t="s">
        <v>268</v>
      </c>
      <c r="C82" s="4505"/>
      <c r="D82" s="4506"/>
      <c r="E82" s="4507">
        <f>G82+F82+H82+I82+J82+K82+L82+M82+N82+O82+P82</f>
        <v>24000</v>
      </c>
      <c r="F82" s="4508"/>
      <c r="G82" s="4508"/>
      <c r="H82" s="4508"/>
      <c r="I82" s="4508">
        <v>24000</v>
      </c>
      <c r="J82" s="4508"/>
      <c r="K82" s="4508"/>
      <c r="L82" s="4508"/>
      <c r="M82" s="4508"/>
      <c r="N82" s="4508"/>
      <c r="O82" s="4508"/>
      <c r="P82" s="4508"/>
      <c r="Q82" s="4464"/>
      <c r="R82" s="4523"/>
    </row>
    <row r="83" spans="1:28" ht="28.5" customHeight="1">
      <c r="A83" s="4524"/>
      <c r="B83" s="4526" t="s">
        <v>677</v>
      </c>
      <c r="C83" s="4527"/>
      <c r="D83" s="4528"/>
      <c r="E83" s="4529">
        <f>G83+F83+H83+I83+J83+K83+L83+M83+N83+O83+P83</f>
        <v>6000</v>
      </c>
      <c r="F83" s="4476"/>
      <c r="G83" s="4476"/>
      <c r="H83" s="4476"/>
      <c r="I83" s="4476">
        <v>6000</v>
      </c>
      <c r="J83" s="4476"/>
      <c r="K83" s="4476"/>
      <c r="L83" s="4476"/>
      <c r="M83" s="4476"/>
      <c r="N83" s="4476"/>
      <c r="O83" s="4476"/>
      <c r="P83" s="4476"/>
      <c r="Q83" s="4464"/>
      <c r="R83" s="4523"/>
    </row>
    <row r="84" spans="1:28" ht="13.5" customHeight="1" thickBot="1">
      <c r="A84" s="4524"/>
      <c r="B84" s="4530" t="s">
        <v>270</v>
      </c>
      <c r="C84" s="4531"/>
      <c r="D84" s="4499"/>
      <c r="E84" s="4500">
        <f>G84+F84+H84+I84+J84+K84+L84+M84+N84+O84+P84</f>
        <v>18000</v>
      </c>
      <c r="F84" s="4532"/>
      <c r="G84" s="4532"/>
      <c r="H84" s="4532"/>
      <c r="I84" s="4532">
        <v>18000</v>
      </c>
      <c r="J84" s="4532"/>
      <c r="K84" s="4532"/>
      <c r="L84" s="4532"/>
      <c r="M84" s="4532"/>
      <c r="N84" s="4532"/>
      <c r="O84" s="4532"/>
      <c r="P84" s="4532"/>
      <c r="Q84" s="4464"/>
      <c r="R84" s="4523"/>
    </row>
    <row r="85" spans="1:28" ht="13.5" customHeight="1" thickBot="1">
      <c r="A85" s="4533"/>
      <c r="B85" s="4534" t="s">
        <v>563</v>
      </c>
      <c r="C85" s="4535"/>
      <c r="D85" s="4536"/>
      <c r="E85" s="4537">
        <f>F85+H85+I85+J85+K85+L85+M85+N85+O85+P85</f>
        <v>24000</v>
      </c>
      <c r="F85" s="4538"/>
      <c r="G85" s="4538"/>
      <c r="H85" s="4538"/>
      <c r="I85" s="4538">
        <v>24000</v>
      </c>
      <c r="J85" s="4538"/>
      <c r="K85" s="4538"/>
      <c r="L85" s="4538"/>
      <c r="M85" s="4538"/>
      <c r="N85" s="4538"/>
      <c r="O85" s="4538"/>
      <c r="P85" s="4538"/>
      <c r="Q85" s="4482"/>
      <c r="R85" s="4523"/>
    </row>
    <row r="86" spans="1:28" s="4553" customFormat="1" ht="13.5" hidden="1" customHeight="1" thickBot="1">
      <c r="A86" s="4564"/>
      <c r="B86" s="4565" t="s">
        <v>667</v>
      </c>
      <c r="C86" s="4566"/>
      <c r="D86" s="4567"/>
      <c r="E86" s="4568"/>
      <c r="F86" s="4569"/>
      <c r="G86" s="4569"/>
      <c r="H86" s="4570"/>
      <c r="I86" s="4570"/>
      <c r="J86" s="4570"/>
      <c r="K86" s="4569"/>
      <c r="L86" s="4569"/>
      <c r="M86" s="4569"/>
      <c r="N86" s="4569"/>
      <c r="O86" s="4569"/>
      <c r="P86" s="4569"/>
      <c r="Q86" s="4571"/>
      <c r="R86" s="4551"/>
      <c r="S86" s="4552"/>
      <c r="T86" s="4552"/>
      <c r="U86" s="4552"/>
      <c r="V86" s="4552"/>
      <c r="W86" s="4552"/>
      <c r="X86" s="4552"/>
      <c r="Y86" s="4552"/>
      <c r="Z86" s="4552"/>
      <c r="AA86" s="4552"/>
      <c r="AB86" s="4552"/>
    </row>
    <row r="87" spans="1:28" ht="24" hidden="1">
      <c r="A87" s="4516"/>
      <c r="B87" s="4541" t="str">
        <f>'Tab. 6A -Drogi'!B81</f>
        <v>Przebudowa drogi woj. nr 203 na odcinku Koszalin - Iwięcino w ramach Osi II RPO (2007-2016)</v>
      </c>
      <c r="C87" s="4518" t="s">
        <v>645</v>
      </c>
      <c r="D87" s="4519">
        <f>E90/E88%</f>
        <v>71.478306822380091</v>
      </c>
      <c r="E87" s="4520"/>
      <c r="F87" s="4521"/>
      <c r="G87" s="4520"/>
      <c r="H87" s="4522"/>
      <c r="I87" s="4522"/>
      <c r="J87" s="4522"/>
      <c r="K87" s="4521"/>
      <c r="L87" s="4521"/>
      <c r="M87" s="4521"/>
      <c r="N87" s="4521"/>
      <c r="O87" s="4521"/>
      <c r="P87" s="4521"/>
      <c r="Q87" s="4491" t="s">
        <v>600</v>
      </c>
      <c r="R87" s="4523"/>
    </row>
    <row r="88" spans="1:28" ht="14.25" hidden="1" customHeight="1">
      <c r="A88" s="4524"/>
      <c r="B88" s="4525" t="s">
        <v>268</v>
      </c>
      <c r="C88" s="4468"/>
      <c r="D88" s="4506"/>
      <c r="E88" s="4507">
        <f>G88+F88+H88+I88+J88+K88+L88+M88</f>
        <v>39393906</v>
      </c>
      <c r="F88" s="4508">
        <f>'Tab. 6A -Drogi'!M82</f>
        <v>39360985</v>
      </c>
      <c r="G88" s="4508"/>
      <c r="H88" s="4508">
        <f>'Tab. 6A -Drogi'!O82</f>
        <v>13280</v>
      </c>
      <c r="I88" s="4508">
        <f>'Tab. 6A -Drogi'!P82</f>
        <v>19641</v>
      </c>
      <c r="J88" s="4508">
        <f>'Tab. 6A -Drogi'!Q82</f>
        <v>0</v>
      </c>
      <c r="K88" s="4508">
        <f>'Tab. 6A -Drogi'!R82</f>
        <v>0</v>
      </c>
      <c r="L88" s="4508">
        <f>'Tab. 6A -Drogi'!S82</f>
        <v>0</v>
      </c>
      <c r="M88" s="4508"/>
      <c r="N88" s="4508"/>
      <c r="O88" s="4508"/>
      <c r="P88" s="4508"/>
      <c r="Q88" s="4464"/>
      <c r="R88" s="4523"/>
    </row>
    <row r="89" spans="1:28" ht="13.5" hidden="1" customHeight="1">
      <c r="A89" s="4524"/>
      <c r="B89" s="4526" t="s">
        <v>568</v>
      </c>
      <c r="C89" s="4572"/>
      <c r="D89" s="4528"/>
      <c r="E89" s="4529">
        <f>G89+F89+H89+I89+J89+K89+L89+M89</f>
        <v>11235809</v>
      </c>
      <c r="F89" s="4476">
        <f>'Tab. 6A -Drogi'!M83</f>
        <v>11202888</v>
      </c>
      <c r="G89" s="4476"/>
      <c r="H89" s="4476">
        <f>'Tab. 6A -Drogi'!O83</f>
        <v>13280</v>
      </c>
      <c r="I89" s="4476">
        <f>'Tab. 6A -Drogi'!P83</f>
        <v>19641</v>
      </c>
      <c r="J89" s="4476">
        <f>'Tab. 6A -Drogi'!Q83</f>
        <v>0</v>
      </c>
      <c r="K89" s="4476">
        <f>'Tab. 6A -Drogi'!R83</f>
        <v>0</v>
      </c>
      <c r="L89" s="4476">
        <f>'Tab. 6A -Drogi'!S83</f>
        <v>0</v>
      </c>
      <c r="M89" s="4476"/>
      <c r="N89" s="4476"/>
      <c r="O89" s="4476"/>
      <c r="P89" s="4476"/>
      <c r="Q89" s="4464"/>
      <c r="R89" s="4523"/>
    </row>
    <row r="90" spans="1:28" ht="13.5" hidden="1" customHeight="1" thickBot="1">
      <c r="A90" s="4524"/>
      <c r="B90" s="4530" t="s">
        <v>270</v>
      </c>
      <c r="C90" s="4573"/>
      <c r="D90" s="4499"/>
      <c r="E90" s="4500">
        <f>G90+F90+H90+I90+J90+K90</f>
        <v>28158097</v>
      </c>
      <c r="F90" s="4532">
        <f>'Tab. 6A -Drogi'!M87</f>
        <v>28158097</v>
      </c>
      <c r="G90" s="4532"/>
      <c r="H90" s="4532">
        <f>'Tab. 6A -Drogi'!O87</f>
        <v>0</v>
      </c>
      <c r="I90" s="4532">
        <f>'Tab. 6A -Drogi'!P87</f>
        <v>0</v>
      </c>
      <c r="J90" s="4532">
        <f>'Tab. 6A -Drogi'!Q87</f>
        <v>0</v>
      </c>
      <c r="K90" s="4532">
        <f>'Tab. 6A -Drogi'!R87</f>
        <v>0</v>
      </c>
      <c r="L90" s="4532">
        <f>'Tab. 6A -Drogi'!S87</f>
        <v>0</v>
      </c>
      <c r="M90" s="4532"/>
      <c r="N90" s="4532"/>
      <c r="O90" s="4532"/>
      <c r="P90" s="4532"/>
      <c r="Q90" s="4464"/>
      <c r="R90" s="4523"/>
    </row>
    <row r="91" spans="1:28" ht="18" hidden="1" customHeight="1" thickBot="1">
      <c r="A91" s="4533"/>
      <c r="B91" s="4534" t="s">
        <v>563</v>
      </c>
      <c r="C91" s="4574"/>
      <c r="D91" s="4536"/>
      <c r="E91" s="4537">
        <f>F91+H91+I91+J91+K91+L91+M91</f>
        <v>28158097</v>
      </c>
      <c r="F91" s="4538">
        <f>'Tab. 6A -Drogi'!M94</f>
        <v>28158097</v>
      </c>
      <c r="G91" s="4538"/>
      <c r="H91" s="4538">
        <f>'Tab. 6A -Drogi'!O94</f>
        <v>0</v>
      </c>
      <c r="I91" s="4538">
        <f>'Tab. 6A -Drogi'!P94</f>
        <v>0</v>
      </c>
      <c r="J91" s="4538">
        <f>'Tab. 6A -Drogi'!Q94</f>
        <v>0</v>
      </c>
      <c r="K91" s="4538">
        <f>'Tab. 6A -Drogi'!R94</f>
        <v>0</v>
      </c>
      <c r="L91" s="4538">
        <f>'Tab. 6A -Drogi'!S94</f>
        <v>0</v>
      </c>
      <c r="M91" s="4538"/>
      <c r="N91" s="4538"/>
      <c r="O91" s="4538"/>
      <c r="P91" s="4538"/>
      <c r="Q91" s="4482"/>
      <c r="R91" s="4523"/>
    </row>
    <row r="92" spans="1:28" s="4553" customFormat="1" ht="26.25" hidden="1" customHeight="1" thickBot="1">
      <c r="A92" s="4516"/>
      <c r="B92" s="4541" t="str">
        <f>'Tab. 6A -Drogi'!B97</f>
        <v>Przebudowa drogi woj. nr 109 na odcinku Mrzeżyno - Trzebiatów w ramach Osi II RPO (2008-2016)</v>
      </c>
      <c r="C92" s="4518" t="s">
        <v>645</v>
      </c>
      <c r="D92" s="4519">
        <f>E95/E93%</f>
        <v>48.881158866444338</v>
      </c>
      <c r="E92" s="4520"/>
      <c r="F92" s="4521"/>
      <c r="G92" s="4520"/>
      <c r="H92" s="4522"/>
      <c r="I92" s="4522"/>
      <c r="J92" s="4522"/>
      <c r="K92" s="4521"/>
      <c r="L92" s="4521"/>
      <c r="M92" s="4521"/>
      <c r="N92" s="4521"/>
      <c r="O92" s="4521"/>
      <c r="P92" s="4521"/>
      <c r="Q92" s="4491" t="s">
        <v>600</v>
      </c>
      <c r="R92" s="4575"/>
      <c r="S92" s="4552"/>
      <c r="T92" s="4552"/>
      <c r="U92" s="4552"/>
      <c r="V92" s="4552"/>
      <c r="W92" s="4552"/>
      <c r="X92" s="4552"/>
      <c r="Y92" s="4552"/>
      <c r="Z92" s="4552"/>
      <c r="AA92" s="4552"/>
      <c r="AB92" s="4552"/>
    </row>
    <row r="93" spans="1:28" s="4553" customFormat="1" ht="18.75" hidden="1" customHeight="1" thickBot="1">
      <c r="A93" s="4524"/>
      <c r="B93" s="4525" t="s">
        <v>268</v>
      </c>
      <c r="C93" s="4468"/>
      <c r="D93" s="4506"/>
      <c r="E93" s="4507">
        <f>G93+F93+H93+I93+J93+K93+L93+M93</f>
        <v>15972643</v>
      </c>
      <c r="F93" s="4508">
        <f>'Tab. 6A -Drogi'!M98</f>
        <v>15820209</v>
      </c>
      <c r="G93" s="4508"/>
      <c r="H93" s="4508">
        <f>'Tab. 6A -Drogi'!O98</f>
        <v>0</v>
      </c>
      <c r="I93" s="4508">
        <f>'Tab. 6A -Drogi'!P98</f>
        <v>152434</v>
      </c>
      <c r="J93" s="4508">
        <f>'Tab. 6A -Drogi'!Q98</f>
        <v>0</v>
      </c>
      <c r="K93" s="4508"/>
      <c r="L93" s="4508"/>
      <c r="M93" s="4508"/>
      <c r="N93" s="4508"/>
      <c r="O93" s="4508"/>
      <c r="P93" s="4508"/>
      <c r="Q93" s="4464"/>
      <c r="R93" s="4575"/>
      <c r="S93" s="4552"/>
      <c r="T93" s="4552"/>
      <c r="U93" s="4552"/>
      <c r="V93" s="4552"/>
      <c r="W93" s="4552"/>
      <c r="X93" s="4552"/>
      <c r="Y93" s="4552"/>
      <c r="Z93" s="4552"/>
      <c r="AA93" s="4552"/>
      <c r="AB93" s="4552"/>
    </row>
    <row r="94" spans="1:28" s="4553" customFormat="1" ht="16.5" hidden="1" customHeight="1" thickBot="1">
      <c r="A94" s="4524"/>
      <c r="B94" s="4526" t="s">
        <v>568</v>
      </c>
      <c r="C94" s="4572"/>
      <c r="D94" s="4528"/>
      <c r="E94" s="4529">
        <f>G94+F94+H94+I94+J94+K94+L94+M94</f>
        <v>8165030</v>
      </c>
      <c r="F94" s="4476">
        <f>'Tab. 6A -Drogi'!M99</f>
        <v>8012596</v>
      </c>
      <c r="G94" s="4476"/>
      <c r="H94" s="4476">
        <f>'Tab. 6A -Drogi'!O99</f>
        <v>0</v>
      </c>
      <c r="I94" s="4476">
        <f>'Tab. 6A -Drogi'!P99</f>
        <v>152434</v>
      </c>
      <c r="J94" s="4476">
        <f>'Tab. 6A -Drogi'!Q99</f>
        <v>0</v>
      </c>
      <c r="K94" s="4476"/>
      <c r="L94" s="4476"/>
      <c r="M94" s="4476"/>
      <c r="N94" s="4476"/>
      <c r="O94" s="4476"/>
      <c r="P94" s="4476"/>
      <c r="Q94" s="4464"/>
      <c r="R94" s="4575"/>
      <c r="S94" s="4552"/>
      <c r="T94" s="4552"/>
      <c r="U94" s="4552"/>
      <c r="V94" s="4552"/>
      <c r="W94" s="4552"/>
      <c r="X94" s="4552"/>
      <c r="Y94" s="4552"/>
      <c r="Z94" s="4552"/>
      <c r="AA94" s="4552"/>
      <c r="AB94" s="4552"/>
    </row>
    <row r="95" spans="1:28" s="4553" customFormat="1" ht="14.25" hidden="1" customHeight="1" thickBot="1">
      <c r="A95" s="4524"/>
      <c r="B95" s="4530" t="s">
        <v>270</v>
      </c>
      <c r="C95" s="4573"/>
      <c r="D95" s="4499"/>
      <c r="E95" s="4500">
        <f>G95+F95+H95+I95+J95+K95</f>
        <v>7807613</v>
      </c>
      <c r="F95" s="4532">
        <f>'Tab. 6A -Drogi'!M102</f>
        <v>7807613</v>
      </c>
      <c r="G95" s="4532"/>
      <c r="H95" s="4532">
        <f>'Tab. 6A -Drogi'!O102</f>
        <v>0</v>
      </c>
      <c r="I95" s="4532">
        <f>'Tab. 6A -Drogi'!P102</f>
        <v>0</v>
      </c>
      <c r="J95" s="4532">
        <f>'Tab. 6A -Drogi'!Q102</f>
        <v>0</v>
      </c>
      <c r="K95" s="4532"/>
      <c r="L95" s="4532"/>
      <c r="M95" s="4532"/>
      <c r="N95" s="4532"/>
      <c r="O95" s="4532"/>
      <c r="P95" s="4532"/>
      <c r="Q95" s="4464"/>
      <c r="R95" s="4575"/>
      <c r="S95" s="4552"/>
      <c r="T95" s="4552"/>
      <c r="U95" s="4552"/>
      <c r="V95" s="4552"/>
      <c r="W95" s="4552"/>
      <c r="X95" s="4552"/>
      <c r="Y95" s="4552"/>
      <c r="Z95" s="4552"/>
      <c r="AA95" s="4552"/>
      <c r="AB95" s="4552"/>
    </row>
    <row r="96" spans="1:28" s="4553" customFormat="1" ht="18.75" hidden="1" customHeight="1" thickBot="1">
      <c r="A96" s="4533"/>
      <c r="B96" s="4534" t="s">
        <v>563</v>
      </c>
      <c r="C96" s="4574"/>
      <c r="D96" s="4536"/>
      <c r="E96" s="4537">
        <f>F96+H96+I96+J96+K96+L96+M96</f>
        <v>7807613</v>
      </c>
      <c r="F96" s="4538">
        <f>'Tab. 6A -Drogi'!M108</f>
        <v>7807613</v>
      </c>
      <c r="G96" s="4538"/>
      <c r="H96" s="4538">
        <f>'Tab. 6A -Drogi'!O108</f>
        <v>0</v>
      </c>
      <c r="I96" s="4538">
        <f>'Tab. 6A -Drogi'!P108</f>
        <v>0</v>
      </c>
      <c r="J96" s="4538">
        <f>'Tab. 6A -Drogi'!Q108</f>
        <v>0</v>
      </c>
      <c r="K96" s="4538"/>
      <c r="L96" s="4538"/>
      <c r="M96" s="4538"/>
      <c r="N96" s="4538"/>
      <c r="O96" s="4538"/>
      <c r="P96" s="4538"/>
      <c r="Q96" s="4482"/>
      <c r="R96" s="4575"/>
      <c r="S96" s="4552"/>
      <c r="T96" s="4552"/>
      <c r="U96" s="4552"/>
      <c r="V96" s="4552"/>
      <c r="W96" s="4552"/>
      <c r="X96" s="4552"/>
      <c r="Y96" s="4552"/>
      <c r="Z96" s="4552"/>
      <c r="AA96" s="4552"/>
      <c r="AB96" s="4552"/>
    </row>
    <row r="97" spans="1:28" s="4553" customFormat="1" ht="27" hidden="1" customHeight="1" thickBot="1">
      <c r="A97" s="4516"/>
      <c r="B97" s="4541" t="str">
        <f>'Tab. 6A -Drogi'!B111</f>
        <v>Przebudowa drogi woj. nr 203 na odcinku Iwięcino - Darłowo, etap I Iwięcino - Dąbki w ramach Osi II RPO (2007-2016)</v>
      </c>
      <c r="C97" s="4518" t="s">
        <v>645</v>
      </c>
      <c r="D97" s="4519">
        <f>E100/E98%</f>
        <v>89.363202974909044</v>
      </c>
      <c r="E97" s="4520"/>
      <c r="F97" s="4521"/>
      <c r="G97" s="4520"/>
      <c r="H97" s="4522"/>
      <c r="I97" s="4522"/>
      <c r="J97" s="4522"/>
      <c r="K97" s="4521"/>
      <c r="L97" s="4521"/>
      <c r="M97" s="4521"/>
      <c r="N97" s="4521"/>
      <c r="O97" s="4521"/>
      <c r="P97" s="4521"/>
      <c r="Q97" s="4491" t="s">
        <v>600</v>
      </c>
      <c r="R97" s="4575"/>
      <c r="S97" s="4552"/>
      <c r="T97" s="4552"/>
      <c r="U97" s="4552"/>
      <c r="V97" s="4552"/>
      <c r="W97" s="4552"/>
      <c r="X97" s="4552"/>
      <c r="Y97" s="4552"/>
      <c r="Z97" s="4552"/>
      <c r="AA97" s="4552"/>
      <c r="AB97" s="4552"/>
    </row>
    <row r="98" spans="1:28" s="4553" customFormat="1" ht="18.75" hidden="1" customHeight="1" thickBot="1">
      <c r="A98" s="4524"/>
      <c r="B98" s="4525" t="s">
        <v>268</v>
      </c>
      <c r="C98" s="4468"/>
      <c r="D98" s="4506"/>
      <c r="E98" s="4507">
        <f>G98+F98+H98+I98+J98+K98+L98+M98</f>
        <v>43721404</v>
      </c>
      <c r="F98" s="4508">
        <f>'Tab. 6A -Drogi'!M112</f>
        <v>43214290</v>
      </c>
      <c r="G98" s="4508"/>
      <c r="H98" s="4508">
        <f>'Tab. 6A -Drogi'!O112</f>
        <v>107114</v>
      </c>
      <c r="I98" s="4508">
        <f>'Tab. 6A -Drogi'!P112</f>
        <v>400000</v>
      </c>
      <c r="J98" s="4508">
        <f>'Tab. 6A -Drogi'!Q112</f>
        <v>0</v>
      </c>
      <c r="K98" s="4508"/>
      <c r="L98" s="4508"/>
      <c r="M98" s="4508"/>
      <c r="N98" s="4508"/>
      <c r="O98" s="4508"/>
      <c r="P98" s="4508"/>
      <c r="Q98" s="4464"/>
      <c r="R98" s="4575"/>
      <c r="S98" s="4552"/>
      <c r="T98" s="4552"/>
      <c r="U98" s="4552"/>
      <c r="V98" s="4552"/>
      <c r="W98" s="4552"/>
      <c r="X98" s="4552"/>
      <c r="Y98" s="4552"/>
      <c r="Z98" s="4552"/>
      <c r="AA98" s="4552"/>
      <c r="AB98" s="4552"/>
    </row>
    <row r="99" spans="1:28" s="4553" customFormat="1" ht="15.75" hidden="1" customHeight="1" thickBot="1">
      <c r="A99" s="4524"/>
      <c r="B99" s="4526" t="s">
        <v>568</v>
      </c>
      <c r="C99" s="4572"/>
      <c r="D99" s="4528"/>
      <c r="E99" s="4529">
        <f>G99+F99+H99+I99+J99+K99+L99+M99</f>
        <v>4650557</v>
      </c>
      <c r="F99" s="4476">
        <f>'Tab. 6A -Drogi'!M113</f>
        <v>4176598</v>
      </c>
      <c r="G99" s="4476"/>
      <c r="H99" s="4476">
        <f>'Tab. 6A -Drogi'!O113</f>
        <v>73959</v>
      </c>
      <c r="I99" s="4476">
        <f>'Tab. 6A -Drogi'!P113</f>
        <v>400000</v>
      </c>
      <c r="J99" s="4476">
        <f>'Tab. 6A -Drogi'!Q113</f>
        <v>0</v>
      </c>
      <c r="K99" s="4476"/>
      <c r="L99" s="4476"/>
      <c r="M99" s="4476"/>
      <c r="N99" s="4476"/>
      <c r="O99" s="4476"/>
      <c r="P99" s="4476"/>
      <c r="Q99" s="4464"/>
      <c r="R99" s="4575"/>
      <c r="S99" s="4552"/>
      <c r="T99" s="4552"/>
      <c r="U99" s="4552"/>
      <c r="V99" s="4552"/>
      <c r="W99" s="4552"/>
      <c r="X99" s="4552"/>
      <c r="Y99" s="4552"/>
      <c r="Z99" s="4552"/>
      <c r="AA99" s="4552"/>
      <c r="AB99" s="4552"/>
    </row>
    <row r="100" spans="1:28" s="4553" customFormat="1" ht="15.75" hidden="1" customHeight="1" thickBot="1">
      <c r="A100" s="4524"/>
      <c r="B100" s="4530" t="s">
        <v>270</v>
      </c>
      <c r="C100" s="4573"/>
      <c r="D100" s="4499"/>
      <c r="E100" s="4500">
        <f>G100+F100+H100+I100+J100+K100</f>
        <v>39070847</v>
      </c>
      <c r="F100" s="4532">
        <f>'Tab. 6A -Drogi'!M117</f>
        <v>39037692</v>
      </c>
      <c r="G100" s="4532"/>
      <c r="H100" s="4532">
        <f>'Tab. 6A -Drogi'!O117</f>
        <v>33155</v>
      </c>
      <c r="I100" s="4532">
        <f>'Tab. 6A -Drogi'!P117</f>
        <v>0</v>
      </c>
      <c r="J100" s="4532">
        <f>'Tab. 6A -Drogi'!Q117</f>
        <v>0</v>
      </c>
      <c r="K100" s="4532"/>
      <c r="L100" s="4532"/>
      <c r="M100" s="4532"/>
      <c r="N100" s="4532"/>
      <c r="O100" s="4532"/>
      <c r="P100" s="4532"/>
      <c r="Q100" s="4464"/>
      <c r="R100" s="4575"/>
      <c r="S100" s="4552"/>
      <c r="T100" s="4552"/>
      <c r="U100" s="4552"/>
      <c r="V100" s="4552"/>
      <c r="W100" s="4552"/>
      <c r="X100" s="4552"/>
      <c r="Y100" s="4552"/>
      <c r="Z100" s="4552"/>
      <c r="AA100" s="4552"/>
      <c r="AB100" s="4552"/>
    </row>
    <row r="101" spans="1:28" s="4553" customFormat="1" ht="18.75" hidden="1" customHeight="1" thickBot="1">
      <c r="A101" s="4533"/>
      <c r="B101" s="4534" t="s">
        <v>563</v>
      </c>
      <c r="C101" s="4574"/>
      <c r="D101" s="4536"/>
      <c r="E101" s="4537">
        <f>F101+H101+I101+J101+K101+L101+M101</f>
        <v>39070847</v>
      </c>
      <c r="F101" s="4538">
        <f>'Tab. 6A -Drogi'!M121</f>
        <v>35276285</v>
      </c>
      <c r="G101" s="4538"/>
      <c r="H101" s="4538">
        <f>'Tab. 6A -Drogi'!O121</f>
        <v>3794562</v>
      </c>
      <c r="I101" s="4538">
        <f>'Tab. 6A -Drogi'!P121</f>
        <v>0</v>
      </c>
      <c r="J101" s="4538">
        <f>'Tab. 6A -Drogi'!Q121</f>
        <v>0</v>
      </c>
      <c r="K101" s="4538"/>
      <c r="L101" s="4538"/>
      <c r="M101" s="4538"/>
      <c r="N101" s="4538"/>
      <c r="O101" s="4538"/>
      <c r="P101" s="4538"/>
      <c r="Q101" s="4482"/>
      <c r="R101" s="4575"/>
      <c r="S101" s="4552"/>
      <c r="T101" s="4552"/>
      <c r="U101" s="4552"/>
      <c r="V101" s="4552"/>
      <c r="W101" s="4552"/>
      <c r="X101" s="4552"/>
      <c r="Y101" s="4552"/>
      <c r="Z101" s="4552"/>
      <c r="AA101" s="4552"/>
      <c r="AB101" s="4552"/>
    </row>
    <row r="102" spans="1:28" s="4553" customFormat="1" ht="30" hidden="1" customHeight="1" thickBot="1">
      <c r="A102" s="4516"/>
      <c r="B102" s="4541" t="str">
        <f>'Tab. 6A -Drogi'!B144</f>
        <v>Budowa obejścia m. Szczecinek w ciągu drogi nr 172 w ramach Osi II RPO (2009-2016)</v>
      </c>
      <c r="C102" s="4518" t="s">
        <v>645</v>
      </c>
      <c r="D102" s="4519">
        <f>E105/E103%</f>
        <v>58.21772983757856</v>
      </c>
      <c r="E102" s="4520"/>
      <c r="F102" s="4521"/>
      <c r="G102" s="4520"/>
      <c r="H102" s="4522"/>
      <c r="I102" s="4522"/>
      <c r="J102" s="4522"/>
      <c r="K102" s="4521"/>
      <c r="L102" s="4521"/>
      <c r="M102" s="4521"/>
      <c r="N102" s="4521"/>
      <c r="O102" s="4521"/>
      <c r="P102" s="4521"/>
      <c r="Q102" s="4491" t="s">
        <v>600</v>
      </c>
      <c r="R102" s="4575"/>
      <c r="S102" s="4552"/>
      <c r="T102" s="4552"/>
      <c r="U102" s="4552"/>
      <c r="V102" s="4552"/>
      <c r="W102" s="4552"/>
      <c r="X102" s="4552"/>
      <c r="Y102" s="4552"/>
      <c r="Z102" s="4552"/>
      <c r="AA102" s="4552"/>
      <c r="AB102" s="4552"/>
    </row>
    <row r="103" spans="1:28" s="4553" customFormat="1" ht="18.75" hidden="1" customHeight="1" thickBot="1">
      <c r="A103" s="4524"/>
      <c r="B103" s="4525" t="s">
        <v>268</v>
      </c>
      <c r="C103" s="4505"/>
      <c r="D103" s="4506"/>
      <c r="E103" s="4507">
        <f>G103+F103+H103+I103+J103+K103+L103+M103</f>
        <v>21403332</v>
      </c>
      <c r="F103" s="4508">
        <f>'Tab. 6A -Drogi'!M145</f>
        <v>21203332</v>
      </c>
      <c r="G103" s="4508"/>
      <c r="H103" s="4508">
        <f>'Tab. 6A -Drogi'!O145</f>
        <v>0</v>
      </c>
      <c r="I103" s="4508">
        <f>'Tab. 6A -Drogi'!P145</f>
        <v>200000</v>
      </c>
      <c r="J103" s="4508">
        <f>'Tab. 6A -Drogi'!Q145</f>
        <v>0</v>
      </c>
      <c r="K103" s="4508"/>
      <c r="L103" s="4508"/>
      <c r="M103" s="4508"/>
      <c r="N103" s="4508"/>
      <c r="O103" s="4508"/>
      <c r="P103" s="4508"/>
      <c r="Q103" s="4464"/>
      <c r="R103" s="4575"/>
      <c r="S103" s="4552"/>
      <c r="T103" s="4552"/>
      <c r="U103" s="4552"/>
      <c r="V103" s="4552"/>
      <c r="W103" s="4552"/>
      <c r="X103" s="4552"/>
      <c r="Y103" s="4552"/>
      <c r="Z103" s="4552"/>
      <c r="AA103" s="4552"/>
      <c r="AB103" s="4552"/>
    </row>
    <row r="104" spans="1:28" s="4553" customFormat="1" ht="18" hidden="1" customHeight="1" thickBot="1">
      <c r="A104" s="4524"/>
      <c r="B104" s="4526" t="s">
        <v>568</v>
      </c>
      <c r="C104" s="4527"/>
      <c r="D104" s="4528"/>
      <c r="E104" s="4529">
        <f>G104+F104+H104+I104+J104+K104+L104+M104</f>
        <v>8942798</v>
      </c>
      <c r="F104" s="4476">
        <f>'Tab. 6A -Drogi'!M146</f>
        <v>8742798</v>
      </c>
      <c r="G104" s="4476"/>
      <c r="H104" s="4476">
        <f>'Tab. 6A -Drogi'!O146</f>
        <v>0</v>
      </c>
      <c r="I104" s="4476">
        <f>'Tab. 6A -Drogi'!P146</f>
        <v>200000</v>
      </c>
      <c r="J104" s="4476">
        <f>'Tab. 6A -Drogi'!Q146</f>
        <v>0</v>
      </c>
      <c r="K104" s="4476"/>
      <c r="L104" s="4476"/>
      <c r="M104" s="4476"/>
      <c r="N104" s="4476"/>
      <c r="O104" s="4476"/>
      <c r="P104" s="4476"/>
      <c r="Q104" s="4464"/>
      <c r="R104" s="4575"/>
      <c r="S104" s="4552"/>
      <c r="T104" s="4552"/>
      <c r="U104" s="4552"/>
      <c r="V104" s="4552"/>
      <c r="W104" s="4552"/>
      <c r="X104" s="4552"/>
      <c r="Y104" s="4552"/>
      <c r="Z104" s="4552"/>
      <c r="AA104" s="4552"/>
      <c r="AB104" s="4552"/>
    </row>
    <row r="105" spans="1:28" s="4553" customFormat="1" ht="13.5" hidden="1" thickBot="1">
      <c r="A105" s="4524"/>
      <c r="B105" s="4530" t="s">
        <v>270</v>
      </c>
      <c r="C105" s="4531"/>
      <c r="D105" s="4499"/>
      <c r="E105" s="4500">
        <f>G105+F105+H105+I105+J105+K105</f>
        <v>12460534</v>
      </c>
      <c r="F105" s="4532">
        <f>'Tab. 6A -Drogi'!M149</f>
        <v>12460534</v>
      </c>
      <c r="G105" s="4532"/>
      <c r="H105" s="4532">
        <f>'Tab. 6A -Drogi'!O149</f>
        <v>0</v>
      </c>
      <c r="I105" s="4532">
        <f>'Tab. 6A -Drogi'!P149</f>
        <v>0</v>
      </c>
      <c r="J105" s="4532">
        <f>'Tab. 6A -Drogi'!Q149</f>
        <v>0</v>
      </c>
      <c r="K105" s="4532"/>
      <c r="L105" s="4532"/>
      <c r="M105" s="4532"/>
      <c r="N105" s="4532"/>
      <c r="O105" s="4532"/>
      <c r="P105" s="4532"/>
      <c r="Q105" s="4464"/>
      <c r="R105" s="4575"/>
      <c r="S105" s="4552"/>
      <c r="T105" s="4552"/>
      <c r="U105" s="4552"/>
      <c r="V105" s="4552"/>
      <c r="W105" s="4552"/>
      <c r="X105" s="4552"/>
      <c r="Y105" s="4552"/>
      <c r="Z105" s="4552"/>
      <c r="AA105" s="4552"/>
      <c r="AB105" s="4552"/>
    </row>
    <row r="106" spans="1:28" s="4553" customFormat="1" ht="18.75" hidden="1" customHeight="1" thickBot="1">
      <c r="A106" s="4533"/>
      <c r="B106" s="4534" t="s">
        <v>563</v>
      </c>
      <c r="C106" s="4535"/>
      <c r="D106" s="4536"/>
      <c r="E106" s="4537">
        <f>F106+H106+I106+J106+K106+L106+M106</f>
        <v>12460534</v>
      </c>
      <c r="F106" s="4538">
        <f>'Tab. 6A -Drogi'!M154</f>
        <v>12460534</v>
      </c>
      <c r="G106" s="4538"/>
      <c r="H106" s="4538">
        <f>'Tab. 6A -Drogi'!O154</f>
        <v>0</v>
      </c>
      <c r="I106" s="4538">
        <f>'Tab. 6A -Drogi'!P154</f>
        <v>0</v>
      </c>
      <c r="J106" s="4538">
        <f>'Tab. 6A -Drogi'!Q154</f>
        <v>0</v>
      </c>
      <c r="K106" s="4538"/>
      <c r="L106" s="4538"/>
      <c r="M106" s="4538"/>
      <c r="N106" s="4538"/>
      <c r="O106" s="4538"/>
      <c r="P106" s="4538"/>
      <c r="Q106" s="4482"/>
      <c r="R106" s="4575"/>
      <c r="S106" s="4552"/>
      <c r="T106" s="4552"/>
      <c r="U106" s="4552"/>
      <c r="V106" s="4552"/>
      <c r="W106" s="4552"/>
      <c r="X106" s="4552"/>
      <c r="Y106" s="4552"/>
      <c r="Z106" s="4552"/>
      <c r="AA106" s="4552"/>
      <c r="AB106" s="4552"/>
    </row>
    <row r="107" spans="1:28" ht="13.5" customHeight="1" thickBot="1">
      <c r="A107" s="4576"/>
      <c r="B107" s="4577"/>
      <c r="C107" s="4578"/>
      <c r="D107" s="4579"/>
      <c r="E107" s="4580"/>
      <c r="F107" s="4581"/>
      <c r="G107" s="4581"/>
      <c r="H107" s="4581"/>
      <c r="I107" s="4581"/>
      <c r="J107" s="4581"/>
      <c r="K107" s="4581"/>
      <c r="L107" s="4581"/>
      <c r="M107" s="4581"/>
      <c r="N107" s="4581"/>
      <c r="O107" s="4581"/>
      <c r="P107" s="4581"/>
      <c r="Q107" s="4523"/>
      <c r="R107" s="4523"/>
    </row>
    <row r="108" spans="1:28" ht="18" customHeight="1" thickBot="1">
      <c r="A108" s="4582" t="s">
        <v>591</v>
      </c>
      <c r="B108" s="4582" t="s">
        <v>571</v>
      </c>
      <c r="C108" s="4451"/>
      <c r="D108" s="4452"/>
      <c r="E108" s="4453">
        <f t="shared" ref="E108:P108" si="2">E111+E116+E121+E126+E194+E131+E136+E141+E146+E151+E156+E161+E166+E171+E176+E181+E186+E201+E207</f>
        <v>342601705</v>
      </c>
      <c r="F108" s="4453">
        <f t="shared" si="2"/>
        <v>426557</v>
      </c>
      <c r="G108" s="4453">
        <f t="shared" si="2"/>
        <v>0</v>
      </c>
      <c r="H108" s="4453">
        <f t="shared" si="2"/>
        <v>4678496</v>
      </c>
      <c r="I108" s="4453">
        <f t="shared" si="2"/>
        <v>51120927</v>
      </c>
      <c r="J108" s="4453">
        <f t="shared" si="2"/>
        <v>48896487</v>
      </c>
      <c r="K108" s="4453">
        <f t="shared" si="2"/>
        <v>45526471</v>
      </c>
      <c r="L108" s="4453">
        <f t="shared" si="2"/>
        <v>40092128</v>
      </c>
      <c r="M108" s="4453">
        <f t="shared" si="2"/>
        <v>40492994</v>
      </c>
      <c r="N108" s="4453">
        <f t="shared" si="2"/>
        <v>39209519</v>
      </c>
      <c r="O108" s="4453">
        <f t="shared" si="2"/>
        <v>36676723</v>
      </c>
      <c r="P108" s="4453">
        <f t="shared" si="2"/>
        <v>35481403</v>
      </c>
      <c r="Q108" s="4583"/>
      <c r="R108" s="4523"/>
    </row>
    <row r="109" spans="1:28" ht="13.5" customHeight="1" thickBot="1">
      <c r="A109" s="4576"/>
      <c r="B109" s="4577"/>
      <c r="C109" s="4578"/>
      <c r="D109" s="4579"/>
      <c r="E109" s="4580"/>
      <c r="F109" s="4581"/>
      <c r="G109" s="4581"/>
      <c r="H109" s="4581"/>
      <c r="I109" s="4581"/>
      <c r="J109" s="4581"/>
      <c r="K109" s="4581"/>
      <c r="L109" s="4581"/>
      <c r="M109" s="4581"/>
      <c r="N109" s="4581"/>
      <c r="O109" s="4581"/>
      <c r="P109" s="4581"/>
      <c r="Q109" s="4523"/>
      <c r="R109" s="4523"/>
    </row>
    <row r="110" spans="1:28" ht="61.5" customHeight="1">
      <c r="A110" s="4516" t="s">
        <v>79</v>
      </c>
      <c r="B110" s="4517" t="str">
        <f>'Tab. 6B Polit społ i rozwój prz'!B148</f>
        <v>Oś Priorytetowa VI, Pomoc Techniczna w ramach  PO WER 2014 - 2020 (2015-2018)</v>
      </c>
      <c r="C110" s="4539" t="s">
        <v>611</v>
      </c>
      <c r="D110" s="4519">
        <f>E113/E111%</f>
        <v>84.279984855297855</v>
      </c>
      <c r="E110" s="4520"/>
      <c r="F110" s="4521"/>
      <c r="G110" s="4520"/>
      <c r="H110" s="4522"/>
      <c r="I110" s="4522"/>
      <c r="J110" s="4522"/>
      <c r="K110" s="4521"/>
      <c r="L110" s="4521"/>
      <c r="M110" s="4521"/>
      <c r="N110" s="4584"/>
      <c r="O110" s="4584"/>
      <c r="P110" s="4584"/>
      <c r="Q110" s="4491" t="s">
        <v>572</v>
      </c>
      <c r="R110" s="4523"/>
    </row>
    <row r="111" spans="1:28" ht="13.5" customHeight="1">
      <c r="A111" s="4524"/>
      <c r="B111" s="4525" t="s">
        <v>268</v>
      </c>
      <c r="C111" s="4505"/>
      <c r="D111" s="4506"/>
      <c r="E111" s="4507">
        <f>G111+F111+H111+I111+J111+K111+L111+M111</f>
        <v>4954868</v>
      </c>
      <c r="F111" s="4508">
        <f>'Tab. 6B Polit społ i rozwój prz'!M149</f>
        <v>0</v>
      </c>
      <c r="G111" s="4508">
        <f>'Tab. 6B Polit społ i rozwój prz'!N149</f>
        <v>0</v>
      </c>
      <c r="H111" s="4508">
        <f>'Tab. 6B Polit społ i rozwój prz'!O149</f>
        <v>448847</v>
      </c>
      <c r="I111" s="4508">
        <f>'Tab. 6B Polit społ i rozwój prz'!P149</f>
        <v>1718021</v>
      </c>
      <c r="J111" s="4508">
        <f>'Tab. 6B Polit społ i rozwój prz'!Q149</f>
        <v>1394000</v>
      </c>
      <c r="K111" s="4508">
        <f>'Tab. 6B Polit społ i rozwój prz'!R149</f>
        <v>1394000</v>
      </c>
      <c r="L111" s="4508">
        <f>'Tab. 6B Polit społ i rozwój prz'!S149</f>
        <v>0</v>
      </c>
      <c r="M111" s="4508">
        <f>'Tab. 6B Polit społ i rozwój prz'!T149</f>
        <v>0</v>
      </c>
      <c r="N111" s="4508">
        <f>'Tab. 6B Polit społ i rozwój prz'!U149</f>
        <v>0</v>
      </c>
      <c r="O111" s="4508">
        <f>'Tab. 6B Polit społ i rozwój prz'!V149</f>
        <v>0</v>
      </c>
      <c r="P111" s="4508">
        <f>'Tab. 6B Polit społ i rozwój prz'!W149</f>
        <v>0</v>
      </c>
      <c r="Q111" s="4464"/>
      <c r="R111" s="4523"/>
    </row>
    <row r="112" spans="1:28" ht="13.5" customHeight="1">
      <c r="A112" s="4524"/>
      <c r="B112" s="4526" t="s">
        <v>568</v>
      </c>
      <c r="C112" s="4527"/>
      <c r="D112" s="4528"/>
      <c r="E112" s="4529">
        <f>G112+F112+H112+I112+J112+K112+L112+M112</f>
        <v>778906</v>
      </c>
      <c r="F112" s="4476">
        <f>'Tab. 6B Polit społ i rozwój prz'!M150</f>
        <v>0</v>
      </c>
      <c r="G112" s="4476">
        <f>'Tab. 6B Polit społ i rozwój prz'!N150</f>
        <v>0</v>
      </c>
      <c r="H112" s="4476">
        <f>'Tab. 6B Polit społ i rozwój prz'!O150</f>
        <v>70559</v>
      </c>
      <c r="I112" s="4476">
        <f>'Tab. 6B Polit społ i rozwój prz'!P150</f>
        <v>270073</v>
      </c>
      <c r="J112" s="4476">
        <f>'Tab. 6B Polit społ i rozwój prz'!Q150</f>
        <v>219137</v>
      </c>
      <c r="K112" s="4476">
        <f>'Tab. 6B Polit społ i rozwój prz'!R150</f>
        <v>219137</v>
      </c>
      <c r="L112" s="4476">
        <f>'Tab. 6B Polit społ i rozwój prz'!S150</f>
        <v>0</v>
      </c>
      <c r="M112" s="4476">
        <f>'Tab. 6B Polit społ i rozwój prz'!T150</f>
        <v>0</v>
      </c>
      <c r="N112" s="4476">
        <f>'Tab. 6B Polit społ i rozwój prz'!U150</f>
        <v>0</v>
      </c>
      <c r="O112" s="4476">
        <f>'Tab. 6B Polit społ i rozwój prz'!V150</f>
        <v>0</v>
      </c>
      <c r="P112" s="4476">
        <f>'Tab. 6B Polit społ i rozwój prz'!W150</f>
        <v>0</v>
      </c>
      <c r="Q112" s="4464"/>
      <c r="R112" s="4523"/>
    </row>
    <row r="113" spans="1:18" ht="13.5" customHeight="1" thickBot="1">
      <c r="A113" s="4524"/>
      <c r="B113" s="4530" t="s">
        <v>270</v>
      </c>
      <c r="C113" s="4531"/>
      <c r="D113" s="4499"/>
      <c r="E113" s="4500">
        <f>G113+F113+H113+I113+J113+K113</f>
        <v>4175962</v>
      </c>
      <c r="F113" s="4532">
        <f>'Tab. 6B Polit społ i rozwój prz'!M153</f>
        <v>0</v>
      </c>
      <c r="G113" s="4532">
        <f>'Tab. 6B Polit społ i rozwój prz'!N153</f>
        <v>0</v>
      </c>
      <c r="H113" s="4532">
        <f>'Tab. 6B Polit społ i rozwój prz'!O153</f>
        <v>378288</v>
      </c>
      <c r="I113" s="4532">
        <f>'Tab. 6B Polit społ i rozwój prz'!P153</f>
        <v>1447948</v>
      </c>
      <c r="J113" s="4532">
        <f>'Tab. 6B Polit społ i rozwój prz'!Q153</f>
        <v>1174863</v>
      </c>
      <c r="K113" s="4532">
        <f>'Tab. 6B Polit społ i rozwój prz'!R153</f>
        <v>1174863</v>
      </c>
      <c r="L113" s="4532">
        <f>'Tab. 6B Polit społ i rozwój prz'!S153</f>
        <v>0</v>
      </c>
      <c r="M113" s="4532">
        <f>'Tab. 6B Polit społ i rozwój prz'!T153</f>
        <v>0</v>
      </c>
      <c r="N113" s="4532">
        <f>'Tab. 6B Polit społ i rozwój prz'!U153</f>
        <v>0</v>
      </c>
      <c r="O113" s="4532">
        <f>'Tab. 6B Polit społ i rozwój prz'!V153</f>
        <v>0</v>
      </c>
      <c r="P113" s="4532">
        <f>'Tab. 6B Polit społ i rozwój prz'!W153</f>
        <v>0</v>
      </c>
      <c r="Q113" s="4464"/>
      <c r="R113" s="4523"/>
    </row>
    <row r="114" spans="1:18" ht="13.5" customHeight="1" thickBot="1">
      <c r="A114" s="4533"/>
      <c r="B114" s="4534" t="s">
        <v>563</v>
      </c>
      <c r="C114" s="4535"/>
      <c r="D114" s="4536"/>
      <c r="E114" s="4537">
        <f>F114+H114+I114+J114+K114+L114+M114</f>
        <v>4175962</v>
      </c>
      <c r="F114" s="4538">
        <f>'Tab. 6B Polit społ i rozwój prz'!M158</f>
        <v>0</v>
      </c>
      <c r="G114" s="4538">
        <f>'Tab. 6B Polit społ i rozwój prz'!N158</f>
        <v>0</v>
      </c>
      <c r="H114" s="4538">
        <f>'Tab. 6B Polit społ i rozwój prz'!O158</f>
        <v>378288</v>
      </c>
      <c r="I114" s="4538">
        <f>'Tab. 6B Polit społ i rozwój prz'!P158</f>
        <v>1447948</v>
      </c>
      <c r="J114" s="4538">
        <f>'Tab. 6B Polit społ i rozwój prz'!Q158</f>
        <v>1174863</v>
      </c>
      <c r="K114" s="4538">
        <f>'Tab. 6B Polit społ i rozwój prz'!R158</f>
        <v>1174863</v>
      </c>
      <c r="L114" s="4538">
        <f>'Tab. 6B Polit społ i rozwój prz'!S158</f>
        <v>0</v>
      </c>
      <c r="M114" s="4538">
        <f>'Tab. 6B Polit społ i rozwój prz'!T158</f>
        <v>0</v>
      </c>
      <c r="N114" s="4538">
        <f>'Tab. 6B Polit społ i rozwój prz'!U158</f>
        <v>0</v>
      </c>
      <c r="O114" s="4538">
        <f>'Tab. 6B Polit społ i rozwój prz'!V158</f>
        <v>0</v>
      </c>
      <c r="P114" s="4538">
        <f>'Tab. 6B Polit społ i rozwój prz'!W158</f>
        <v>0</v>
      </c>
      <c r="Q114" s="4482"/>
      <c r="R114" s="4523"/>
    </row>
    <row r="115" spans="1:18" ht="42" customHeight="1">
      <c r="A115" s="4516" t="s">
        <v>80</v>
      </c>
      <c r="B115" s="4517" t="str">
        <f>'Tab. 6B Polit społ i rozwój prz'!B31</f>
        <v>Wspieranie innowacyjnych ekosystemów przedsiębiorczości w regionach na rzecz młodych przedsiębiorców (iEER) w ramach Interreg VC (2016-2020)</v>
      </c>
      <c r="C115" s="4518" t="s">
        <v>646</v>
      </c>
      <c r="D115" s="4519">
        <f>E118/E116%</f>
        <v>84.318715073164768</v>
      </c>
      <c r="E115" s="4520"/>
      <c r="F115" s="4521"/>
      <c r="G115" s="4520"/>
      <c r="H115" s="4522"/>
      <c r="I115" s="4522"/>
      <c r="J115" s="4522"/>
      <c r="K115" s="4521"/>
      <c r="L115" s="4521"/>
      <c r="M115" s="4521"/>
      <c r="N115" s="4522"/>
      <c r="O115" s="4522"/>
      <c r="P115" s="4521"/>
      <c r="Q115" s="4491" t="s">
        <v>131</v>
      </c>
      <c r="R115" s="4523"/>
    </row>
    <row r="116" spans="1:18" ht="13.5" customHeight="1">
      <c r="A116" s="4524"/>
      <c r="B116" s="4525" t="s">
        <v>268</v>
      </c>
      <c r="C116" s="4505"/>
      <c r="D116" s="4506"/>
      <c r="E116" s="4507">
        <f>G116+F116+H116+I116+J116+K116+L116+M116</f>
        <v>499079</v>
      </c>
      <c r="F116" s="4508">
        <f>'Tab. 6B Polit społ i rozwój prz'!M32</f>
        <v>0</v>
      </c>
      <c r="G116" s="4508">
        <f>'Tab. 6B Polit społ i rozwój prz'!N32</f>
        <v>0</v>
      </c>
      <c r="H116" s="4508">
        <f>'Tab. 6B Polit społ i rozwój prz'!O32</f>
        <v>0</v>
      </c>
      <c r="I116" s="4508">
        <f>'Tab. 6B Polit społ i rozwój prz'!P32</f>
        <v>105231</v>
      </c>
      <c r="J116" s="4508">
        <f>'Tab. 6B Polit społ i rozwój prz'!Q32</f>
        <v>182795</v>
      </c>
      <c r="K116" s="4508">
        <f>'Tab. 6B Polit społ i rozwój prz'!R32</f>
        <v>122559</v>
      </c>
      <c r="L116" s="4508">
        <f>'Tab. 6B Polit społ i rozwój prz'!S32</f>
        <v>72320</v>
      </c>
      <c r="M116" s="4508">
        <f>'Tab. 6B Polit społ i rozwój prz'!T32</f>
        <v>16174</v>
      </c>
      <c r="N116" s="4508">
        <f>'Tab. 6B Polit społ i rozwój prz'!U32</f>
        <v>0</v>
      </c>
      <c r="O116" s="4508">
        <f>'Tab. 6B Polit społ i rozwój prz'!V32</f>
        <v>0</v>
      </c>
      <c r="P116" s="4508">
        <f>'Tab. 6B Polit społ i rozwój prz'!W32</f>
        <v>0</v>
      </c>
      <c r="Q116" s="4464"/>
      <c r="R116" s="4523"/>
    </row>
    <row r="117" spans="1:18" ht="13.5" customHeight="1">
      <c r="A117" s="4524"/>
      <c r="B117" s="4526" t="s">
        <v>568</v>
      </c>
      <c r="C117" s="4527"/>
      <c r="D117" s="4528"/>
      <c r="E117" s="4529">
        <f>G117+F117+H117+I117+J117+K117+L117+M117</f>
        <v>78262</v>
      </c>
      <c r="F117" s="4476">
        <f>'Tab. 6B Polit społ i rozwój prz'!M33</f>
        <v>0</v>
      </c>
      <c r="G117" s="4476">
        <f>'Tab. 6B Polit społ i rozwój prz'!N33</f>
        <v>0</v>
      </c>
      <c r="H117" s="4476">
        <f>'Tab. 6B Polit społ i rozwój prz'!O33</f>
        <v>0</v>
      </c>
      <c r="I117" s="4476">
        <f>'Tab. 6B Polit społ i rozwój prz'!P33</f>
        <v>16465</v>
      </c>
      <c r="J117" s="4476">
        <f>'Tab. 6B Polit społ i rozwój prz'!Q33</f>
        <v>28099</v>
      </c>
      <c r="K117" s="4476">
        <f>'Tab. 6B Polit społ i rozwój prz'!R33</f>
        <v>19064</v>
      </c>
      <c r="L117" s="4476">
        <f>'Tab. 6B Polit społ i rozwój prz'!S33</f>
        <v>11528</v>
      </c>
      <c r="M117" s="4476">
        <f>'Tab. 6B Polit społ i rozwój prz'!T33</f>
        <v>3106</v>
      </c>
      <c r="N117" s="4476">
        <f>'Tab. 6B Polit społ i rozwój prz'!U33</f>
        <v>0</v>
      </c>
      <c r="O117" s="4476">
        <f>'Tab. 6B Polit społ i rozwój prz'!V33</f>
        <v>0</v>
      </c>
      <c r="P117" s="4476">
        <f>'Tab. 6B Polit społ i rozwój prz'!W33</f>
        <v>0</v>
      </c>
      <c r="Q117" s="4464"/>
      <c r="R117" s="4523"/>
    </row>
    <row r="118" spans="1:18" ht="13.5" customHeight="1" thickBot="1">
      <c r="A118" s="4524"/>
      <c r="B118" s="4530" t="s">
        <v>270</v>
      </c>
      <c r="C118" s="4531"/>
      <c r="D118" s="4499"/>
      <c r="E118" s="4500">
        <f>G118+F118+H118+I118+J118+K118+L118+M118+N118+O118+P118</f>
        <v>420817</v>
      </c>
      <c r="F118" s="4532">
        <f>'Tab. 6B Polit społ i rozwój prz'!M45</f>
        <v>0</v>
      </c>
      <c r="G118" s="4532">
        <f>'Tab. 6B Polit społ i rozwój prz'!N45</f>
        <v>0</v>
      </c>
      <c r="H118" s="4532">
        <f>'Tab. 6B Polit społ i rozwój prz'!O45</f>
        <v>0</v>
      </c>
      <c r="I118" s="4532">
        <f>'Tab. 6B Polit społ i rozwój prz'!P45</f>
        <v>0</v>
      </c>
      <c r="J118" s="4532">
        <f>'Tab. 6B Polit społ i rozwój prz'!Q45</f>
        <v>88766</v>
      </c>
      <c r="K118" s="4532">
        <f>'Tab. 6B Polit społ i rozwój prz'!R45</f>
        <v>154696</v>
      </c>
      <c r="L118" s="4532">
        <f>'Tab. 6B Polit społ i rozwój prz'!S45</f>
        <v>103495</v>
      </c>
      <c r="M118" s="4532">
        <f>'Tab. 6B Polit społ i rozwój prz'!T45</f>
        <v>60792</v>
      </c>
      <c r="N118" s="4532">
        <f>'Tab. 6B Polit społ i rozwój prz'!U45</f>
        <v>13068</v>
      </c>
      <c r="O118" s="4532">
        <f>'Tab. 6B Polit społ i rozwój prz'!V45</f>
        <v>0</v>
      </c>
      <c r="P118" s="4532">
        <f>'Tab. 6B Polit społ i rozwój prz'!W45</f>
        <v>0</v>
      </c>
      <c r="Q118" s="4464"/>
      <c r="R118" s="4523"/>
    </row>
    <row r="119" spans="1:18" ht="13.5" customHeight="1" thickBot="1">
      <c r="A119" s="4533"/>
      <c r="B119" s="4534" t="s">
        <v>563</v>
      </c>
      <c r="C119" s="4535"/>
      <c r="D119" s="4536"/>
      <c r="E119" s="4537">
        <f>F119+H119+I119+J119+K119+L119+M119+N119+O119+P119</f>
        <v>420817</v>
      </c>
      <c r="F119" s="4538">
        <f>'Tab. 6B Polit społ i rozwój prz'!M45</f>
        <v>0</v>
      </c>
      <c r="G119" s="4538">
        <f>'Tab. 6B Polit społ i rozwój prz'!N45</f>
        <v>0</v>
      </c>
      <c r="H119" s="4538">
        <f>'Tab. 6B Polit społ i rozwój prz'!O45</f>
        <v>0</v>
      </c>
      <c r="I119" s="4538">
        <f>'Tab. 6B Polit społ i rozwój prz'!P45</f>
        <v>0</v>
      </c>
      <c r="J119" s="4538">
        <f>'Tab. 6B Polit społ i rozwój prz'!Q45</f>
        <v>88766</v>
      </c>
      <c r="K119" s="4538">
        <f>'Tab. 6B Polit społ i rozwój prz'!R45</f>
        <v>154696</v>
      </c>
      <c r="L119" s="4538">
        <f>'Tab. 6B Polit społ i rozwój prz'!S45</f>
        <v>103495</v>
      </c>
      <c r="M119" s="4538">
        <f>'Tab. 6B Polit społ i rozwój prz'!T45</f>
        <v>60792</v>
      </c>
      <c r="N119" s="4538">
        <f>'Tab. 6B Polit społ i rozwój prz'!U45</f>
        <v>13068</v>
      </c>
      <c r="O119" s="4538">
        <f>'Tab. 6B Polit społ i rozwój prz'!V45</f>
        <v>0</v>
      </c>
      <c r="P119" s="4538">
        <f>'Tab. 6B Polit społ i rozwój prz'!W45</f>
        <v>0</v>
      </c>
      <c r="Q119" s="4482"/>
      <c r="R119" s="4523"/>
    </row>
    <row r="120" spans="1:18" ht="39.75" customHeight="1">
      <c r="A120" s="4516" t="s">
        <v>81</v>
      </c>
      <c r="B120" s="4541" t="str">
        <f>'Tab. 6B Polit społ i rozwój prz'!B48</f>
        <v>Ekonomia społeczna kluczem do sukcesu w ramach działania 7.5 RPO WZ (2016 - 2017)</v>
      </c>
      <c r="C120" s="4539" t="s">
        <v>574</v>
      </c>
      <c r="D120" s="4519">
        <f>E123/E121%</f>
        <v>84.999968749500852</v>
      </c>
      <c r="E120" s="4520"/>
      <c r="F120" s="4521"/>
      <c r="G120" s="4520"/>
      <c r="H120" s="4522"/>
      <c r="I120" s="4522"/>
      <c r="J120" s="4522"/>
      <c r="K120" s="4521"/>
      <c r="L120" s="4521"/>
      <c r="M120" s="4521"/>
      <c r="N120" s="4522"/>
      <c r="O120" s="4522"/>
      <c r="P120" s="4521"/>
      <c r="Q120" s="4491" t="s">
        <v>529</v>
      </c>
      <c r="R120" s="4523"/>
    </row>
    <row r="121" spans="1:18" ht="13.5" customHeight="1">
      <c r="A121" s="4524"/>
      <c r="B121" s="4525" t="s">
        <v>268</v>
      </c>
      <c r="C121" s="4505"/>
      <c r="D121" s="4506"/>
      <c r="E121" s="4507">
        <f>G121+F121+H121+I121+J121+K121+L121+M121</f>
        <v>1439977</v>
      </c>
      <c r="F121" s="4508">
        <f>'Tab. 6B Polit społ i rozwój prz'!M49</f>
        <v>0</v>
      </c>
      <c r="G121" s="4508">
        <f>'Tab. 6B Polit społ i rozwój prz'!N49</f>
        <v>0</v>
      </c>
      <c r="H121" s="4508">
        <f>'Tab. 6B Polit społ i rozwój prz'!O49</f>
        <v>0</v>
      </c>
      <c r="I121" s="4508">
        <f>'Tab. 6B Polit społ i rozwój prz'!P49</f>
        <v>688693</v>
      </c>
      <c r="J121" s="4508">
        <f>'Tab. 6B Polit społ i rozwój prz'!Q49</f>
        <v>751284</v>
      </c>
      <c r="K121" s="4508">
        <f>'Tab. 6B Polit społ i rozwój prz'!R49</f>
        <v>0</v>
      </c>
      <c r="L121" s="4508">
        <f>'Tab. 6B Polit społ i rozwój prz'!S49</f>
        <v>0</v>
      </c>
      <c r="M121" s="4508">
        <f>'Tab. 6B Polit społ i rozwój prz'!T49</f>
        <v>0</v>
      </c>
      <c r="N121" s="4508">
        <f>'Tab. 6B Polit społ i rozwój prz'!U49</f>
        <v>0</v>
      </c>
      <c r="O121" s="4508">
        <f>'Tab. 6B Polit społ i rozwój prz'!V49</f>
        <v>0</v>
      </c>
      <c r="P121" s="4508">
        <f>'Tab. 6B Polit społ i rozwój prz'!W49</f>
        <v>0</v>
      </c>
      <c r="Q121" s="4464"/>
      <c r="R121" s="4523"/>
    </row>
    <row r="122" spans="1:18" ht="13.5" customHeight="1">
      <c r="A122" s="4524"/>
      <c r="B122" s="4526" t="s">
        <v>568</v>
      </c>
      <c r="C122" s="4527"/>
      <c r="D122" s="4528"/>
      <c r="E122" s="4529">
        <f>G122+F122+H122+I122+J122+K122+L122+M122</f>
        <v>215997</v>
      </c>
      <c r="F122" s="4476">
        <f>'Tab. 6B Polit społ i rozwój prz'!M50</f>
        <v>0</v>
      </c>
      <c r="G122" s="4476">
        <f>'Tab. 6B Polit społ i rozwój prz'!N50</f>
        <v>0</v>
      </c>
      <c r="H122" s="4476">
        <f>'Tab. 6B Polit społ i rozwój prz'!O50</f>
        <v>0</v>
      </c>
      <c r="I122" s="4476">
        <f>'Tab. 6B Polit społ i rozwój prz'!P50</f>
        <v>103304</v>
      </c>
      <c r="J122" s="4476">
        <f>'Tab. 6B Polit społ i rozwój prz'!Q50</f>
        <v>112693</v>
      </c>
      <c r="K122" s="4476">
        <f>'Tab. 6B Polit społ i rozwój prz'!R50</f>
        <v>0</v>
      </c>
      <c r="L122" s="4476">
        <f>'Tab. 6B Polit społ i rozwój prz'!S50</f>
        <v>0</v>
      </c>
      <c r="M122" s="4476">
        <f>'Tab. 6B Polit społ i rozwój prz'!T50</f>
        <v>0</v>
      </c>
      <c r="N122" s="4476">
        <f>'Tab. 6B Polit społ i rozwój prz'!U50</f>
        <v>0</v>
      </c>
      <c r="O122" s="4476">
        <f>'Tab. 6B Polit społ i rozwój prz'!V50</f>
        <v>0</v>
      </c>
      <c r="P122" s="4476">
        <f>'Tab. 6B Polit społ i rozwój prz'!W50</f>
        <v>0</v>
      </c>
      <c r="Q122" s="4464"/>
      <c r="R122" s="4523"/>
    </row>
    <row r="123" spans="1:18" ht="13.5" customHeight="1" thickBot="1">
      <c r="A123" s="4524"/>
      <c r="B123" s="4530" t="s">
        <v>270</v>
      </c>
      <c r="C123" s="4531"/>
      <c r="D123" s="4499"/>
      <c r="E123" s="4500">
        <f>G123+F123+H123+I123+J123+K123+L123+M123+N123+O123+P123</f>
        <v>1223980</v>
      </c>
      <c r="F123" s="4532">
        <f>'Tab. 6B Polit społ i rozwój prz'!M55</f>
        <v>0</v>
      </c>
      <c r="G123" s="4532">
        <f>'Tab. 6B Polit społ i rozwój prz'!N55</f>
        <v>0</v>
      </c>
      <c r="H123" s="4532">
        <f>'Tab. 6B Polit społ i rozwój prz'!O55</f>
        <v>0</v>
      </c>
      <c r="I123" s="4532">
        <f>'Tab. 6B Polit społ i rozwój prz'!P55</f>
        <v>585389</v>
      </c>
      <c r="J123" s="4532">
        <f>'Tab. 6B Polit społ i rozwój prz'!Q55</f>
        <v>638591</v>
      </c>
      <c r="K123" s="4532">
        <f>'Tab. 6B Polit społ i rozwój prz'!R55</f>
        <v>0</v>
      </c>
      <c r="L123" s="4532">
        <f>'Tab. 6B Polit społ i rozwój prz'!S55</f>
        <v>0</v>
      </c>
      <c r="M123" s="4532">
        <f>'Tab. 6B Polit społ i rozwój prz'!T55</f>
        <v>0</v>
      </c>
      <c r="N123" s="4532">
        <f>'Tab. 6B Polit społ i rozwój prz'!U55</f>
        <v>0</v>
      </c>
      <c r="O123" s="4532">
        <f>'Tab. 6B Polit społ i rozwój prz'!V55</f>
        <v>0</v>
      </c>
      <c r="P123" s="4532">
        <f>'Tab. 6B Polit społ i rozwój prz'!W55</f>
        <v>0</v>
      </c>
      <c r="Q123" s="4464"/>
      <c r="R123" s="4523"/>
    </row>
    <row r="124" spans="1:18" ht="15.75" customHeight="1" thickBot="1">
      <c r="A124" s="4533"/>
      <c r="B124" s="4534" t="s">
        <v>563</v>
      </c>
      <c r="C124" s="4535"/>
      <c r="D124" s="4536"/>
      <c r="E124" s="4537">
        <f>F124+H124+I124+J124+K124+L124+M124+N124+O124+P124</f>
        <v>1223980</v>
      </c>
      <c r="F124" s="4538">
        <f>'Tab. 6B Polit społ i rozwój prz'!M62</f>
        <v>0</v>
      </c>
      <c r="G124" s="4538">
        <f>'Tab. 6B Polit społ i rozwój prz'!N62</f>
        <v>0</v>
      </c>
      <c r="H124" s="4538">
        <f>'Tab. 6B Polit społ i rozwój prz'!O62</f>
        <v>0</v>
      </c>
      <c r="I124" s="4538">
        <f>'Tab. 6B Polit społ i rozwój prz'!P62</f>
        <v>585389</v>
      </c>
      <c r="J124" s="4538">
        <f>'Tab. 6B Polit społ i rozwój prz'!Q62</f>
        <v>638591</v>
      </c>
      <c r="K124" s="4538">
        <f>'Tab. 6B Polit społ i rozwój prz'!R62</f>
        <v>0</v>
      </c>
      <c r="L124" s="4538">
        <f>'Tab. 6B Polit społ i rozwój prz'!S62</f>
        <v>0</v>
      </c>
      <c r="M124" s="4538">
        <f>'Tab. 6B Polit społ i rozwój prz'!T62</f>
        <v>0</v>
      </c>
      <c r="N124" s="4538">
        <f>'Tab. 6B Polit społ i rozwój prz'!U62</f>
        <v>0</v>
      </c>
      <c r="O124" s="4538">
        <f>'Tab. 6B Polit społ i rozwój prz'!V62</f>
        <v>0</v>
      </c>
      <c r="P124" s="4538">
        <f>'Tab. 6B Polit społ i rozwój prz'!W62</f>
        <v>0</v>
      </c>
      <c r="Q124" s="4482"/>
      <c r="R124" s="4523"/>
    </row>
    <row r="125" spans="1:18" ht="72" customHeight="1">
      <c r="A125" s="4516" t="s">
        <v>82</v>
      </c>
      <c r="B125" s="4517" t="str">
        <f>'Tab. 6B Polit społ i rozwój prz'!B208</f>
        <v>Oś X, Pomoc techniczna RPO WZ 2014-2020 (2015-2023)</v>
      </c>
      <c r="C125" s="4539" t="s">
        <v>659</v>
      </c>
      <c r="D125" s="4519">
        <f>E128/E126%</f>
        <v>85.055737510857355</v>
      </c>
      <c r="E125" s="4520"/>
      <c r="F125" s="4521"/>
      <c r="G125" s="4520"/>
      <c r="H125" s="4522"/>
      <c r="I125" s="4522"/>
      <c r="J125" s="4522"/>
      <c r="K125" s="4521"/>
      <c r="L125" s="4521"/>
      <c r="M125" s="4521"/>
      <c r="N125" s="4522"/>
      <c r="O125" s="4522"/>
      <c r="P125" s="4521"/>
      <c r="Q125" s="4491" t="s">
        <v>575</v>
      </c>
      <c r="R125" s="4523"/>
    </row>
    <row r="126" spans="1:18" ht="13.5" customHeight="1">
      <c r="A126" s="4524"/>
      <c r="B126" s="4525" t="s">
        <v>268</v>
      </c>
      <c r="C126" s="4505"/>
      <c r="D126" s="4506"/>
      <c r="E126" s="4507">
        <f>G126+F126+H126+I126+J126+K126+L126+M126+N126+O126+P126</f>
        <v>288941231</v>
      </c>
      <c r="F126" s="4508">
        <f>'Tab. 6B Polit społ i rozwój prz'!M209+'Tab. 6E - Administracja'!M92-'Tab. 6E - Administracja'!M100</f>
        <v>0</v>
      </c>
      <c r="G126" s="4508"/>
      <c r="H126" s="4508">
        <f>'Tab. 6B Polit społ i rozwój prz'!O209+'Tab. 6E - Administracja'!O92-'Tab. 6E - Administracja'!O100</f>
        <v>400847</v>
      </c>
      <c r="I126" s="4508">
        <f>'Tab. 6B Polit społ i rozwój prz'!P209+'Tab. 6E - Administracja'!P92-'Tab. 6E - Administracja'!P100</f>
        <v>37234110</v>
      </c>
      <c r="J126" s="4508">
        <f>'Tab. 6B Polit społ i rozwój prz'!Q209+'Tab. 6E - Administracja'!Q92-'Tab. 6E - Administracja'!Q100</f>
        <v>37279880</v>
      </c>
      <c r="K126" s="4508">
        <f>'Tab. 6B Polit społ i rozwój prz'!R209+'Tab. 6E - Administracja'!R92-'Tab. 6E - Administracja'!R100</f>
        <v>37377235</v>
      </c>
      <c r="L126" s="4508">
        <f>'Tab. 6B Polit społ i rozwój prz'!S209+'Tab. 6E - Administracja'!S92-'Tab. 6E - Administracja'!S100</f>
        <v>35853036</v>
      </c>
      <c r="M126" s="4508">
        <f>'Tab. 6B Polit społ i rozwój prz'!T209+'Tab. 6E - Administracja'!T92-'Tab. 6E - Administracja'!T100</f>
        <v>36229506</v>
      </c>
      <c r="N126" s="4508">
        <f>'Tab. 6B Polit społ i rozwój prz'!U209+'Tab. 6E - Administracja'!U92-'Tab. 6E - Administracja'!U100</f>
        <v>36489108</v>
      </c>
      <c r="O126" s="4508">
        <f>'Tab. 6B Polit społ i rozwój prz'!V209+'Tab. 6E - Administracja'!V92-'Tab. 6E - Administracja'!V100</f>
        <v>33956312</v>
      </c>
      <c r="P126" s="4508">
        <f>'Tab. 6B Polit społ i rozwój prz'!W209+'Tab. 6E - Administracja'!W92-'Tab. 6E - Administracja'!W100</f>
        <v>34121197</v>
      </c>
      <c r="Q126" s="4464"/>
      <c r="R126" s="4523"/>
    </row>
    <row r="127" spans="1:18" ht="13.5" customHeight="1">
      <c r="A127" s="4524"/>
      <c r="B127" s="4526" t="s">
        <v>568</v>
      </c>
      <c r="C127" s="4527"/>
      <c r="D127" s="4528"/>
      <c r="E127" s="4529">
        <f>G127+F127+H127+I127+J127+K127+L127+M127+N127+O127+P127</f>
        <v>43180136</v>
      </c>
      <c r="F127" s="4476">
        <f>'Tab. 6B Polit społ i rozwój prz'!M211+'Tab. 6E - Administracja'!M94</f>
        <v>0</v>
      </c>
      <c r="G127" s="4476"/>
      <c r="H127" s="4476">
        <f>'Tab. 6B Polit społ i rozwój prz'!O211+'Tab. 6E - Administracja'!O94</f>
        <v>58354</v>
      </c>
      <c r="I127" s="4476">
        <f>'Tab. 6B Polit społ i rozwój prz'!P211+'Tab. 6E - Administracja'!P94</f>
        <v>5672365</v>
      </c>
      <c r="J127" s="4476">
        <f>'Tab. 6B Polit społ i rozwój prz'!Q211+'Tab. 6E - Administracja'!Q94</f>
        <v>5777164</v>
      </c>
      <c r="K127" s="4476">
        <f>'Tab. 6B Polit społ i rozwój prz'!R211+'Tab. 6E - Administracja'!R94</f>
        <v>5842223</v>
      </c>
      <c r="L127" s="4476">
        <f>'Tab. 6B Polit społ i rozwój prz'!S211+'Tab. 6E - Administracja'!S94</f>
        <v>5913958</v>
      </c>
      <c r="M127" s="4476">
        <f>'Tab. 6B Polit społ i rozwój prz'!T211+'Tab. 6E - Administracja'!T94</f>
        <v>6006194</v>
      </c>
      <c r="N127" s="4476">
        <f>'Tab. 6B Polit społ i rozwój prz'!U211+'Tab. 6E - Administracja'!U94</f>
        <v>6081614</v>
      </c>
      <c r="O127" s="4476">
        <f>'Tab. 6B Polit społ i rozwój prz'!V211+'Tab. 6E - Administracja'!V94</f>
        <v>3882788</v>
      </c>
      <c r="P127" s="4476">
        <f>'Tab. 6B Polit społ i rozwój prz'!W211+'Tab. 6E - Administracja'!W94</f>
        <v>3945476</v>
      </c>
      <c r="Q127" s="4464"/>
      <c r="R127" s="4523"/>
    </row>
    <row r="128" spans="1:18" ht="13.5" customHeight="1" thickBot="1">
      <c r="A128" s="4524"/>
      <c r="B128" s="4530" t="s">
        <v>270</v>
      </c>
      <c r="C128" s="4531"/>
      <c r="D128" s="4499"/>
      <c r="E128" s="4500">
        <f>G128+F128+H128+I128+J128+K128+L128+M128+N128+O128+P128</f>
        <v>245761095</v>
      </c>
      <c r="F128" s="4532">
        <f>'Tab. 6B Polit społ i rozwój prz'!M213+'Tab. 6E - Administracja'!M103</f>
        <v>0</v>
      </c>
      <c r="G128" s="4532"/>
      <c r="H128" s="4532">
        <f>'Tab. 6B Polit społ i rozwój prz'!O213+'Tab. 6E - Administracja'!O103</f>
        <v>342493</v>
      </c>
      <c r="I128" s="4532">
        <f>'Tab. 6B Polit społ i rozwój prz'!P213+'Tab. 6E - Administracja'!P103</f>
        <v>31561745</v>
      </c>
      <c r="J128" s="4532">
        <f>'Tab. 6B Polit społ i rozwój prz'!Q213+'Tab. 6E - Administracja'!Q103</f>
        <v>31502716</v>
      </c>
      <c r="K128" s="4532">
        <f>'Tab. 6B Polit społ i rozwój prz'!R213+'Tab. 6E - Administracja'!R103</f>
        <v>31535012</v>
      </c>
      <c r="L128" s="4532">
        <f>'Tab. 6B Polit społ i rozwój prz'!S213+'Tab. 6E - Administracja'!S103</f>
        <v>29939078</v>
      </c>
      <c r="M128" s="4532">
        <f>'Tab. 6B Polit społ i rozwój prz'!T213+'Tab. 6E - Administracja'!T103</f>
        <v>30223312</v>
      </c>
      <c r="N128" s="4532">
        <f>'Tab. 6B Polit społ i rozwój prz'!U213+'Tab. 6E - Administracja'!U103</f>
        <v>30407494</v>
      </c>
      <c r="O128" s="4532">
        <f>'Tab. 6B Polit społ i rozwój prz'!V213+'Tab. 6E - Administracja'!V103</f>
        <v>30073524</v>
      </c>
      <c r="P128" s="4532">
        <f>'Tab. 6B Polit społ i rozwój prz'!W213+'Tab. 6E - Administracja'!W103</f>
        <v>30175721</v>
      </c>
      <c r="Q128" s="4464"/>
      <c r="R128" s="4523"/>
    </row>
    <row r="129" spans="1:18" ht="13.5" customHeight="1" thickBot="1">
      <c r="A129" s="4533"/>
      <c r="B129" s="4534" t="s">
        <v>563</v>
      </c>
      <c r="C129" s="4535"/>
      <c r="D129" s="4536"/>
      <c r="E129" s="4537">
        <f>F129+H129+I129+J129+K129+L129+M129+N129+O129+P129</f>
        <v>245761095</v>
      </c>
      <c r="F129" s="4538">
        <f>'Tab. 6B Polit społ i rozwój prz'!M218+'Tab. 6E - Administracja'!M112</f>
        <v>0</v>
      </c>
      <c r="G129" s="4538"/>
      <c r="H129" s="4538">
        <f>'Tab. 6B Polit społ i rozwój prz'!O218+'Tab. 6E - Administracja'!O112</f>
        <v>0</v>
      </c>
      <c r="I129" s="4538">
        <f>'Tab. 6B Polit społ i rozwój prz'!P218+'Tab. 6E - Administracja'!P112</f>
        <v>29194358</v>
      </c>
      <c r="J129" s="4538">
        <f>'Tab. 6B Polit społ i rozwój prz'!Q218+'Tab. 6E - Administracja'!Q112</f>
        <v>33577400</v>
      </c>
      <c r="K129" s="4538">
        <f>'Tab. 6B Polit społ i rozwój prz'!R218+'Tab. 6E - Administracja'!R112</f>
        <v>32202200</v>
      </c>
      <c r="L129" s="4538">
        <f>'Tab. 6B Polit społ i rozwój prz'!S218+'Tab. 6E - Administracja'!S112</f>
        <v>30293175</v>
      </c>
      <c r="M129" s="4538">
        <f>'Tab. 6B Polit społ i rozwój prz'!T218+'Tab. 6E - Administracja'!T112</f>
        <v>29837223</v>
      </c>
      <c r="N129" s="4538">
        <f>'Tab. 6B Polit społ i rozwój prz'!U218+'Tab. 6E - Administracja'!U112</f>
        <v>30407494</v>
      </c>
      <c r="O129" s="4538">
        <f>'Tab. 6B Polit społ i rozwój prz'!V218+'Tab. 6E - Administracja'!V112</f>
        <v>30073524</v>
      </c>
      <c r="P129" s="4538">
        <f>'Tab. 6B Polit społ i rozwój prz'!W218+'Tab. 6E - Administracja'!W112</f>
        <v>30175721</v>
      </c>
      <c r="Q129" s="4482"/>
      <c r="R129" s="4523"/>
    </row>
    <row r="130" spans="1:18" ht="50.25" customHeight="1">
      <c r="A130" s="4516" t="s">
        <v>83</v>
      </c>
      <c r="B130" s="4541" t="str">
        <f>'Tab. 6D - Oświata'!B50</f>
        <v>Organizacja Regionalnych spotkań informacyjnych i konsultacji indywidualnych podnoszących wiedzę nt. realizacji projektów w programie Erasmus+ Edukacja szkolna na lata 2014-2020 (2015-2017)</v>
      </c>
      <c r="C130" s="4518" t="s">
        <v>598</v>
      </c>
      <c r="D130" s="4519">
        <f>E133/E131%</f>
        <v>100</v>
      </c>
      <c r="E130" s="4520"/>
      <c r="F130" s="4521"/>
      <c r="G130" s="4520"/>
      <c r="H130" s="4522"/>
      <c r="I130" s="4522"/>
      <c r="J130" s="4522"/>
      <c r="K130" s="4521"/>
      <c r="L130" s="4521"/>
      <c r="M130" s="4521"/>
      <c r="N130" s="4522"/>
      <c r="O130" s="4522"/>
      <c r="P130" s="4521"/>
      <c r="Q130" s="4491" t="s">
        <v>577</v>
      </c>
      <c r="R130" s="4523"/>
    </row>
    <row r="131" spans="1:18" ht="13.5" customHeight="1">
      <c r="A131" s="4524"/>
      <c r="B131" s="4525" t="s">
        <v>268</v>
      </c>
      <c r="C131" s="4505"/>
      <c r="D131" s="4506"/>
      <c r="E131" s="4507">
        <f>G131+F131+H131+I131+J131+K131+L131+M131+N131+O131+P131</f>
        <v>28500</v>
      </c>
      <c r="F131" s="4508">
        <f>'Tab. 6D - Oświata'!M51</f>
        <v>0</v>
      </c>
      <c r="G131" s="4508">
        <f>'Tab. 6D - Oświata'!N51</f>
        <v>0</v>
      </c>
      <c r="H131" s="4508">
        <f>'Tab. 6D - Oświata'!O51</f>
        <v>5000</v>
      </c>
      <c r="I131" s="4508">
        <f>'Tab. 6D - Oświata'!P51</f>
        <v>19500</v>
      </c>
      <c r="J131" s="4508">
        <f>'Tab. 6D - Oświata'!Q51</f>
        <v>4000</v>
      </c>
      <c r="K131" s="4508">
        <f>'Tab. 6D - Oświata'!R51</f>
        <v>0</v>
      </c>
      <c r="L131" s="4508">
        <f>'Tab. 6D - Oświata'!S51</f>
        <v>0</v>
      </c>
      <c r="M131" s="4508">
        <f>'Tab. 6D - Oświata'!T51</f>
        <v>0</v>
      </c>
      <c r="N131" s="4508">
        <f>'Tab. 6D - Oświata'!U51</f>
        <v>0</v>
      </c>
      <c r="O131" s="4508">
        <f>'Tab. 6D - Oświata'!V51</f>
        <v>0</v>
      </c>
      <c r="P131" s="4508"/>
      <c r="Q131" s="4464"/>
      <c r="R131" s="4523"/>
    </row>
    <row r="132" spans="1:18" ht="13.5" customHeight="1">
      <c r="A132" s="4524"/>
      <c r="B132" s="4526" t="s">
        <v>568</v>
      </c>
      <c r="C132" s="4527"/>
      <c r="D132" s="4528"/>
      <c r="E132" s="4529">
        <f>G132+F132+H132+I132+J132+K132+L132+M132+N132+O132+P132</f>
        <v>0</v>
      </c>
      <c r="F132" s="4476"/>
      <c r="G132" s="4476"/>
      <c r="H132" s="4476"/>
      <c r="I132" s="4476"/>
      <c r="J132" s="4476"/>
      <c r="K132" s="4476"/>
      <c r="L132" s="4476"/>
      <c r="M132" s="4476"/>
      <c r="N132" s="4476"/>
      <c r="O132" s="4476"/>
      <c r="P132" s="4476"/>
      <c r="Q132" s="4464"/>
      <c r="R132" s="4523"/>
    </row>
    <row r="133" spans="1:18" ht="13.5" customHeight="1" thickBot="1">
      <c r="A133" s="4524"/>
      <c r="B133" s="4530" t="s">
        <v>270</v>
      </c>
      <c r="C133" s="4531"/>
      <c r="D133" s="4499"/>
      <c r="E133" s="4500">
        <f>G133+F133+H133+I133+J133+K133+L133+M133+N133+O133+P133</f>
        <v>28500</v>
      </c>
      <c r="F133" s="4532">
        <f>'Tab. 6D - Oświata'!M53</f>
        <v>0</v>
      </c>
      <c r="G133" s="4532">
        <f>'Tab. 6D - Oświata'!N53</f>
        <v>0</v>
      </c>
      <c r="H133" s="4532">
        <f>'Tab. 6D - Oświata'!O53</f>
        <v>5000</v>
      </c>
      <c r="I133" s="4532">
        <f>'Tab. 6D - Oświata'!P53</f>
        <v>19500</v>
      </c>
      <c r="J133" s="4532">
        <f>'Tab. 6D - Oświata'!Q53</f>
        <v>4000</v>
      </c>
      <c r="K133" s="4532">
        <f>'Tab. 6D - Oświata'!R53</f>
        <v>0</v>
      </c>
      <c r="L133" s="4532">
        <f>'Tab. 6D - Oświata'!S53</f>
        <v>0</v>
      </c>
      <c r="M133" s="4532">
        <f>'Tab. 6D - Oświata'!T53</f>
        <v>0</v>
      </c>
      <c r="N133" s="4532">
        <f>'Tab. 6D - Oświata'!U53</f>
        <v>0</v>
      </c>
      <c r="O133" s="4532">
        <f>'Tab. 6D - Oświata'!V53</f>
        <v>0</v>
      </c>
      <c r="P133" s="4532"/>
      <c r="Q133" s="4464"/>
      <c r="R133" s="4523"/>
    </row>
    <row r="134" spans="1:18" ht="13.5" customHeight="1" thickBot="1">
      <c r="A134" s="4533"/>
      <c r="B134" s="4534" t="s">
        <v>563</v>
      </c>
      <c r="C134" s="4535"/>
      <c r="D134" s="4536"/>
      <c r="E134" s="4537">
        <f>F134+H134+I134+J134+K134+L134+M134+N134+O134+P134</f>
        <v>28500</v>
      </c>
      <c r="F134" s="4538">
        <f>'Tab. 6D - Oświata'!M56</f>
        <v>0</v>
      </c>
      <c r="G134" s="4538">
        <f>'Tab. 6D - Oświata'!N56</f>
        <v>0</v>
      </c>
      <c r="H134" s="4538">
        <f>'Tab. 6D - Oświata'!O56</f>
        <v>5000</v>
      </c>
      <c r="I134" s="4538">
        <f>'Tab. 6D - Oświata'!P56</f>
        <v>19500</v>
      </c>
      <c r="J134" s="4538">
        <f>'Tab. 6D - Oświata'!Q56</f>
        <v>4000</v>
      </c>
      <c r="K134" s="4538">
        <f>'Tab. 6D - Oświata'!R56</f>
        <v>0</v>
      </c>
      <c r="L134" s="4538">
        <f>'Tab. 6D - Oświata'!S56</f>
        <v>0</v>
      </c>
      <c r="M134" s="4538">
        <f>'Tab. 6D - Oświata'!T56</f>
        <v>0</v>
      </c>
      <c r="N134" s="4538">
        <f>'Tab. 6D - Oświata'!U56</f>
        <v>0</v>
      </c>
      <c r="O134" s="4538">
        <f>'Tab. 6D - Oświata'!V56</f>
        <v>0</v>
      </c>
      <c r="P134" s="4538"/>
      <c r="Q134" s="4482"/>
      <c r="R134" s="4523"/>
    </row>
    <row r="135" spans="1:18" ht="40.5" customHeight="1">
      <c r="A135" s="4516" t="s">
        <v>138</v>
      </c>
      <c r="B135" s="4517" t="str">
        <f>'Tab. 6D - Oświata'!B57</f>
        <v>Projekt pn. "Europejskie Standardy w Opiece nad Osobami Starszymi" w ramach Programu Erasmus+ (2015-2016)</v>
      </c>
      <c r="C135" s="4518" t="s">
        <v>597</v>
      </c>
      <c r="D135" s="4519">
        <f>E138/E136%</f>
        <v>100</v>
      </c>
      <c r="E135" s="4520"/>
      <c r="F135" s="4521"/>
      <c r="G135" s="4520"/>
      <c r="H135" s="4522"/>
      <c r="I135" s="4522"/>
      <c r="J135" s="4522"/>
      <c r="K135" s="4521"/>
      <c r="L135" s="4521"/>
      <c r="M135" s="4521"/>
      <c r="N135" s="4522"/>
      <c r="O135" s="4522"/>
      <c r="P135" s="4521"/>
      <c r="Q135" s="4491" t="s">
        <v>578</v>
      </c>
      <c r="R135" s="4523"/>
    </row>
    <row r="136" spans="1:18" ht="13.5" customHeight="1">
      <c r="A136" s="4524"/>
      <c r="B136" s="4525" t="s">
        <v>268</v>
      </c>
      <c r="C136" s="4505"/>
      <c r="D136" s="4506"/>
      <c r="E136" s="4507">
        <f>G136+F136+H136+I136+J136+K136+L136+M136+N136+O136+P136</f>
        <v>267988</v>
      </c>
      <c r="F136" s="4508">
        <f>'Tab. 6D - Oświata'!M58</f>
        <v>0</v>
      </c>
      <c r="G136" s="4508">
        <f>'Tab. 6D - Oświata'!N58</f>
        <v>0</v>
      </c>
      <c r="H136" s="4508">
        <f>'Tab. 6D - Oświata'!O58</f>
        <v>213855</v>
      </c>
      <c r="I136" s="4508">
        <f>'Tab. 6D - Oświata'!P58</f>
        <v>54133</v>
      </c>
      <c r="J136" s="4508">
        <f>'Tab. 6D - Oświata'!Q58</f>
        <v>0</v>
      </c>
      <c r="K136" s="4508">
        <f>'Tab. 6D - Oświata'!R58</f>
        <v>0</v>
      </c>
      <c r="L136" s="4508">
        <f>'Tab. 6D - Oświata'!S58</f>
        <v>0</v>
      </c>
      <c r="M136" s="4508">
        <f>'Tab. 6D - Oświata'!T58</f>
        <v>0</v>
      </c>
      <c r="N136" s="4508">
        <f>'Tab. 6D - Oświata'!U58</f>
        <v>0</v>
      </c>
      <c r="O136" s="4508">
        <f>'Tab. 6D - Oświata'!V58</f>
        <v>0</v>
      </c>
      <c r="P136" s="4508"/>
      <c r="Q136" s="4464"/>
      <c r="R136" s="4523"/>
    </row>
    <row r="137" spans="1:18" ht="13.5" customHeight="1">
      <c r="A137" s="4524"/>
      <c r="B137" s="4526" t="s">
        <v>568</v>
      </c>
      <c r="C137" s="4527"/>
      <c r="D137" s="4528"/>
      <c r="E137" s="4529">
        <f>G137+F137+H137+I137+J137+K137+L137+M137+N137+O137+P137</f>
        <v>0</v>
      </c>
      <c r="F137" s="4476"/>
      <c r="G137" s="4476"/>
      <c r="H137" s="4476"/>
      <c r="I137" s="4476"/>
      <c r="J137" s="4476"/>
      <c r="K137" s="4476"/>
      <c r="L137" s="4476"/>
      <c r="M137" s="4476"/>
      <c r="N137" s="4476"/>
      <c r="O137" s="4476"/>
      <c r="P137" s="4476"/>
      <c r="Q137" s="4464"/>
      <c r="R137" s="4523"/>
    </row>
    <row r="138" spans="1:18" ht="13.5" customHeight="1" thickBot="1">
      <c r="A138" s="4524"/>
      <c r="B138" s="4530" t="s">
        <v>270</v>
      </c>
      <c r="C138" s="4531"/>
      <c r="D138" s="4499"/>
      <c r="E138" s="4500">
        <f>G138+F138+H138+I138+J138+K138+L138+M138+N138+O138+P138</f>
        <v>267988</v>
      </c>
      <c r="F138" s="4532">
        <f>'Tab. 6D - Oświata'!M60</f>
        <v>0</v>
      </c>
      <c r="G138" s="4532">
        <f>'Tab. 6D - Oświata'!N60</f>
        <v>0</v>
      </c>
      <c r="H138" s="4532">
        <f>'Tab. 6D - Oświata'!O60</f>
        <v>213855</v>
      </c>
      <c r="I138" s="4532">
        <f>'Tab. 6D - Oświata'!P60</f>
        <v>54133</v>
      </c>
      <c r="J138" s="4532">
        <f>'Tab. 6D - Oświata'!Q60</f>
        <v>0</v>
      </c>
      <c r="K138" s="4532">
        <f>'Tab. 6D - Oświata'!R60</f>
        <v>0</v>
      </c>
      <c r="L138" s="4532">
        <f>'Tab. 6D - Oświata'!S60</f>
        <v>0</v>
      </c>
      <c r="M138" s="4532">
        <f>'Tab. 6D - Oświata'!T60</f>
        <v>0</v>
      </c>
      <c r="N138" s="4532">
        <f>'Tab. 6D - Oświata'!U60</f>
        <v>0</v>
      </c>
      <c r="O138" s="4532">
        <f>'Tab. 6D - Oświata'!V60</f>
        <v>0</v>
      </c>
      <c r="P138" s="4532"/>
      <c r="Q138" s="4464"/>
      <c r="R138" s="4523"/>
    </row>
    <row r="139" spans="1:18" ht="13.5" customHeight="1" thickBot="1">
      <c r="A139" s="4533"/>
      <c r="B139" s="4534" t="s">
        <v>563</v>
      </c>
      <c r="C139" s="4535"/>
      <c r="D139" s="4536"/>
      <c r="E139" s="4537">
        <f>F139+H139+I139+J139+K139+L139+M139+N139+O139+P139</f>
        <v>267990</v>
      </c>
      <c r="F139" s="4538">
        <f>'Tab. 6D - Oświata'!M63</f>
        <v>160044</v>
      </c>
      <c r="G139" s="4538">
        <f>'Tab. 6D - Oświata'!N63</f>
        <v>160044</v>
      </c>
      <c r="H139" s="4538">
        <f>'Tab. 6D - Oświata'!O63</f>
        <v>54097</v>
      </c>
      <c r="I139" s="4538">
        <f>'Tab. 6D - Oświata'!P63</f>
        <v>53849</v>
      </c>
      <c r="J139" s="4538">
        <f>'Tab. 6D - Oświata'!Q63</f>
        <v>0</v>
      </c>
      <c r="K139" s="4538">
        <f>'Tab. 6D - Oświata'!R63</f>
        <v>0</v>
      </c>
      <c r="L139" s="4538">
        <f>'Tab. 6D - Oświata'!S63</f>
        <v>0</v>
      </c>
      <c r="M139" s="4538">
        <f>'Tab. 6D - Oświata'!T63</f>
        <v>0</v>
      </c>
      <c r="N139" s="4538">
        <f>'Tab. 6D - Oświata'!U63</f>
        <v>0</v>
      </c>
      <c r="O139" s="4538">
        <f>'Tab. 6D - Oświata'!V63</f>
        <v>0</v>
      </c>
      <c r="P139" s="4538"/>
      <c r="Q139" s="4482"/>
      <c r="R139" s="4523"/>
    </row>
    <row r="140" spans="1:18" ht="36" customHeight="1">
      <c r="A140" s="4516" t="s">
        <v>105</v>
      </c>
      <c r="B140" s="4541" t="str">
        <f>'Tab. 6D - Oświata'!B64</f>
        <v>Wolontariat europejski EVS w ramach Programu Erasmus+  (2016-2017)</v>
      </c>
      <c r="C140" s="4539" t="s">
        <v>650</v>
      </c>
      <c r="D140" s="4519">
        <f>E143/E141%</f>
        <v>100</v>
      </c>
      <c r="E140" s="4520"/>
      <c r="F140" s="4521"/>
      <c r="G140" s="4520"/>
      <c r="H140" s="4522"/>
      <c r="I140" s="4522"/>
      <c r="J140" s="4522"/>
      <c r="K140" s="4521"/>
      <c r="L140" s="4521"/>
      <c r="M140" s="4521"/>
      <c r="N140" s="4522"/>
      <c r="O140" s="4522"/>
      <c r="P140" s="4521"/>
      <c r="Q140" s="4491" t="s">
        <v>576</v>
      </c>
      <c r="R140" s="4523"/>
    </row>
    <row r="141" spans="1:18" ht="17.25" customHeight="1">
      <c r="A141" s="4524"/>
      <c r="B141" s="4525" t="s">
        <v>268</v>
      </c>
      <c r="C141" s="4505"/>
      <c r="D141" s="4506"/>
      <c r="E141" s="4507">
        <f>G141+F141+H141+I141+J141+K141+L141+M141+N141+O141+P141</f>
        <v>8400</v>
      </c>
      <c r="F141" s="4508">
        <f>'Tab. 6D - Oświata'!M65</f>
        <v>0</v>
      </c>
      <c r="G141" s="4508">
        <f>'Tab. 6D - Oświata'!N65</f>
        <v>0</v>
      </c>
      <c r="H141" s="4508">
        <f>'Tab. 6D - Oświata'!O65</f>
        <v>0</v>
      </c>
      <c r="I141" s="4508">
        <f>'Tab. 6D - Oświata'!P65</f>
        <v>4200</v>
      </c>
      <c r="J141" s="4508">
        <f>'Tab. 6D - Oświata'!Q65</f>
        <v>4200</v>
      </c>
      <c r="K141" s="4508">
        <f>'Tab. 6D - Oświata'!R65</f>
        <v>0</v>
      </c>
      <c r="L141" s="4508">
        <f>'Tab. 6D - Oświata'!S65</f>
        <v>0</v>
      </c>
      <c r="M141" s="4508">
        <f>'Tab. 6D - Oświata'!T65</f>
        <v>0</v>
      </c>
      <c r="N141" s="4508">
        <f>'Tab. 6D - Oświata'!U65</f>
        <v>0</v>
      </c>
      <c r="O141" s="4508">
        <f>'Tab. 6D - Oświata'!V65</f>
        <v>0</v>
      </c>
      <c r="P141" s="4508">
        <f>'Tab. 6D - Oświata'!W65</f>
        <v>0</v>
      </c>
      <c r="Q141" s="4464"/>
      <c r="R141" s="4523"/>
    </row>
    <row r="142" spans="1:18" ht="13.5" customHeight="1">
      <c r="A142" s="4524"/>
      <c r="B142" s="4526" t="s">
        <v>568</v>
      </c>
      <c r="C142" s="4527"/>
      <c r="D142" s="4528"/>
      <c r="E142" s="4529">
        <f>G142+F142+H142+I142+J142+K142+L142+M142+N142+O142+P142</f>
        <v>0</v>
      </c>
      <c r="F142" s="4476"/>
      <c r="G142" s="4476"/>
      <c r="H142" s="4476"/>
      <c r="I142" s="4476"/>
      <c r="J142" s="4476"/>
      <c r="K142" s="4476"/>
      <c r="L142" s="4476"/>
      <c r="M142" s="4476"/>
      <c r="N142" s="4476"/>
      <c r="O142" s="4476"/>
      <c r="P142" s="4476"/>
      <c r="Q142" s="4464"/>
      <c r="R142" s="4523"/>
    </row>
    <row r="143" spans="1:18" ht="13.5" customHeight="1" thickBot="1">
      <c r="A143" s="4524"/>
      <c r="B143" s="4530" t="s">
        <v>270</v>
      </c>
      <c r="C143" s="4531"/>
      <c r="D143" s="4499"/>
      <c r="E143" s="4500">
        <f>G143+F143+H143+I143+J143+K143+L143+M143+N143+O143+P143</f>
        <v>8400</v>
      </c>
      <c r="F143" s="4532">
        <f>'Tab. 6D - Oświata'!M67</f>
        <v>0</v>
      </c>
      <c r="G143" s="4532">
        <f>'Tab. 6D - Oświata'!N67</f>
        <v>0</v>
      </c>
      <c r="H143" s="4532">
        <f>'Tab. 6D - Oświata'!O67</f>
        <v>0</v>
      </c>
      <c r="I143" s="4532">
        <f>'Tab. 6D - Oświata'!P67</f>
        <v>4200</v>
      </c>
      <c r="J143" s="4532">
        <f>'Tab. 6D - Oświata'!Q67</f>
        <v>4200</v>
      </c>
      <c r="K143" s="4532">
        <f>'Tab. 6D - Oświata'!R67</f>
        <v>0</v>
      </c>
      <c r="L143" s="4532">
        <f>'Tab. 6D - Oświata'!S67</f>
        <v>0</v>
      </c>
      <c r="M143" s="4532">
        <f>'Tab. 6D - Oświata'!T67</f>
        <v>0</v>
      </c>
      <c r="N143" s="4532">
        <f>'Tab. 6D - Oświata'!U67</f>
        <v>0</v>
      </c>
      <c r="O143" s="4532">
        <f>'Tab. 6D - Oświata'!V67</f>
        <v>0</v>
      </c>
      <c r="P143" s="4532">
        <f>'Tab. 6D - Oświata'!W67</f>
        <v>0</v>
      </c>
      <c r="Q143" s="4464"/>
      <c r="R143" s="4523"/>
    </row>
    <row r="144" spans="1:18" ht="13.5" customHeight="1" thickBot="1">
      <c r="A144" s="4533"/>
      <c r="B144" s="4534" t="s">
        <v>563</v>
      </c>
      <c r="C144" s="4535"/>
      <c r="D144" s="4536"/>
      <c r="E144" s="4537">
        <f>F144+H144+I144+J144+K144+L144+M144+N144+O144+P144</f>
        <v>8400</v>
      </c>
      <c r="F144" s="4538">
        <f>'Tab. 6D - Oświata'!M69</f>
        <v>0</v>
      </c>
      <c r="G144" s="4538">
        <f>'Tab. 6D - Oświata'!N69</f>
        <v>0</v>
      </c>
      <c r="H144" s="4538">
        <f>'Tab. 6D - Oświata'!O69</f>
        <v>0</v>
      </c>
      <c r="I144" s="4538">
        <f>'Tab. 6D - Oświata'!P69</f>
        <v>4200</v>
      </c>
      <c r="J144" s="4538">
        <f>'Tab. 6D - Oświata'!Q69</f>
        <v>4200</v>
      </c>
      <c r="K144" s="4538">
        <f>'Tab. 6D - Oświata'!R69</f>
        <v>0</v>
      </c>
      <c r="L144" s="4538">
        <f>'Tab. 6D - Oświata'!S69</f>
        <v>0</v>
      </c>
      <c r="M144" s="4538">
        <f>'Tab. 6D - Oświata'!T69</f>
        <v>0</v>
      </c>
      <c r="N144" s="4538">
        <f>'Tab. 6D - Oświata'!U69</f>
        <v>0</v>
      </c>
      <c r="O144" s="4538">
        <f>'Tab. 6D - Oświata'!V69</f>
        <v>0</v>
      </c>
      <c r="P144" s="4538">
        <f>'Tab. 6D - Oświata'!W69</f>
        <v>0</v>
      </c>
      <c r="Q144" s="4482"/>
      <c r="R144" s="4523"/>
    </row>
    <row r="145" spans="1:18" ht="62.25" customHeight="1">
      <c r="A145" s="4516" t="s">
        <v>106</v>
      </c>
      <c r="B145" s="4517" t="str">
        <f>'Tab. 6E - Administracja'!B49</f>
        <v>Sieć Punktów Informacyjnych Funduszy Europejskich (PIFE) w Województwie Zachodniopomorskim w ramach PO Pomoc Techniczna (2015-2020)</v>
      </c>
      <c r="C145" s="4539" t="s">
        <v>625</v>
      </c>
      <c r="D145" s="4519">
        <f>E148/E146%</f>
        <v>85.000003706423129</v>
      </c>
      <c r="E145" s="4520"/>
      <c r="F145" s="4521"/>
      <c r="G145" s="4520"/>
      <c r="H145" s="4522"/>
      <c r="I145" s="4522"/>
      <c r="J145" s="4522"/>
      <c r="K145" s="4521"/>
      <c r="L145" s="4521"/>
      <c r="M145" s="4521"/>
      <c r="N145" s="4522"/>
      <c r="O145" s="4522"/>
      <c r="P145" s="4521"/>
      <c r="Q145" s="4491" t="s">
        <v>552</v>
      </c>
      <c r="R145" s="4523"/>
    </row>
    <row r="146" spans="1:18" ht="13.5" customHeight="1">
      <c r="A146" s="4524"/>
      <c r="B146" s="4525" t="s">
        <v>268</v>
      </c>
      <c r="C146" s="4505"/>
      <c r="D146" s="4506"/>
      <c r="E146" s="4507">
        <f>G146+F146+H146+I146+J146+K146+L146+M146+N146+O146+P146</f>
        <v>10792076</v>
      </c>
      <c r="F146" s="4508">
        <f>'Tab. 6E - Administracja'!M50</f>
        <v>0</v>
      </c>
      <c r="G146" s="4508">
        <f>'Tab. 6E - Administracja'!N50</f>
        <v>0</v>
      </c>
      <c r="H146" s="4508">
        <f>'Tab. 6E - Administracja'!O50</f>
        <v>1192076</v>
      </c>
      <c r="I146" s="4508">
        <f>'Tab. 6E - Administracja'!P50</f>
        <v>2300000</v>
      </c>
      <c r="J146" s="4508">
        <f>'Tab. 6E - Administracja'!Q50</f>
        <v>2200000</v>
      </c>
      <c r="K146" s="4508">
        <f>'Tab. 6E - Administracja'!R50</f>
        <v>2200000</v>
      </c>
      <c r="L146" s="4508">
        <f>'Tab. 6E - Administracja'!S50</f>
        <v>1500000</v>
      </c>
      <c r="M146" s="4508">
        <f>'Tab. 6E - Administracja'!T50</f>
        <v>1400000</v>
      </c>
      <c r="N146" s="4508">
        <f>'Tab. 6E - Administracja'!U50</f>
        <v>0</v>
      </c>
      <c r="O146" s="4508">
        <f>'Tab. 6E - Administracja'!V50</f>
        <v>0</v>
      </c>
      <c r="P146" s="4508">
        <f>'Tab. 6E - Administracja'!W50</f>
        <v>0</v>
      </c>
      <c r="Q146" s="4464"/>
      <c r="R146" s="4523"/>
    </row>
    <row r="147" spans="1:18" ht="13.5" customHeight="1">
      <c r="A147" s="4524"/>
      <c r="B147" s="4526" t="s">
        <v>675</v>
      </c>
      <c r="C147" s="4527"/>
      <c r="D147" s="4528"/>
      <c r="E147" s="4529">
        <f>G147+F147+H147+I147+J147+K147+L147+M147+N147+O147+P147</f>
        <v>1618811</v>
      </c>
      <c r="F147" s="4476">
        <f>'Tab. 6E - Administracja'!M51</f>
        <v>0</v>
      </c>
      <c r="G147" s="4476">
        <f>'Tab. 6E - Administracja'!N51</f>
        <v>0</v>
      </c>
      <c r="H147" s="4476">
        <f>'Tab. 6E - Administracja'!O51</f>
        <v>178811</v>
      </c>
      <c r="I147" s="4476">
        <f>'Tab. 6E - Administracja'!P51</f>
        <v>345000</v>
      </c>
      <c r="J147" s="4476">
        <f>'Tab. 6E - Administracja'!Q51</f>
        <v>330000</v>
      </c>
      <c r="K147" s="4476">
        <f>'Tab. 6E - Administracja'!R51</f>
        <v>330000</v>
      </c>
      <c r="L147" s="4476">
        <f>'Tab. 6E - Administracja'!S51</f>
        <v>225000</v>
      </c>
      <c r="M147" s="4476">
        <f>'Tab. 6E - Administracja'!T51</f>
        <v>210000</v>
      </c>
      <c r="N147" s="4476">
        <f>'Tab. 6E - Administracja'!U51</f>
        <v>0</v>
      </c>
      <c r="O147" s="4476">
        <f>'Tab. 6E - Administracja'!V51</f>
        <v>0</v>
      </c>
      <c r="P147" s="4476">
        <f>'Tab. 6E - Administracja'!W51</f>
        <v>0</v>
      </c>
      <c r="Q147" s="4464"/>
      <c r="R147" s="4523"/>
    </row>
    <row r="148" spans="1:18" ht="13.5" customHeight="1" thickBot="1">
      <c r="A148" s="4524"/>
      <c r="B148" s="4530" t="s">
        <v>270</v>
      </c>
      <c r="C148" s="4531"/>
      <c r="D148" s="4499"/>
      <c r="E148" s="4500">
        <f>G148+F148+H148+I148+J148+K148+L148+M148+N148+O148+P148</f>
        <v>9173265</v>
      </c>
      <c r="F148" s="4532">
        <f>'Tab. 6E - Administracja'!M53</f>
        <v>0</v>
      </c>
      <c r="G148" s="4532">
        <f>'Tab. 6E - Administracja'!N53</f>
        <v>0</v>
      </c>
      <c r="H148" s="4532">
        <f>'Tab. 6E - Administracja'!O53</f>
        <v>1013265</v>
      </c>
      <c r="I148" s="4532">
        <f>'Tab. 6E - Administracja'!P53</f>
        <v>1955000</v>
      </c>
      <c r="J148" s="4532">
        <f>'Tab. 6E - Administracja'!Q53</f>
        <v>1870000</v>
      </c>
      <c r="K148" s="4532">
        <f>'Tab. 6E - Administracja'!R53</f>
        <v>1870000</v>
      </c>
      <c r="L148" s="4532">
        <f>'Tab. 6E - Administracja'!S53</f>
        <v>1275000</v>
      </c>
      <c r="M148" s="4532">
        <f>'Tab. 6E - Administracja'!T53</f>
        <v>1190000</v>
      </c>
      <c r="N148" s="4532">
        <f>'Tab. 6E - Administracja'!U53</f>
        <v>0</v>
      </c>
      <c r="O148" s="4532">
        <f>'Tab. 6E - Administracja'!V53</f>
        <v>0</v>
      </c>
      <c r="P148" s="4532">
        <f>'Tab. 6E - Administracja'!W53</f>
        <v>0</v>
      </c>
      <c r="Q148" s="4464"/>
      <c r="R148" s="4523"/>
    </row>
    <row r="149" spans="1:18" ht="13.5" customHeight="1" thickBot="1">
      <c r="A149" s="4533"/>
      <c r="B149" s="4534" t="s">
        <v>563</v>
      </c>
      <c r="C149" s="4535"/>
      <c r="D149" s="4536"/>
      <c r="E149" s="4537">
        <f>F149+H149+I149+J149+K149+L149+M149+N149+O149+P149</f>
        <v>9173265</v>
      </c>
      <c r="F149" s="4538">
        <f>'Tab. 6E - Administracja'!M58</f>
        <v>0</v>
      </c>
      <c r="G149" s="4538">
        <f>'Tab. 6E - Administracja'!N58</f>
        <v>0</v>
      </c>
      <c r="H149" s="4538">
        <f>'Tab. 6E - Administracja'!O58</f>
        <v>1013265</v>
      </c>
      <c r="I149" s="4538">
        <f>'Tab. 6E - Administracja'!P58</f>
        <v>1955000</v>
      </c>
      <c r="J149" s="4538">
        <f>'Tab. 6E - Administracja'!Q58</f>
        <v>1870000</v>
      </c>
      <c r="K149" s="4538">
        <f>'Tab. 6E - Administracja'!R58</f>
        <v>1870000</v>
      </c>
      <c r="L149" s="4538">
        <f>'Tab. 6E - Administracja'!S58</f>
        <v>1275000</v>
      </c>
      <c r="M149" s="4538">
        <f>'Tab. 6E - Administracja'!T58</f>
        <v>1190000</v>
      </c>
      <c r="N149" s="4538">
        <f>'Tab. 6E - Administracja'!U58</f>
        <v>0</v>
      </c>
      <c r="O149" s="4538">
        <f>'Tab. 6E - Administracja'!V58</f>
        <v>0</v>
      </c>
      <c r="P149" s="4538">
        <f>'Tab. 6E - Administracja'!W58</f>
        <v>0</v>
      </c>
      <c r="Q149" s="4482"/>
      <c r="R149" s="4523"/>
    </row>
    <row r="150" spans="1:18" ht="27" customHeight="1">
      <c r="A150" s="4516" t="s">
        <v>107</v>
      </c>
      <c r="B150" s="4541" t="str">
        <f>'Tab. 6E - Administracja'!B208</f>
        <v xml:space="preserve">Wsparcie gmin w opracowaniu albo aktualizacji programów rewitalizacji w ramach PO Pomoc Techniczna (2016 - 2018) </v>
      </c>
      <c r="C150" s="4539" t="s">
        <v>610</v>
      </c>
      <c r="D150" s="4519">
        <f>E153/E151%</f>
        <v>83.314161047203484</v>
      </c>
      <c r="E150" s="4520"/>
      <c r="F150" s="4521"/>
      <c r="G150" s="4520"/>
      <c r="H150" s="4522"/>
      <c r="I150" s="4522"/>
      <c r="J150" s="4522"/>
      <c r="K150" s="4521"/>
      <c r="L150" s="4521"/>
      <c r="M150" s="4521"/>
      <c r="N150" s="4522"/>
      <c r="O150" s="4522"/>
      <c r="P150" s="4521"/>
      <c r="Q150" s="4491" t="s">
        <v>576</v>
      </c>
      <c r="R150" s="4523"/>
    </row>
    <row r="151" spans="1:18" ht="13.5" customHeight="1">
      <c r="A151" s="4524"/>
      <c r="B151" s="4525" t="s">
        <v>268</v>
      </c>
      <c r="C151" s="4505"/>
      <c r="D151" s="4506"/>
      <c r="E151" s="4507">
        <f>G151+F151+H151+I151+J151+K151+L151+M151+N151+O151+P151</f>
        <v>5042000</v>
      </c>
      <c r="F151" s="4508">
        <f>'Tab. 6E - Administracja'!M209-'Tab. 6E - Administracja'!M213</f>
        <v>0</v>
      </c>
      <c r="G151" s="4508">
        <f>'Tab. 6E - Administracja'!N209-'Tab. 6E - Administracja'!N213</f>
        <v>0</v>
      </c>
      <c r="H151" s="4508">
        <f>'Tab. 6E - Administracja'!O209-'Tab. 6E - Administracja'!O213</f>
        <v>0</v>
      </c>
      <c r="I151" s="4508">
        <f>'Tab. 6E - Administracja'!P209-'Tab. 6E - Administracja'!P213</f>
        <v>1142432</v>
      </c>
      <c r="J151" s="4508">
        <f>'Tab. 6E - Administracja'!Q209-'Tab. 6E - Administracja'!Q213</f>
        <v>2798676</v>
      </c>
      <c r="K151" s="4508">
        <f>'Tab. 6E - Administracja'!R209-'Tab. 6E - Administracja'!R213</f>
        <v>1100892</v>
      </c>
      <c r="L151" s="4508">
        <f>'Tab. 6E - Administracja'!S209-'Tab. 6E - Administracja'!S213</f>
        <v>0</v>
      </c>
      <c r="M151" s="4508">
        <f>'Tab. 6E - Administracja'!T209-'Tab. 6E - Administracja'!T213</f>
        <v>0</v>
      </c>
      <c r="N151" s="4508">
        <f>'Tab. 6E - Administracja'!U209-'Tab. 6E - Administracja'!U213</f>
        <v>0</v>
      </c>
      <c r="O151" s="4508">
        <f>'Tab. 6E - Administracja'!V209-'Tab. 6E - Administracja'!V213</f>
        <v>0</v>
      </c>
      <c r="P151" s="4508">
        <f>'Tab. 6E - Administracja'!W209-'Tab. 6E - Administracja'!W213</f>
        <v>0</v>
      </c>
      <c r="Q151" s="4464"/>
      <c r="R151" s="4523"/>
    </row>
    <row r="152" spans="1:18" ht="24">
      <c r="A152" s="4524"/>
      <c r="B152" s="4526" t="s">
        <v>678</v>
      </c>
      <c r="C152" s="4527"/>
      <c r="D152" s="4528"/>
      <c r="E152" s="4529">
        <f>G152+F152+H152+I152+J152+K152+L152+M152+N152+O152+P152</f>
        <v>841300</v>
      </c>
      <c r="F152" s="4476">
        <f>'Tab. 6E - Administracja'!M211+'Tab. 6E - Administracja'!M212</f>
        <v>0</v>
      </c>
      <c r="G152" s="4476">
        <f>'Tab. 6E - Administracja'!N211+'Tab. 6E - Administracja'!N212</f>
        <v>0</v>
      </c>
      <c r="H152" s="4476">
        <f>'Tab. 6E - Administracja'!O211+'Tab. 6E - Administracja'!O212</f>
        <v>0</v>
      </c>
      <c r="I152" s="4476">
        <f>'Tab. 6E - Administracja'!P211+'Tab. 6E - Administracja'!P212</f>
        <v>203240</v>
      </c>
      <c r="J152" s="4476">
        <f>'Tab. 6E - Administracja'!Q211+'Tab. 6E - Administracja'!Q212</f>
        <v>462301</v>
      </c>
      <c r="K152" s="4476">
        <f>'Tab. 6E - Administracja'!R211+'Tab. 6E - Administracja'!R212</f>
        <v>175759</v>
      </c>
      <c r="L152" s="4476">
        <f>'Tab. 6E - Administracja'!S211+'Tab. 6E - Administracja'!S212</f>
        <v>0</v>
      </c>
      <c r="M152" s="4476">
        <f>'Tab. 6E - Administracja'!T211+'Tab. 6E - Administracja'!T212</f>
        <v>0</v>
      </c>
      <c r="N152" s="4476">
        <f>'Tab. 6E - Administracja'!U211+'Tab. 6E - Administracja'!U212</f>
        <v>0</v>
      </c>
      <c r="O152" s="4476">
        <f>'Tab. 6E - Administracja'!V211+'Tab. 6E - Administracja'!V212</f>
        <v>0</v>
      </c>
      <c r="P152" s="4476">
        <f>'Tab. 6E - Administracja'!W211+'Tab. 6E - Administracja'!W212</f>
        <v>0</v>
      </c>
      <c r="Q152" s="4464"/>
      <c r="R152" s="4523"/>
    </row>
    <row r="153" spans="1:18" ht="15.75" customHeight="1" thickBot="1">
      <c r="A153" s="4524"/>
      <c r="B153" s="4530" t="s">
        <v>270</v>
      </c>
      <c r="C153" s="4531"/>
      <c r="D153" s="4499"/>
      <c r="E153" s="4500">
        <f>G153+F153+H153+I153+J153+K153+L153+M153+N153+O153+P153</f>
        <v>4200700</v>
      </c>
      <c r="F153" s="4532">
        <f>'Tab. 6E - Administracja'!M214</f>
        <v>0</v>
      </c>
      <c r="G153" s="4532">
        <f>'Tab. 6E - Administracja'!N214</f>
        <v>0</v>
      </c>
      <c r="H153" s="4532">
        <f>'Tab. 6E - Administracja'!O214</f>
        <v>0</v>
      </c>
      <c r="I153" s="4532">
        <f>'Tab. 6E - Administracja'!P214</f>
        <v>939192</v>
      </c>
      <c r="J153" s="4532">
        <f>'Tab. 6E - Administracja'!Q214</f>
        <v>2336375</v>
      </c>
      <c r="K153" s="4532">
        <f>'Tab. 6E - Administracja'!R214</f>
        <v>925133</v>
      </c>
      <c r="L153" s="4532">
        <f>'Tab. 6E - Administracja'!S214</f>
        <v>0</v>
      </c>
      <c r="M153" s="4532">
        <f>'Tab. 6E - Administracja'!T214</f>
        <v>0</v>
      </c>
      <c r="N153" s="4532">
        <f>'Tab. 6E - Administracja'!U214</f>
        <v>0</v>
      </c>
      <c r="O153" s="4532">
        <f>'Tab. 6E - Administracja'!V214</f>
        <v>0</v>
      </c>
      <c r="P153" s="4532">
        <f>'Tab. 6E - Administracja'!W214</f>
        <v>0</v>
      </c>
      <c r="Q153" s="4464"/>
      <c r="R153" s="4523"/>
    </row>
    <row r="154" spans="1:18" ht="13.5" customHeight="1" thickBot="1">
      <c r="A154" s="4533"/>
      <c r="B154" s="4534" t="s">
        <v>563</v>
      </c>
      <c r="C154" s="4535"/>
      <c r="D154" s="4536"/>
      <c r="E154" s="4537">
        <f>F154+H154+I154+J154+K154+L154+M154+N154+O154+P154</f>
        <v>4200700</v>
      </c>
      <c r="F154" s="4538">
        <f>'Tab. 6E - Administracja'!M219</f>
        <v>0</v>
      </c>
      <c r="G154" s="4538">
        <f>'Tab. 6E - Administracja'!N219</f>
        <v>0</v>
      </c>
      <c r="H154" s="4538">
        <f>'Tab. 6E - Administracja'!O219</f>
        <v>0</v>
      </c>
      <c r="I154" s="4538">
        <f>'Tab. 6E - Administracja'!P219</f>
        <v>939192</v>
      </c>
      <c r="J154" s="4538">
        <f>'Tab. 6E - Administracja'!Q219</f>
        <v>2336375</v>
      </c>
      <c r="K154" s="4538">
        <f>'Tab. 6E - Administracja'!R219</f>
        <v>925133</v>
      </c>
      <c r="L154" s="4538">
        <f>'Tab. 6E - Administracja'!S219</f>
        <v>0</v>
      </c>
      <c r="M154" s="4538">
        <f>'Tab. 6E - Administracja'!T219</f>
        <v>0</v>
      </c>
      <c r="N154" s="4538">
        <f>'Tab. 6E - Administracja'!U219</f>
        <v>0</v>
      </c>
      <c r="O154" s="4538">
        <f>'Tab. 6E - Administracja'!V219</f>
        <v>0</v>
      </c>
      <c r="P154" s="4538">
        <f>'Tab. 6E - Administracja'!W219</f>
        <v>0</v>
      </c>
      <c r="Q154" s="4482"/>
      <c r="R154" s="4523"/>
    </row>
    <row r="155" spans="1:18" ht="36">
      <c r="A155" s="4516" t="s">
        <v>108</v>
      </c>
      <c r="B155" s="4517" t="str">
        <f>'Tab. 6G - Roln i ochrona środ.'!B137</f>
        <v>Pomoc Techniczna  w ramach PROW (2015-2023)</v>
      </c>
      <c r="C155" s="4539" t="s">
        <v>657</v>
      </c>
      <c r="D155" s="4519">
        <f>E158/E156%</f>
        <v>63.629914800634886</v>
      </c>
      <c r="E155" s="4520"/>
      <c r="F155" s="4521"/>
      <c r="G155" s="4520"/>
      <c r="H155" s="4522"/>
      <c r="I155" s="4522"/>
      <c r="J155" s="4522"/>
      <c r="K155" s="4521"/>
      <c r="L155" s="4521"/>
      <c r="M155" s="4521"/>
      <c r="N155" s="4522"/>
      <c r="O155" s="4522"/>
      <c r="P155" s="4521"/>
      <c r="Q155" s="4491" t="s">
        <v>582</v>
      </c>
      <c r="R155" s="4523"/>
    </row>
    <row r="156" spans="1:18" ht="13.5" customHeight="1">
      <c r="A156" s="4524"/>
      <c r="B156" s="4525" t="s">
        <v>268</v>
      </c>
      <c r="C156" s="4505"/>
      <c r="D156" s="4506"/>
      <c r="E156" s="4507">
        <f>G156+F156+H156+I156+J156+K156+L156+M156+N156+O156+P156</f>
        <v>25156056</v>
      </c>
      <c r="F156" s="4508">
        <f>'Tab. 6G - Roln i ochrona środ.'!M138</f>
        <v>0</v>
      </c>
      <c r="G156" s="4508">
        <f>'Tab. 6G - Roln i ochrona środ.'!N138</f>
        <v>0</v>
      </c>
      <c r="H156" s="4508">
        <f>'Tab. 6G - Roln i ochrona środ.'!O138</f>
        <v>2071007</v>
      </c>
      <c r="I156" s="4508">
        <f>'Tab. 6G - Roln i ochrona środ.'!P138</f>
        <v>5500000</v>
      </c>
      <c r="J156" s="4508">
        <f>'Tab. 6G - Roln i ochrona środ.'!Q138</f>
        <v>3063610</v>
      </c>
      <c r="K156" s="4508">
        <f>'Tab. 6G - Roln i ochrona środ.'!R138</f>
        <v>2500000</v>
      </c>
      <c r="L156" s="4508">
        <f>'Tab. 6G - Roln i ochrona środ.'!S138</f>
        <v>2500000</v>
      </c>
      <c r="M156" s="4508">
        <f>'Tab. 6G - Roln i ochrona środ.'!T138</f>
        <v>2720411</v>
      </c>
      <c r="N156" s="4508">
        <f>'Tab. 6G - Roln i ochrona środ.'!U138</f>
        <v>2720411</v>
      </c>
      <c r="O156" s="4508">
        <f>'Tab. 6G - Roln i ochrona środ.'!V138</f>
        <v>2720411</v>
      </c>
      <c r="P156" s="4508">
        <f>'Tab. 6G - Roln i ochrona środ.'!W138</f>
        <v>1360206</v>
      </c>
      <c r="Q156" s="4464"/>
      <c r="R156" s="4523"/>
    </row>
    <row r="157" spans="1:18">
      <c r="A157" s="4524"/>
      <c r="B157" s="4526" t="s">
        <v>675</v>
      </c>
      <c r="C157" s="4527"/>
      <c r="D157" s="4528"/>
      <c r="E157" s="4529">
        <f>G157+F157+H157+I157+J157+K157+L157+M157+N157+O157+P157</f>
        <v>9149279</v>
      </c>
      <c r="F157" s="4476">
        <f>'Tab. 6G - Roln i ochrona środ.'!M139</f>
        <v>0</v>
      </c>
      <c r="G157" s="4476">
        <f>'Tab. 6G - Roln i ochrona środ.'!N139</f>
        <v>0</v>
      </c>
      <c r="H157" s="4476">
        <f>'Tab. 6G - Roln i ochrona środ.'!O139</f>
        <v>753226</v>
      </c>
      <c r="I157" s="4476">
        <f>'Tab. 6G - Roln i ochrona środ.'!P139</f>
        <v>2000000</v>
      </c>
      <c r="J157" s="4476">
        <f>'Tab. 6G - Roln i ochrona środ.'!Q139</f>
        <v>1114604</v>
      </c>
      <c r="K157" s="4476">
        <f>'Tab. 6G - Roln i ochrona środ.'!R139</f>
        <v>909250</v>
      </c>
      <c r="L157" s="4476">
        <f>'Tab. 6G - Roln i ochrona środ.'!S139</f>
        <v>909250</v>
      </c>
      <c r="M157" s="4476">
        <f>'Tab. 6G - Roln i ochrona środ.'!T139</f>
        <v>989414</v>
      </c>
      <c r="N157" s="4476">
        <f>'Tab. 6G - Roln i ochrona środ.'!U139</f>
        <v>989414</v>
      </c>
      <c r="O157" s="4476">
        <f>'Tab. 6G - Roln i ochrona środ.'!V139</f>
        <v>989414</v>
      </c>
      <c r="P157" s="4476">
        <f>'Tab. 6G - Roln i ochrona środ.'!W139</f>
        <v>494707</v>
      </c>
      <c r="Q157" s="4464"/>
      <c r="R157" s="4523"/>
    </row>
    <row r="158" spans="1:18" ht="14.25" customHeight="1" thickBot="1">
      <c r="A158" s="4524"/>
      <c r="B158" s="4530" t="s">
        <v>270</v>
      </c>
      <c r="C158" s="4531"/>
      <c r="D158" s="4499"/>
      <c r="E158" s="4500">
        <f>G158+F158+H158+I158+J158+K158+L158+M158+N158+O158+P158</f>
        <v>16006777</v>
      </c>
      <c r="F158" s="4532">
        <f>'Tab. 6G - Roln i ochrona środ.'!M143</f>
        <v>0</v>
      </c>
      <c r="G158" s="4532">
        <f>'Tab. 6G - Roln i ochrona środ.'!N143</f>
        <v>0</v>
      </c>
      <c r="H158" s="4532">
        <f>'Tab. 6G - Roln i ochrona środ.'!O143</f>
        <v>1317781</v>
      </c>
      <c r="I158" s="4532">
        <f>'Tab. 6G - Roln i ochrona środ.'!P143</f>
        <v>3500000</v>
      </c>
      <c r="J158" s="4532">
        <f>'Tab. 6G - Roln i ochrona środ.'!Q143</f>
        <v>1949006</v>
      </c>
      <c r="K158" s="4532">
        <f>'Tab. 6G - Roln i ochrona środ.'!R143</f>
        <v>1590750</v>
      </c>
      <c r="L158" s="4532">
        <f>'Tab. 6G - Roln i ochrona środ.'!S143</f>
        <v>1590750</v>
      </c>
      <c r="M158" s="4532">
        <f>'Tab. 6G - Roln i ochrona środ.'!T143</f>
        <v>1730997</v>
      </c>
      <c r="N158" s="4532">
        <f>'Tab. 6G - Roln i ochrona środ.'!U143</f>
        <v>1730997</v>
      </c>
      <c r="O158" s="4532">
        <f>'Tab. 6G - Roln i ochrona środ.'!V143</f>
        <v>1730997</v>
      </c>
      <c r="P158" s="4532">
        <f>'Tab. 6G - Roln i ochrona środ.'!W143</f>
        <v>865499</v>
      </c>
      <c r="Q158" s="4464"/>
      <c r="R158" s="4523"/>
    </row>
    <row r="159" spans="1:18" ht="13.5" customHeight="1" thickBot="1">
      <c r="A159" s="4533"/>
      <c r="B159" s="4534" t="s">
        <v>563</v>
      </c>
      <c r="C159" s="4535"/>
      <c r="D159" s="4536"/>
      <c r="E159" s="4537">
        <f>F159+H159+I159+J159+K159+L159+M159+N159+O159+P159</f>
        <v>16006777</v>
      </c>
      <c r="F159" s="4538">
        <f>'Tab. 6G - Roln i ochrona środ.'!M148</f>
        <v>0</v>
      </c>
      <c r="G159" s="4538">
        <f>'Tab. 6G - Roln i ochrona środ.'!N148</f>
        <v>0</v>
      </c>
      <c r="H159" s="4538">
        <f>'Tab. 6G - Roln i ochrona środ.'!O148</f>
        <v>1317781</v>
      </c>
      <c r="I159" s="4538">
        <f>'Tab. 6G - Roln i ochrona środ.'!P148</f>
        <v>3500000</v>
      </c>
      <c r="J159" s="4538">
        <f>'Tab. 6G - Roln i ochrona środ.'!Q148</f>
        <v>1949006</v>
      </c>
      <c r="K159" s="4538">
        <f>'Tab. 6G - Roln i ochrona środ.'!R148</f>
        <v>1590750</v>
      </c>
      <c r="L159" s="4538">
        <f>'Tab. 6G - Roln i ochrona środ.'!S148</f>
        <v>1590750</v>
      </c>
      <c r="M159" s="4538">
        <f>'Tab. 6G - Roln i ochrona środ.'!T148</f>
        <v>1730997</v>
      </c>
      <c r="N159" s="4538">
        <f>'Tab. 6G - Roln i ochrona środ.'!U148</f>
        <v>1730997</v>
      </c>
      <c r="O159" s="4538">
        <f>'Tab. 6G - Roln i ochrona środ.'!V148</f>
        <v>1730997</v>
      </c>
      <c r="P159" s="4538">
        <f>'Tab. 6G - Roln i ochrona środ.'!W148</f>
        <v>865499</v>
      </c>
      <c r="Q159" s="4482"/>
      <c r="R159" s="4523"/>
    </row>
    <row r="160" spans="1:18" ht="30" customHeight="1">
      <c r="A160" s="4516" t="s">
        <v>109</v>
      </c>
      <c r="B160" s="4541" t="str">
        <f>'Tab. 6H - Kultura fiz. i turyst'!B78</f>
        <v>Poznaj Pomorze Zachodnie. Oznakowanie turystyczne regionu w ramach RPO WZ, Osi V (2012-2016)</v>
      </c>
      <c r="C160" s="4539" t="s">
        <v>640</v>
      </c>
      <c r="D160" s="4519">
        <f>E163/E161%</f>
        <v>79.997986585626748</v>
      </c>
      <c r="E160" s="4520"/>
      <c r="F160" s="4521"/>
      <c r="G160" s="4520"/>
      <c r="H160" s="4522"/>
      <c r="I160" s="4522"/>
      <c r="J160" s="4522"/>
      <c r="K160" s="4521"/>
      <c r="L160" s="4521"/>
      <c r="M160" s="4521"/>
      <c r="N160" s="4522"/>
      <c r="O160" s="4522"/>
      <c r="P160" s="4521"/>
      <c r="Q160" s="4491" t="s">
        <v>583</v>
      </c>
      <c r="R160" s="4523"/>
    </row>
    <row r="161" spans="1:18" ht="13.5" customHeight="1">
      <c r="A161" s="4524"/>
      <c r="B161" s="4525" t="s">
        <v>268</v>
      </c>
      <c r="C161" s="4505"/>
      <c r="D161" s="4506"/>
      <c r="E161" s="4507">
        <f>G161+F161+H161+I161+J161+K161+L161+M161+N161+O161+P161</f>
        <v>158934</v>
      </c>
      <c r="F161" s="4508">
        <f>'Tab. 6H - Kultura fiz. i turyst'!M79</f>
        <v>133659</v>
      </c>
      <c r="G161" s="4508"/>
      <c r="H161" s="4508">
        <f>'Tab. 6H - Kultura fiz. i turyst'!O79</f>
        <v>17034</v>
      </c>
      <c r="I161" s="4508">
        <f>'Tab. 6H - Kultura fiz. i turyst'!P79</f>
        <v>8241</v>
      </c>
      <c r="J161" s="4508">
        <f>'Tab. 6H - Kultura fiz. i turyst'!Q79</f>
        <v>0</v>
      </c>
      <c r="K161" s="4508">
        <f>'Tab. 6H - Kultura fiz. i turyst'!R79</f>
        <v>0</v>
      </c>
      <c r="L161" s="4508">
        <f>'Tab. 6H - Kultura fiz. i turyst'!S79</f>
        <v>0</v>
      </c>
      <c r="M161" s="4508"/>
      <c r="N161" s="4508"/>
      <c r="O161" s="4508"/>
      <c r="P161" s="4508"/>
      <c r="Q161" s="4464"/>
      <c r="R161" s="4523"/>
    </row>
    <row r="162" spans="1:18" ht="13.5" customHeight="1">
      <c r="A162" s="4524"/>
      <c r="B162" s="4526" t="s">
        <v>568</v>
      </c>
      <c r="C162" s="4527"/>
      <c r="D162" s="4528"/>
      <c r="E162" s="4529">
        <f>G162+F162+H162+I162+J162+K162+L162+M162+N162+O162+P162</f>
        <v>31790</v>
      </c>
      <c r="F162" s="4476">
        <f>'Tab. 6H - Kultura fiz. i turyst'!M80</f>
        <v>18046</v>
      </c>
      <c r="G162" s="4476"/>
      <c r="H162" s="4476">
        <f>'Tab. 6H - Kultura fiz. i turyst'!O80</f>
        <v>5503</v>
      </c>
      <c r="I162" s="4476">
        <f>'Tab. 6H - Kultura fiz. i turyst'!P80</f>
        <v>8241</v>
      </c>
      <c r="J162" s="4476">
        <f>'Tab. 6H - Kultura fiz. i turyst'!Q80</f>
        <v>0</v>
      </c>
      <c r="K162" s="4476">
        <f>'Tab. 6H - Kultura fiz. i turyst'!R80</f>
        <v>0</v>
      </c>
      <c r="L162" s="4476">
        <f>'Tab. 6H - Kultura fiz. i turyst'!S80</f>
        <v>0</v>
      </c>
      <c r="M162" s="4476"/>
      <c r="N162" s="4476"/>
      <c r="O162" s="4476"/>
      <c r="P162" s="4476"/>
      <c r="Q162" s="4464"/>
      <c r="R162" s="4523"/>
    </row>
    <row r="163" spans="1:18" ht="13.5" customHeight="1" thickBot="1">
      <c r="A163" s="4524"/>
      <c r="B163" s="4530" t="s">
        <v>270</v>
      </c>
      <c r="C163" s="4531"/>
      <c r="D163" s="4499"/>
      <c r="E163" s="4500">
        <f>G163+F163+H163+I163+J163+K163+L163+M163+N163+O163+P163</f>
        <v>127144</v>
      </c>
      <c r="F163" s="4532">
        <f>'Tab. 6H - Kultura fiz. i turyst'!M82</f>
        <v>115613</v>
      </c>
      <c r="G163" s="4532"/>
      <c r="H163" s="4532">
        <f>'Tab. 6H - Kultura fiz. i turyst'!O82</f>
        <v>11531</v>
      </c>
      <c r="I163" s="4532">
        <f>'Tab. 6H - Kultura fiz. i turyst'!P82</f>
        <v>0</v>
      </c>
      <c r="J163" s="4532">
        <f>'Tab. 6H - Kultura fiz. i turyst'!Q82</f>
        <v>0</v>
      </c>
      <c r="K163" s="4532">
        <f>'Tab. 6H - Kultura fiz. i turyst'!R82</f>
        <v>0</v>
      </c>
      <c r="L163" s="4532">
        <f>'Tab. 6H - Kultura fiz. i turyst'!S82</f>
        <v>0</v>
      </c>
      <c r="M163" s="4532"/>
      <c r="N163" s="4532"/>
      <c r="O163" s="4532"/>
      <c r="P163" s="4532"/>
      <c r="Q163" s="4464"/>
      <c r="R163" s="4523"/>
    </row>
    <row r="164" spans="1:18" ht="13.5" customHeight="1" thickBot="1">
      <c r="A164" s="4533"/>
      <c r="B164" s="4534" t="s">
        <v>563</v>
      </c>
      <c r="C164" s="4535"/>
      <c r="D164" s="4536"/>
      <c r="E164" s="4537">
        <f>F164+H164+I164+J164+K164+L164+M164+N164+O164+P164</f>
        <v>127144</v>
      </c>
      <c r="F164" s="4538">
        <f>'Tab. 6H - Kultura fiz. i turyst'!M85</f>
        <v>0</v>
      </c>
      <c r="G164" s="4538"/>
      <c r="H164" s="4538">
        <f>'Tab. 6H - Kultura fiz. i turyst'!O85</f>
        <v>127144</v>
      </c>
      <c r="I164" s="4538">
        <f>'Tab. 6H - Kultura fiz. i turyst'!P85</f>
        <v>0</v>
      </c>
      <c r="J164" s="4538">
        <f>'Tab. 6H - Kultura fiz. i turyst'!Q85</f>
        <v>0</v>
      </c>
      <c r="K164" s="4538">
        <f>'Tab. 6H - Kultura fiz. i turyst'!R85</f>
        <v>0</v>
      </c>
      <c r="L164" s="4538">
        <f>'Tab. 6H - Kultura fiz. i turyst'!S85</f>
        <v>0</v>
      </c>
      <c r="M164" s="4538"/>
      <c r="N164" s="4538"/>
      <c r="O164" s="4538"/>
      <c r="P164" s="4538"/>
      <c r="Q164" s="4482"/>
      <c r="R164" s="4523"/>
    </row>
    <row r="165" spans="1:18" ht="24">
      <c r="A165" s="4516" t="s">
        <v>110</v>
      </c>
      <c r="B165" s="4541" t="str">
        <f>'Tab.6I - Planow. przestrz.'!B25</f>
        <v>Bałtyckie Obszary Energii - Perspektywa Planistyczna BEA-APP w ramach programu EWT Region Morza Bałtyckiego (2016-2019)</v>
      </c>
      <c r="C165" s="4518" t="s">
        <v>651</v>
      </c>
      <c r="D165" s="4519">
        <f>E168/E166%</f>
        <v>85.000036335360846</v>
      </c>
      <c r="E165" s="4520"/>
      <c r="F165" s="4521"/>
      <c r="G165" s="4520"/>
      <c r="H165" s="4522"/>
      <c r="I165" s="4522"/>
      <c r="J165" s="4522"/>
      <c r="K165" s="4521"/>
      <c r="L165" s="4521"/>
      <c r="M165" s="4521"/>
      <c r="N165" s="4522"/>
      <c r="O165" s="4522"/>
      <c r="P165" s="4521"/>
      <c r="Q165" s="4491" t="s">
        <v>587</v>
      </c>
      <c r="R165" s="4523"/>
    </row>
    <row r="166" spans="1:18" ht="13.5" customHeight="1">
      <c r="A166" s="4524"/>
      <c r="B166" s="4525" t="s">
        <v>268</v>
      </c>
      <c r="C166" s="4505"/>
      <c r="D166" s="4506"/>
      <c r="E166" s="4507">
        <f>G166+F166+H166+I166+J166+K166+L166+M166+N166+O166+P166</f>
        <v>963249</v>
      </c>
      <c r="F166" s="4508">
        <f>'Tab.6I - Planow. przestrz.'!M26</f>
        <v>0</v>
      </c>
      <c r="G166" s="4508"/>
      <c r="H166" s="4508">
        <f>'Tab.6I - Planow. przestrz.'!O26</f>
        <v>0</v>
      </c>
      <c r="I166" s="4508">
        <f>'Tab.6I - Planow. przestrz.'!P26</f>
        <v>187530</v>
      </c>
      <c r="J166" s="4508">
        <f>'Tab.6I - Planow. przestrz.'!Q26</f>
        <v>386875</v>
      </c>
      <c r="K166" s="4508">
        <f>'Tab.6I - Planow. przestrz.'!R26</f>
        <v>354673</v>
      </c>
      <c r="L166" s="4508">
        <f>'Tab.6I - Planow. przestrz.'!S26</f>
        <v>34171</v>
      </c>
      <c r="M166" s="4508">
        <f>'Tab.6I - Planow. przestrz.'!T26</f>
        <v>0</v>
      </c>
      <c r="N166" s="4508">
        <f>'Tab.6I - Planow. przestrz.'!U26</f>
        <v>0</v>
      </c>
      <c r="O166" s="4508">
        <f>'Tab.6I - Planow. przestrz.'!V26</f>
        <v>0</v>
      </c>
      <c r="P166" s="4508"/>
      <c r="Q166" s="4464"/>
      <c r="R166" s="4523"/>
    </row>
    <row r="167" spans="1:18" ht="13.5" customHeight="1">
      <c r="A167" s="4524"/>
      <c r="B167" s="4526" t="s">
        <v>568</v>
      </c>
      <c r="C167" s="4527"/>
      <c r="D167" s="4528"/>
      <c r="E167" s="4529">
        <f>G167+F167+H167+I167+J167+K167+L167+M167+N167+O167+P167</f>
        <v>144487</v>
      </c>
      <c r="F167" s="4476">
        <f>'Tab.6I - Planow. przestrz.'!M27</f>
        <v>0</v>
      </c>
      <c r="G167" s="4476"/>
      <c r="H167" s="4476">
        <f>'Tab.6I - Planow. przestrz.'!O27</f>
        <v>0</v>
      </c>
      <c r="I167" s="4476">
        <f>'Tab.6I - Planow. przestrz.'!P27</f>
        <v>28129</v>
      </c>
      <c r="J167" s="4476">
        <f>'Tab.6I - Planow. przestrz.'!Q27</f>
        <v>58031</v>
      </c>
      <c r="K167" s="4476">
        <f>'Tab.6I - Planow. przestrz.'!R27</f>
        <v>53201</v>
      </c>
      <c r="L167" s="4476">
        <f>'Tab.6I - Planow. przestrz.'!S27</f>
        <v>5126</v>
      </c>
      <c r="M167" s="4476">
        <f>'Tab.6I - Planow. przestrz.'!T27</f>
        <v>0</v>
      </c>
      <c r="N167" s="4476">
        <f>'Tab.6I - Planow. przestrz.'!U27</f>
        <v>0</v>
      </c>
      <c r="O167" s="4476">
        <f>'Tab.6I - Planow. przestrz.'!V27</f>
        <v>0</v>
      </c>
      <c r="P167" s="4476"/>
      <c r="Q167" s="4464"/>
      <c r="R167" s="4523"/>
    </row>
    <row r="168" spans="1:18" ht="13.5" customHeight="1" thickBot="1">
      <c r="A168" s="4524"/>
      <c r="B168" s="4530" t="s">
        <v>270</v>
      </c>
      <c r="C168" s="4531"/>
      <c r="D168" s="4499"/>
      <c r="E168" s="4500">
        <f>G168+F168+H168+I168+J168+K168+L168+M168+N168+O168+P168</f>
        <v>818762</v>
      </c>
      <c r="F168" s="4532">
        <f>'Tab.6I - Planow. przestrz.'!M29</f>
        <v>0</v>
      </c>
      <c r="G168" s="4532"/>
      <c r="H168" s="4532">
        <f>'Tab.6I - Planow. przestrz.'!O29</f>
        <v>0</v>
      </c>
      <c r="I168" s="4532">
        <f>'Tab.6I - Planow. przestrz.'!P29</f>
        <v>159401</v>
      </c>
      <c r="J168" s="4532">
        <f>'Tab.6I - Planow. przestrz.'!Q29</f>
        <v>328844</v>
      </c>
      <c r="K168" s="4532">
        <f>'Tab.6I - Planow. przestrz.'!R29</f>
        <v>301472</v>
      </c>
      <c r="L168" s="4532">
        <f>'Tab.6I - Planow. przestrz.'!S29</f>
        <v>29045</v>
      </c>
      <c r="M168" s="4532">
        <f>'Tab.6I - Planow. przestrz.'!T29</f>
        <v>0</v>
      </c>
      <c r="N168" s="4532">
        <f>'Tab.6I - Planow. przestrz.'!U29</f>
        <v>0</v>
      </c>
      <c r="O168" s="4532">
        <f>'Tab.6I - Planow. przestrz.'!V29</f>
        <v>0</v>
      </c>
      <c r="P168" s="4532"/>
      <c r="Q168" s="4464"/>
      <c r="R168" s="4523"/>
    </row>
    <row r="169" spans="1:18" ht="13.5" customHeight="1" thickBot="1">
      <c r="A169" s="4533"/>
      <c r="B169" s="4534" t="s">
        <v>563</v>
      </c>
      <c r="C169" s="4535"/>
      <c r="D169" s="4536"/>
      <c r="E169" s="4537">
        <f>F169+H169+I169+J169+K169+L169+M169+N169+O169+P169</f>
        <v>818762</v>
      </c>
      <c r="F169" s="4538">
        <f>'Tab.6I - Planow. przestrz.'!M32</f>
        <v>0</v>
      </c>
      <c r="G169" s="4538"/>
      <c r="H169" s="4538">
        <f>'Tab.6I - Planow. przestrz.'!O32</f>
        <v>0</v>
      </c>
      <c r="I169" s="4538">
        <f>'Tab.6I - Planow. przestrz.'!P32</f>
        <v>0</v>
      </c>
      <c r="J169" s="4538">
        <f>'Tab.6I - Planow. przestrz.'!Q32</f>
        <v>159401</v>
      </c>
      <c r="K169" s="4538">
        <f>'Tab.6I - Planow. przestrz.'!R32</f>
        <v>328844</v>
      </c>
      <c r="L169" s="4538">
        <f>'Tab.6I - Planow. przestrz.'!S32</f>
        <v>301472</v>
      </c>
      <c r="M169" s="4538">
        <f>'Tab.6I - Planow. przestrz.'!T32</f>
        <v>29045</v>
      </c>
      <c r="N169" s="4538">
        <f>'Tab.6I - Planow. przestrz.'!U32</f>
        <v>0</v>
      </c>
      <c r="O169" s="4538">
        <f>'Tab.6I - Planow. przestrz.'!V32</f>
        <v>0</v>
      </c>
      <c r="P169" s="4538"/>
      <c r="Q169" s="4482"/>
      <c r="R169" s="4523"/>
    </row>
    <row r="170" spans="1:18" ht="42.75" customHeight="1">
      <c r="A170" s="4516" t="s">
        <v>111</v>
      </c>
      <c r="B170" s="4517" t="str">
        <f>'Tab.6I - Planow. przestrz.'!B34</f>
        <v xml:space="preserve"> Zrównoważona mobilność na obszarze ostatniej mili w regionach turystycznych (LAST MILE) w ramach programu EWT Region Morza Bałtyckiego (2016-2020)</v>
      </c>
      <c r="C170" s="4518" t="s">
        <v>652</v>
      </c>
      <c r="D170" s="4519">
        <f>E173/E171%</f>
        <v>85.000022278959307</v>
      </c>
      <c r="E170" s="4520"/>
      <c r="F170" s="4521"/>
      <c r="G170" s="4520"/>
      <c r="H170" s="4522"/>
      <c r="I170" s="4522"/>
      <c r="J170" s="4522"/>
      <c r="K170" s="4521"/>
      <c r="L170" s="4521"/>
      <c r="M170" s="4521"/>
      <c r="N170" s="4522"/>
      <c r="O170" s="4522"/>
      <c r="P170" s="4521"/>
      <c r="Q170" s="4491" t="s">
        <v>587</v>
      </c>
      <c r="R170" s="4523"/>
    </row>
    <row r="171" spans="1:18" ht="13.5" customHeight="1">
      <c r="A171" s="4524"/>
      <c r="B171" s="4525" t="s">
        <v>268</v>
      </c>
      <c r="C171" s="4505"/>
      <c r="D171" s="4506"/>
      <c r="E171" s="4507">
        <f>G171+F171+H171+I171+J171+K171+L171+M171+N171+O171+P171</f>
        <v>897708</v>
      </c>
      <c r="F171" s="4508">
        <f>'Tab.6I - Planow. przestrz.'!M35</f>
        <v>0</v>
      </c>
      <c r="G171" s="4508"/>
      <c r="H171" s="4508">
        <f>'Tab.6I - Planow. przestrz.'!O35</f>
        <v>0</v>
      </c>
      <c r="I171" s="4508">
        <f>'Tab.6I - Planow. przestrz.'!P35</f>
        <v>157103</v>
      </c>
      <c r="J171" s="4508">
        <f>'Tab.6I - Planow. przestrz.'!Q35</f>
        <v>349393</v>
      </c>
      <c r="K171" s="4508">
        <f>'Tab.6I - Planow. przestrz.'!R35</f>
        <v>292249</v>
      </c>
      <c r="L171" s="4508">
        <f>'Tab.6I - Planow. przestrz.'!S35</f>
        <v>41538</v>
      </c>
      <c r="M171" s="4508">
        <f>'Tab.6I - Planow. przestrz.'!T35</f>
        <v>57425</v>
      </c>
      <c r="N171" s="4508">
        <f>'Tab.6I - Planow. przestrz.'!U35</f>
        <v>0</v>
      </c>
      <c r="O171" s="4508">
        <f>'Tab.6I - Planow. przestrz.'!V35</f>
        <v>0</v>
      </c>
      <c r="P171" s="4508">
        <f>'Tab.6I - Planow. przestrz.'!W35</f>
        <v>0</v>
      </c>
      <c r="Q171" s="4464"/>
      <c r="R171" s="4523"/>
    </row>
    <row r="172" spans="1:18" ht="13.5" customHeight="1">
      <c r="A172" s="4524"/>
      <c r="B172" s="4526" t="s">
        <v>568</v>
      </c>
      <c r="C172" s="4527"/>
      <c r="D172" s="4528"/>
      <c r="E172" s="4529">
        <f>G172+F172+H172+I172+J172+K172+L172+M172+N172+O172+P172</f>
        <v>134656</v>
      </c>
      <c r="F172" s="4476">
        <f>'Tab.6I - Planow. przestrz.'!M36</f>
        <v>0</v>
      </c>
      <c r="G172" s="4476"/>
      <c r="H172" s="4476">
        <f>'Tab.6I - Planow. przestrz.'!O36</f>
        <v>0</v>
      </c>
      <c r="I172" s="4476">
        <f>'Tab.6I - Planow. przestrz.'!P36</f>
        <v>23565</v>
      </c>
      <c r="J172" s="4476">
        <f>'Tab.6I - Planow. przestrz.'!Q36</f>
        <v>52409</v>
      </c>
      <c r="K172" s="4476">
        <f>'Tab.6I - Planow. przestrz.'!R36</f>
        <v>43837</v>
      </c>
      <c r="L172" s="4476">
        <f>'Tab.6I - Planow. przestrz.'!S36</f>
        <v>6231</v>
      </c>
      <c r="M172" s="4476">
        <f>'Tab.6I - Planow. przestrz.'!T36</f>
        <v>8614</v>
      </c>
      <c r="N172" s="4476">
        <f>'Tab.6I - Planow. przestrz.'!U36</f>
        <v>0</v>
      </c>
      <c r="O172" s="4476">
        <f>'Tab.6I - Planow. przestrz.'!V36</f>
        <v>0</v>
      </c>
      <c r="P172" s="4476">
        <f>'Tab.6I - Planow. przestrz.'!W36</f>
        <v>0</v>
      </c>
      <c r="Q172" s="4464"/>
      <c r="R172" s="4523"/>
    </row>
    <row r="173" spans="1:18" ht="13.5" customHeight="1" thickBot="1">
      <c r="A173" s="4524"/>
      <c r="B173" s="4530" t="s">
        <v>270</v>
      </c>
      <c r="C173" s="4531"/>
      <c r="D173" s="4499"/>
      <c r="E173" s="4500">
        <f>G173+F173+H173+I173+J173+K173+L173+M173+N173+O173+P173</f>
        <v>763052</v>
      </c>
      <c r="F173" s="4532">
        <f>'Tab.6I - Planow. przestrz.'!M38</f>
        <v>0</v>
      </c>
      <c r="G173" s="4532"/>
      <c r="H173" s="4532">
        <f>'Tab.6I - Planow. przestrz.'!O38</f>
        <v>0</v>
      </c>
      <c r="I173" s="4532">
        <f>'Tab.6I - Planow. przestrz.'!P38</f>
        <v>133538</v>
      </c>
      <c r="J173" s="4532">
        <f>'Tab.6I - Planow. przestrz.'!Q38</f>
        <v>296984</v>
      </c>
      <c r="K173" s="4532">
        <f>'Tab.6I - Planow. przestrz.'!R38</f>
        <v>248412</v>
      </c>
      <c r="L173" s="4532">
        <f>'Tab.6I - Planow. przestrz.'!S38</f>
        <v>35307</v>
      </c>
      <c r="M173" s="4532">
        <f>'Tab.6I - Planow. przestrz.'!T38</f>
        <v>48811</v>
      </c>
      <c r="N173" s="4532">
        <f>'Tab.6I - Planow. przestrz.'!U38</f>
        <v>0</v>
      </c>
      <c r="O173" s="4532">
        <f>'Tab.6I - Planow. przestrz.'!V38</f>
        <v>0</v>
      </c>
      <c r="P173" s="4532">
        <f>'Tab.6I - Planow. przestrz.'!W38</f>
        <v>0</v>
      </c>
      <c r="Q173" s="4464"/>
      <c r="R173" s="4523"/>
    </row>
    <row r="174" spans="1:18" ht="13.5" customHeight="1" thickBot="1">
      <c r="A174" s="4533"/>
      <c r="B174" s="4534" t="s">
        <v>563</v>
      </c>
      <c r="C174" s="4535"/>
      <c r="D174" s="4536"/>
      <c r="E174" s="4537">
        <f>F174+H174+I174+J174+K174+L174+M174+N174+O174+P174</f>
        <v>763052</v>
      </c>
      <c r="F174" s="4538">
        <f>'Tab.6I - Planow. przestrz.'!M41</f>
        <v>0</v>
      </c>
      <c r="G174" s="4538"/>
      <c r="H174" s="4538">
        <f>'Tab.6I - Planow. przestrz.'!O41</f>
        <v>0</v>
      </c>
      <c r="I174" s="4538">
        <f>'Tab.6I - Planow. przestrz.'!P41</f>
        <v>0</v>
      </c>
      <c r="J174" s="4538">
        <f>'Tab.6I - Planow. przestrz.'!Q41</f>
        <v>133538</v>
      </c>
      <c r="K174" s="4538">
        <f>'Tab.6I - Planow. przestrz.'!R41</f>
        <v>296984</v>
      </c>
      <c r="L174" s="4538">
        <f>'Tab.6I - Planow. przestrz.'!S41</f>
        <v>248412</v>
      </c>
      <c r="M174" s="4538">
        <f>'Tab.6I - Planow. przestrz.'!T41</f>
        <v>35307</v>
      </c>
      <c r="N174" s="4538">
        <f>'Tab.6I - Planow. przestrz.'!U41</f>
        <v>48811</v>
      </c>
      <c r="O174" s="4538">
        <f>'Tab.6I - Planow. przestrz.'!V41</f>
        <v>0</v>
      </c>
      <c r="P174" s="4538">
        <f>'Tab.6I - Planow. przestrz.'!W41</f>
        <v>0</v>
      </c>
      <c r="Q174" s="4482"/>
      <c r="R174" s="4523"/>
    </row>
    <row r="175" spans="1:18" ht="27" customHeight="1">
      <c r="A175" s="4516" t="s">
        <v>112</v>
      </c>
      <c r="B175" s="4517" t="str">
        <f>'Tab.6I - Planow. przestrz.'!B54</f>
        <v>Wsparcie techniczne Interreg VA Południowy Bałtyk (2015-2020)</v>
      </c>
      <c r="C175" s="4539" t="s">
        <v>648</v>
      </c>
      <c r="D175" s="4519">
        <f>E178/E176%</f>
        <v>74.792822529672023</v>
      </c>
      <c r="E175" s="4520"/>
      <c r="F175" s="4521"/>
      <c r="G175" s="4520"/>
      <c r="H175" s="4522"/>
      <c r="I175" s="4522"/>
      <c r="J175" s="4522"/>
      <c r="K175" s="4521"/>
      <c r="L175" s="4521"/>
      <c r="M175" s="4521"/>
      <c r="N175" s="4522"/>
      <c r="O175" s="4522"/>
      <c r="P175" s="4521"/>
      <c r="Q175" s="4491" t="s">
        <v>131</v>
      </c>
      <c r="R175" s="4523"/>
    </row>
    <row r="176" spans="1:18" ht="13.5" customHeight="1">
      <c r="A176" s="4524"/>
      <c r="B176" s="4525" t="s">
        <v>268</v>
      </c>
      <c r="C176" s="4505"/>
      <c r="D176" s="4506"/>
      <c r="E176" s="4507">
        <f>G176+F176+H176+I176+J176+K176+L176+M176+N176+O176+P176</f>
        <v>398692</v>
      </c>
      <c r="F176" s="4508">
        <f>'Tab.6I - Planow. przestrz.'!M55</f>
        <v>0</v>
      </c>
      <c r="G176" s="4508"/>
      <c r="H176" s="4508">
        <f>'Tab.6I - Planow. przestrz.'!O55</f>
        <v>49386</v>
      </c>
      <c r="I176" s="4508">
        <f>'Tab.6I - Planow. przestrz.'!P55</f>
        <v>71394</v>
      </c>
      <c r="J176" s="4508">
        <f>'Tab.6I - Planow. przestrz.'!Q55</f>
        <v>69478</v>
      </c>
      <c r="K176" s="4508">
        <f>'Tab.6I - Planow. przestrz.'!R55</f>
        <v>69478</v>
      </c>
      <c r="L176" s="4508">
        <f>'Tab.6I - Planow. przestrz.'!S55</f>
        <v>69478</v>
      </c>
      <c r="M176" s="4508">
        <f>'Tab.6I - Planow. przestrz.'!T55</f>
        <v>69478</v>
      </c>
      <c r="N176" s="4508">
        <f>'Tab.6I - Planow. przestrz.'!U55</f>
        <v>0</v>
      </c>
      <c r="O176" s="4508">
        <f>'Tab.6I - Planow. przestrz.'!V55</f>
        <v>0</v>
      </c>
      <c r="P176" s="4508">
        <f>'Tab.6I - Planow. przestrz.'!W55</f>
        <v>0</v>
      </c>
      <c r="Q176" s="4464"/>
      <c r="R176" s="4523"/>
    </row>
    <row r="177" spans="1:28" ht="30" customHeight="1">
      <c r="A177" s="4524"/>
      <c r="B177" s="4526" t="s">
        <v>678</v>
      </c>
      <c r="C177" s="4527"/>
      <c r="D177" s="4528"/>
      <c r="E177" s="4529">
        <f>G177+F177+H177+I177+J177+K177+L177+M177+N177+O177+P177</f>
        <v>100499</v>
      </c>
      <c r="F177" s="4476">
        <f>'Tab.6I - Planow. przestrz.'!M56</f>
        <v>0</v>
      </c>
      <c r="G177" s="4476"/>
      <c r="H177" s="4476">
        <f>'Tab.6I - Planow. przestrz.'!O56</f>
        <v>12423</v>
      </c>
      <c r="I177" s="4476">
        <f>'Tab.6I - Planow. przestrz.'!P56</f>
        <v>17998</v>
      </c>
      <c r="J177" s="4476">
        <f>'Tab.6I - Planow. przestrz.'!Q56</f>
        <v>17519</v>
      </c>
      <c r="K177" s="4476">
        <f>'Tab.6I - Planow. przestrz.'!R56</f>
        <v>17519</v>
      </c>
      <c r="L177" s="4476">
        <f>'Tab.6I - Planow. przestrz.'!S56</f>
        <v>17520</v>
      </c>
      <c r="M177" s="4476">
        <f>'Tab.6I - Planow. przestrz.'!T56</f>
        <v>17520</v>
      </c>
      <c r="N177" s="4476">
        <f>'Tab.6I - Planow. przestrz.'!U56</f>
        <v>0</v>
      </c>
      <c r="O177" s="4476">
        <f>'Tab.6I - Planow. przestrz.'!V56</f>
        <v>0</v>
      </c>
      <c r="P177" s="4476">
        <f>'Tab.6I - Planow. przestrz.'!W56</f>
        <v>0</v>
      </c>
      <c r="Q177" s="4464"/>
      <c r="R177" s="4523"/>
    </row>
    <row r="178" spans="1:28" ht="13.5" customHeight="1" thickBot="1">
      <c r="A178" s="4524"/>
      <c r="B178" s="4530" t="s">
        <v>270</v>
      </c>
      <c r="C178" s="4531"/>
      <c r="D178" s="4499"/>
      <c r="E178" s="4500">
        <f>G178+F178+H178+I178+J178+K178+L178+M178+N178+O178+P178</f>
        <v>298193</v>
      </c>
      <c r="F178" s="4532">
        <f>'Tab.6I - Planow. przestrz.'!M59</f>
        <v>0</v>
      </c>
      <c r="G178" s="4532"/>
      <c r="H178" s="4532">
        <f>'Tab.6I - Planow. przestrz.'!O59</f>
        <v>36963</v>
      </c>
      <c r="I178" s="4532">
        <f>'Tab.6I - Planow. przestrz.'!P59</f>
        <v>53396</v>
      </c>
      <c r="J178" s="4532">
        <f>'Tab.6I - Planow. przestrz.'!Q59</f>
        <v>51959</v>
      </c>
      <c r="K178" s="4532">
        <f>'Tab.6I - Planow. przestrz.'!R59</f>
        <v>51959</v>
      </c>
      <c r="L178" s="4532">
        <f>'Tab.6I - Planow. przestrz.'!S59</f>
        <v>51958</v>
      </c>
      <c r="M178" s="4532">
        <f>'Tab.6I - Planow. przestrz.'!T59</f>
        <v>51958</v>
      </c>
      <c r="N178" s="4532">
        <f>'Tab.6I - Planow. przestrz.'!U59</f>
        <v>0</v>
      </c>
      <c r="O178" s="4532">
        <f>'Tab.6I - Planow. przestrz.'!V59</f>
        <v>0</v>
      </c>
      <c r="P178" s="4532">
        <f>'Tab.6I - Planow. przestrz.'!W59</f>
        <v>0</v>
      </c>
      <c r="Q178" s="4464"/>
      <c r="R178" s="4523"/>
    </row>
    <row r="179" spans="1:28" ht="13.5" customHeight="1" thickBot="1">
      <c r="A179" s="4533"/>
      <c r="B179" s="4534" t="s">
        <v>563</v>
      </c>
      <c r="C179" s="4535"/>
      <c r="D179" s="4536"/>
      <c r="E179" s="4537">
        <f>F179+H179+I179+J179+K179+L179+M179+N179+O179+P179</f>
        <v>298193</v>
      </c>
      <c r="F179" s="4538">
        <f>'Tab.6I - Planow. przestrz.'!M64</f>
        <v>0</v>
      </c>
      <c r="G179" s="4538"/>
      <c r="H179" s="4538">
        <f>'Tab.6I - Planow. przestrz.'!O64</f>
        <v>0</v>
      </c>
      <c r="I179" s="4538">
        <f>'Tab.6I - Planow. przestrz.'!P64</f>
        <v>0</v>
      </c>
      <c r="J179" s="4538">
        <f>'Tab.6I - Planow. przestrz.'!Q64</f>
        <v>90359</v>
      </c>
      <c r="K179" s="4538">
        <f>'Tab.6I - Planow. przestrz.'!R64</f>
        <v>51959</v>
      </c>
      <c r="L179" s="4538">
        <f>'Tab.6I - Planow. przestrz.'!S64</f>
        <v>51959</v>
      </c>
      <c r="M179" s="4538">
        <f>'Tab.6I - Planow. przestrz.'!T64</f>
        <v>51958</v>
      </c>
      <c r="N179" s="4538">
        <f>'Tab.6I - Planow. przestrz.'!U64</f>
        <v>51958</v>
      </c>
      <c r="O179" s="4538">
        <f>'Tab.6I - Planow. przestrz.'!V64</f>
        <v>0</v>
      </c>
      <c r="P179" s="4538">
        <f>'Tab.6I - Planow. przestrz.'!W64</f>
        <v>0</v>
      </c>
      <c r="Q179" s="4482"/>
      <c r="R179" s="4523"/>
    </row>
    <row r="180" spans="1:28" ht="29.25" customHeight="1">
      <c r="A180" s="4516" t="s">
        <v>114</v>
      </c>
      <c r="B180" s="4541" t="str">
        <f>'Tab. 6A -Drogi'!B456</f>
        <v>TENTacle – wykorzystanie korytarzy sieci bazowej TEN-T w ramach IW INTERREG VB (2016-2019)</v>
      </c>
      <c r="C180" s="4539" t="s">
        <v>647</v>
      </c>
      <c r="D180" s="4519">
        <f>E183/E181%</f>
        <v>85.000066339098936</v>
      </c>
      <c r="E180" s="4520"/>
      <c r="F180" s="4521"/>
      <c r="G180" s="4520"/>
      <c r="H180" s="4522"/>
      <c r="I180" s="4522"/>
      <c r="J180" s="4522"/>
      <c r="K180" s="4521"/>
      <c r="L180" s="4521"/>
      <c r="M180" s="4521"/>
      <c r="N180" s="4522"/>
      <c r="O180" s="4522"/>
      <c r="P180" s="4521"/>
      <c r="Q180" s="4491" t="s">
        <v>131</v>
      </c>
      <c r="R180" s="4523"/>
    </row>
    <row r="181" spans="1:28" ht="13.5" customHeight="1">
      <c r="A181" s="4524"/>
      <c r="B181" s="4525" t="s">
        <v>268</v>
      </c>
      <c r="C181" s="4505"/>
      <c r="D181" s="4506"/>
      <c r="E181" s="4507">
        <f>G181+F181+H181+I181+J181+K181+L181+M181+N181+O181+P181</f>
        <v>452222</v>
      </c>
      <c r="F181" s="4508">
        <f>'Tab. 6A -Drogi'!M457</f>
        <v>0</v>
      </c>
      <c r="G181" s="4508"/>
      <c r="H181" s="4508">
        <f>'Tab. 6A -Drogi'!O457</f>
        <v>0</v>
      </c>
      <c r="I181" s="4508">
        <f>'Tab. 6A -Drogi'!P457</f>
        <v>48546</v>
      </c>
      <c r="J181" s="4508">
        <f>'Tab. 6A -Drogi'!Q457</f>
        <v>266706</v>
      </c>
      <c r="K181" s="4508">
        <f>'Tab. 6A -Drogi'!R457</f>
        <v>115385</v>
      </c>
      <c r="L181" s="4508">
        <f>'Tab. 6A -Drogi'!S457</f>
        <v>21585</v>
      </c>
      <c r="M181" s="4508">
        <f>'Tab. 6A -Drogi'!T457</f>
        <v>0</v>
      </c>
      <c r="N181" s="4508">
        <f>'Tab. 6A -Drogi'!U457</f>
        <v>0</v>
      </c>
      <c r="O181" s="4508">
        <f>'Tab. 6A -Drogi'!V457</f>
        <v>0</v>
      </c>
      <c r="P181" s="4508">
        <f>'Tab. 6A -Drogi'!W457</f>
        <v>0</v>
      </c>
      <c r="Q181" s="4464"/>
      <c r="R181" s="4523"/>
    </row>
    <row r="182" spans="1:28">
      <c r="A182" s="4524"/>
      <c r="B182" s="4526" t="s">
        <v>568</v>
      </c>
      <c r="C182" s="4527"/>
      <c r="D182" s="4528"/>
      <c r="E182" s="4529">
        <f>G182+F182+H182+I182+J182+K182+L182+M182+N182+O182+P182</f>
        <v>67833</v>
      </c>
      <c r="F182" s="4476">
        <f>'Tab. 6A -Drogi'!M458</f>
        <v>0</v>
      </c>
      <c r="G182" s="4476"/>
      <c r="H182" s="4476">
        <f>'Tab. 6A -Drogi'!O458</f>
        <v>0</v>
      </c>
      <c r="I182" s="4476">
        <f>'Tab. 6A -Drogi'!P458</f>
        <v>7282</v>
      </c>
      <c r="J182" s="4476">
        <f>'Tab. 6A -Drogi'!Q458</f>
        <v>40006</v>
      </c>
      <c r="K182" s="4476">
        <f>'Tab. 6A -Drogi'!R458</f>
        <v>17308</v>
      </c>
      <c r="L182" s="4476">
        <f>'Tab. 6A -Drogi'!S458</f>
        <v>3237</v>
      </c>
      <c r="M182" s="4476">
        <f>'Tab. 6A -Drogi'!T458</f>
        <v>0</v>
      </c>
      <c r="N182" s="4476">
        <f>'Tab. 6A -Drogi'!U458</f>
        <v>0</v>
      </c>
      <c r="O182" s="4476">
        <f>'Tab. 6A -Drogi'!V458</f>
        <v>0</v>
      </c>
      <c r="P182" s="4476">
        <f>'Tab. 6A -Drogi'!W458</f>
        <v>0</v>
      </c>
      <c r="Q182" s="4464"/>
      <c r="R182" s="4523"/>
    </row>
    <row r="183" spans="1:28" ht="13.5" customHeight="1" thickBot="1">
      <c r="A183" s="4524"/>
      <c r="B183" s="4530" t="s">
        <v>270</v>
      </c>
      <c r="C183" s="4531"/>
      <c r="D183" s="4499"/>
      <c r="E183" s="4500">
        <f>G183+F183+H183+I183+J183+K183+L183+M183+N183+O183+P183</f>
        <v>384389</v>
      </c>
      <c r="F183" s="4532">
        <f>'Tab. 6A -Drogi'!M463</f>
        <v>0</v>
      </c>
      <c r="G183" s="4532"/>
      <c r="H183" s="4532">
        <f>'Tab. 6A -Drogi'!O463</f>
        <v>0</v>
      </c>
      <c r="I183" s="4532">
        <f>'Tab. 6A -Drogi'!P463</f>
        <v>41264</v>
      </c>
      <c r="J183" s="4532">
        <f>'Tab. 6A -Drogi'!Q463</f>
        <v>226700</v>
      </c>
      <c r="K183" s="4532">
        <f>'Tab. 6A -Drogi'!R463</f>
        <v>98077</v>
      </c>
      <c r="L183" s="4532">
        <f>'Tab. 6A -Drogi'!S463</f>
        <v>18348</v>
      </c>
      <c r="M183" s="4532">
        <f>'Tab. 6A -Drogi'!T463</f>
        <v>0</v>
      </c>
      <c r="N183" s="4532">
        <f>'Tab. 6A -Drogi'!U463</f>
        <v>0</v>
      </c>
      <c r="O183" s="4532">
        <f>'Tab. 6A -Drogi'!V463</f>
        <v>0</v>
      </c>
      <c r="P183" s="4532">
        <f>'Tab. 6A -Drogi'!W463</f>
        <v>0</v>
      </c>
      <c r="Q183" s="4464"/>
      <c r="R183" s="4523"/>
    </row>
    <row r="184" spans="1:28" ht="13.5" customHeight="1" thickBot="1">
      <c r="A184" s="4533"/>
      <c r="B184" s="4534" t="s">
        <v>563</v>
      </c>
      <c r="C184" s="4535"/>
      <c r="D184" s="4536"/>
      <c r="E184" s="4537">
        <f>F184+H184+I184+J184+K184+L184+M184+N184+O184+P184</f>
        <v>384389</v>
      </c>
      <c r="F184" s="4538">
        <f>'Tab. 6A -Drogi'!M469</f>
        <v>0</v>
      </c>
      <c r="G184" s="4538"/>
      <c r="H184" s="4538">
        <f>'Tab. 6A -Drogi'!O469</f>
        <v>0</v>
      </c>
      <c r="I184" s="4538">
        <f>'Tab. 6A -Drogi'!P469</f>
        <v>0</v>
      </c>
      <c r="J184" s="4538">
        <f>'Tab. 6A -Drogi'!Q469</f>
        <v>20632</v>
      </c>
      <c r="K184" s="4538">
        <f>'Tab. 6A -Drogi'!R469</f>
        <v>133982</v>
      </c>
      <c r="L184" s="4538">
        <f>'Tab. 6A -Drogi'!S469</f>
        <v>229775</v>
      </c>
      <c r="M184" s="4538">
        <f>'Tab. 6A -Drogi'!T469</f>
        <v>0</v>
      </c>
      <c r="N184" s="4538">
        <f>'Tab. 6A -Drogi'!U469</f>
        <v>0</v>
      </c>
      <c r="O184" s="4538">
        <f>'Tab. 6A -Drogi'!V469</f>
        <v>0</v>
      </c>
      <c r="P184" s="4538">
        <f>'Tab. 6A -Drogi'!W469</f>
        <v>0</v>
      </c>
      <c r="Q184" s="4482"/>
      <c r="R184" s="4523"/>
    </row>
    <row r="185" spans="1:28" ht="54.75" customHeight="1">
      <c r="A185" s="4516" t="s">
        <v>115</v>
      </c>
      <c r="B185" s="4517" t="str">
        <f>'Tab. 6A -Drogi'!B505</f>
        <v>Promocja taboru kolejowego zakupionego w ramach PO IiŚ (2014-2015)</v>
      </c>
      <c r="C185" s="4518" t="s">
        <v>606</v>
      </c>
      <c r="D185" s="4519">
        <f>E188/E186%</f>
        <v>69.106051864672551</v>
      </c>
      <c r="E185" s="4520"/>
      <c r="F185" s="4521"/>
      <c r="G185" s="4520"/>
      <c r="H185" s="4522"/>
      <c r="I185" s="4522"/>
      <c r="J185" s="4522"/>
      <c r="K185" s="4521"/>
      <c r="L185" s="4521"/>
      <c r="M185" s="4521"/>
      <c r="N185" s="4522"/>
      <c r="O185" s="4522"/>
      <c r="P185" s="4521"/>
      <c r="Q185" s="4491" t="s">
        <v>122</v>
      </c>
      <c r="R185" s="4523"/>
    </row>
    <row r="186" spans="1:28">
      <c r="A186" s="4524"/>
      <c r="B186" s="4525" t="s">
        <v>268</v>
      </c>
      <c r="C186" s="4505"/>
      <c r="D186" s="4506"/>
      <c r="E186" s="4507">
        <f>G186+F186+H186+I186+J186+K186+L186+M186+N186+O186+P186</f>
        <v>135198</v>
      </c>
      <c r="F186" s="4508">
        <f>'Tab. 6A -Drogi'!M506</f>
        <v>6326</v>
      </c>
      <c r="G186" s="4508"/>
      <c r="H186" s="4508">
        <f>'Tab. 6A -Drogi'!O506</f>
        <v>128872</v>
      </c>
      <c r="I186" s="4508">
        <f>'Tab. 6A -Drogi'!P506</f>
        <v>0</v>
      </c>
      <c r="J186" s="4508">
        <f>'Tab. 6A -Drogi'!Q506</f>
        <v>0</v>
      </c>
      <c r="K186" s="4508">
        <f>'Tab. 6A -Drogi'!R506</f>
        <v>0</v>
      </c>
      <c r="L186" s="4508">
        <f>'Tab. 6A -Drogi'!S506</f>
        <v>0</v>
      </c>
      <c r="M186" s="4508">
        <f>'Tab. 6A -Drogi'!T506</f>
        <v>0</v>
      </c>
      <c r="N186" s="4508"/>
      <c r="O186" s="4508"/>
      <c r="P186" s="4508"/>
      <c r="Q186" s="4464"/>
      <c r="R186" s="4523"/>
    </row>
    <row r="187" spans="1:28" ht="16.5" customHeight="1">
      <c r="A187" s="4524"/>
      <c r="B187" s="4585" t="s">
        <v>568</v>
      </c>
      <c r="C187" s="4527"/>
      <c r="D187" s="4528"/>
      <c r="E187" s="4529">
        <f>G187+F187+H187+I187+J187+K187+L187+M187+N187+O187+P187</f>
        <v>41768</v>
      </c>
      <c r="F187" s="4476">
        <f>'Tab. 6A -Drogi'!M507</f>
        <v>1954</v>
      </c>
      <c r="G187" s="4476"/>
      <c r="H187" s="4476">
        <f>'Tab. 6A -Drogi'!O507</f>
        <v>39814</v>
      </c>
      <c r="I187" s="4476">
        <f>'Tab. 6A -Drogi'!P507</f>
        <v>0</v>
      </c>
      <c r="J187" s="4476">
        <f>'Tab. 6A -Drogi'!Q507</f>
        <v>0</v>
      </c>
      <c r="K187" s="4476">
        <f>'Tab. 6A -Drogi'!R507</f>
        <v>0</v>
      </c>
      <c r="L187" s="4476">
        <f>'Tab. 6A -Drogi'!S507</f>
        <v>0</v>
      </c>
      <c r="M187" s="4476">
        <f>'Tab. 6A -Drogi'!T507</f>
        <v>0</v>
      </c>
      <c r="N187" s="4476"/>
      <c r="O187" s="4476"/>
      <c r="P187" s="4476"/>
      <c r="Q187" s="4464"/>
      <c r="R187" s="4523"/>
    </row>
    <row r="188" spans="1:28" ht="13.5" customHeight="1" thickBot="1">
      <c r="A188" s="4524"/>
      <c r="B188" s="4530" t="s">
        <v>270</v>
      </c>
      <c r="C188" s="4531"/>
      <c r="D188" s="4499"/>
      <c r="E188" s="4500">
        <f>G188+F188+H188+I188+J188+K188+L188+M188+N188+O188+P188</f>
        <v>93430</v>
      </c>
      <c r="F188" s="4532">
        <f>'Tab. 6A -Drogi'!M509</f>
        <v>4372</v>
      </c>
      <c r="G188" s="4532"/>
      <c r="H188" s="4532">
        <f>'Tab. 6A -Drogi'!O509</f>
        <v>89058</v>
      </c>
      <c r="I188" s="4532">
        <f>'Tab. 6A -Drogi'!P509</f>
        <v>0</v>
      </c>
      <c r="J188" s="4532">
        <f>'Tab. 6A -Drogi'!Q509</f>
        <v>0</v>
      </c>
      <c r="K188" s="4532">
        <f>'Tab. 6A -Drogi'!R509</f>
        <v>0</v>
      </c>
      <c r="L188" s="4532">
        <f>'Tab. 6A -Drogi'!S509</f>
        <v>0</v>
      </c>
      <c r="M188" s="4532">
        <f>'Tab. 6A -Drogi'!T509</f>
        <v>0</v>
      </c>
      <c r="N188" s="4532"/>
      <c r="O188" s="4532"/>
      <c r="P188" s="4532"/>
      <c r="Q188" s="4464"/>
      <c r="R188" s="4523"/>
    </row>
    <row r="189" spans="1:28" ht="13.5" customHeight="1" thickBot="1">
      <c r="A189" s="4533"/>
      <c r="B189" s="4534" t="s">
        <v>563</v>
      </c>
      <c r="C189" s="4535"/>
      <c r="D189" s="4536"/>
      <c r="E189" s="4537">
        <f>F189+H189+I189+J189+K189+L189+M189+N189+O189+P189</f>
        <v>93430</v>
      </c>
      <c r="F189" s="4538">
        <f>'Tab. 6A -Drogi'!M512</f>
        <v>3600</v>
      </c>
      <c r="G189" s="4538"/>
      <c r="H189" s="4538">
        <f>'Tab. 6A -Drogi'!O512</f>
        <v>84334</v>
      </c>
      <c r="I189" s="4538">
        <f>'Tab. 6A -Drogi'!P512</f>
        <v>5496</v>
      </c>
      <c r="J189" s="4538">
        <f>'Tab. 6A -Drogi'!Q512</f>
        <v>0</v>
      </c>
      <c r="K189" s="4538">
        <f>'Tab. 6A -Drogi'!R512</f>
        <v>0</v>
      </c>
      <c r="L189" s="4538">
        <f>'Tab. 6A -Drogi'!S512</f>
        <v>0</v>
      </c>
      <c r="M189" s="4538">
        <f>'Tab. 6A -Drogi'!T512</f>
        <v>0</v>
      </c>
      <c r="N189" s="4538"/>
      <c r="O189" s="4538"/>
      <c r="P189" s="4538"/>
      <c r="Q189" s="4482"/>
      <c r="R189" s="4523"/>
    </row>
    <row r="190" spans="1:28" s="4553" customFormat="1" ht="9.75" customHeight="1">
      <c r="A190" s="4543"/>
      <c r="B190" s="4544"/>
      <c r="C190" s="4545"/>
      <c r="D190" s="4546"/>
      <c r="E190" s="4547"/>
      <c r="F190" s="4548"/>
      <c r="G190" s="4548"/>
      <c r="H190" s="4549"/>
      <c r="I190" s="4549"/>
      <c r="J190" s="4549"/>
      <c r="K190" s="4548"/>
      <c r="L190" s="4548"/>
      <c r="M190" s="4548"/>
      <c r="N190" s="4549"/>
      <c r="O190" s="4549"/>
      <c r="P190" s="4548"/>
      <c r="Q190" s="4550"/>
      <c r="R190" s="4551"/>
      <c r="S190" s="4552"/>
      <c r="T190" s="4552"/>
      <c r="U190" s="4552"/>
      <c r="V190" s="4552"/>
      <c r="W190" s="4552"/>
      <c r="X190" s="4552"/>
      <c r="Y190" s="4552"/>
      <c r="Z190" s="4552"/>
      <c r="AA190" s="4552"/>
      <c r="AB190" s="4552"/>
    </row>
    <row r="191" spans="1:28" s="4553" customFormat="1" ht="36" customHeight="1">
      <c r="A191" s="4554"/>
      <c r="B191" s="4555" t="s">
        <v>670</v>
      </c>
      <c r="C191" s="4556"/>
      <c r="D191" s="4557"/>
      <c r="E191" s="4558"/>
      <c r="F191" s="4559"/>
      <c r="G191" s="4559"/>
      <c r="H191" s="4560"/>
      <c r="I191" s="4560"/>
      <c r="J191" s="4560"/>
      <c r="K191" s="4559"/>
      <c r="L191" s="4559"/>
      <c r="M191" s="4559"/>
      <c r="N191" s="4560"/>
      <c r="O191" s="4560"/>
      <c r="P191" s="4559"/>
      <c r="Q191" s="4561"/>
      <c r="R191" s="4551"/>
      <c r="S191" s="4552"/>
      <c r="T191" s="4552"/>
      <c r="U191" s="4552"/>
      <c r="V191" s="4552"/>
      <c r="W191" s="4552"/>
      <c r="X191" s="4552"/>
      <c r="Y191" s="4552"/>
      <c r="Z191" s="4552"/>
      <c r="AA191" s="4552"/>
      <c r="AB191" s="4552"/>
    </row>
    <row r="192" spans="1:28" s="4553" customFormat="1" ht="8.25" customHeight="1" thickBot="1">
      <c r="A192" s="4543"/>
      <c r="B192" s="4544"/>
      <c r="C192" s="4545"/>
      <c r="D192" s="4546"/>
      <c r="E192" s="4547"/>
      <c r="F192" s="4548"/>
      <c r="G192" s="4548"/>
      <c r="H192" s="4549"/>
      <c r="I192" s="4549"/>
      <c r="J192" s="4549"/>
      <c r="K192" s="4548"/>
      <c r="L192" s="4548"/>
      <c r="M192" s="4548"/>
      <c r="N192" s="4549"/>
      <c r="O192" s="4549"/>
      <c r="P192" s="4548"/>
      <c r="Q192" s="4550"/>
      <c r="R192" s="4551"/>
      <c r="S192" s="4552"/>
      <c r="T192" s="4552"/>
      <c r="U192" s="4552"/>
      <c r="V192" s="4552"/>
      <c r="W192" s="4552"/>
      <c r="X192" s="4552"/>
      <c r="Y192" s="4552"/>
      <c r="Z192" s="4552"/>
      <c r="AA192" s="4552"/>
      <c r="AB192" s="4552"/>
    </row>
    <row r="193" spans="1:28" ht="78" customHeight="1">
      <c r="A193" s="4516" t="s">
        <v>116</v>
      </c>
      <c r="B193" s="4517" t="str">
        <f>'Tab. 6D - Oświata'!B32</f>
        <v>Prowadzenie Punktu Informacji Europejskiej Europe Direct - Szczecin w ramach środków Komisji Europejskiej (2013-2017)</v>
      </c>
      <c r="C193" s="4539" t="s">
        <v>649</v>
      </c>
      <c r="D193" s="4519">
        <f>E196/E194%</f>
        <v>53.068861169574774</v>
      </c>
      <c r="E193" s="4520"/>
      <c r="F193" s="4521"/>
      <c r="G193" s="4520"/>
      <c r="H193" s="4522"/>
      <c r="I193" s="4522"/>
      <c r="J193" s="4522"/>
      <c r="K193" s="4521"/>
      <c r="L193" s="4521"/>
      <c r="M193" s="4521"/>
      <c r="N193" s="4522"/>
      <c r="O193" s="4522"/>
      <c r="P193" s="4521"/>
      <c r="Q193" s="4491" t="s">
        <v>576</v>
      </c>
      <c r="R193" s="4523"/>
    </row>
    <row r="194" spans="1:28" ht="13.5" customHeight="1">
      <c r="A194" s="4524"/>
      <c r="B194" s="4525" t="s">
        <v>268</v>
      </c>
      <c r="C194" s="4505"/>
      <c r="D194" s="4506"/>
      <c r="E194" s="4507">
        <f>G194+F194+H194+I194+J194+K194+L194+M194+N194+O194+P194</f>
        <v>744527</v>
      </c>
      <c r="F194" s="4508">
        <f>'Tab. 6D - Oświata'!M33</f>
        <v>286572</v>
      </c>
      <c r="G194" s="4508"/>
      <c r="H194" s="4508">
        <f>'Tab. 6D - Oświata'!O33</f>
        <v>151572</v>
      </c>
      <c r="I194" s="4508">
        <f>'Tab. 6D - Oświata'!P33</f>
        <v>160793</v>
      </c>
      <c r="J194" s="4508">
        <f>'Tab. 6D - Oświata'!Q33</f>
        <v>145590</v>
      </c>
      <c r="K194" s="4508">
        <f>'Tab. 6D - Oświata'!R33</f>
        <v>0</v>
      </c>
      <c r="L194" s="4508">
        <f>'Tab. 6D - Oświata'!S33</f>
        <v>0</v>
      </c>
      <c r="M194" s="4508">
        <f>'Tab. 6D - Oświata'!T33</f>
        <v>0</v>
      </c>
      <c r="N194" s="4508"/>
      <c r="O194" s="4508"/>
      <c r="P194" s="4508"/>
      <c r="Q194" s="4464"/>
      <c r="R194" s="4523"/>
    </row>
    <row r="195" spans="1:28" ht="13.5" customHeight="1">
      <c r="A195" s="4524"/>
      <c r="B195" s="4526" t="s">
        <v>568</v>
      </c>
      <c r="C195" s="4527"/>
      <c r="D195" s="4528"/>
      <c r="E195" s="4529">
        <f>G195+F195+H195+I195+J195+K195+L195+M195+N195+O195+P195</f>
        <v>349415</v>
      </c>
      <c r="F195" s="4476">
        <f>'Tab. 6D - Oświata'!M34</f>
        <v>135277</v>
      </c>
      <c r="G195" s="4476"/>
      <c r="H195" s="4476">
        <f>'Tab. 6D - Oświata'!O34</f>
        <v>70770</v>
      </c>
      <c r="I195" s="4476">
        <f>'Tab. 6D - Oświata'!P34</f>
        <v>73485</v>
      </c>
      <c r="J195" s="4476">
        <f>'Tab. 6D - Oświata'!Q34</f>
        <v>69883</v>
      </c>
      <c r="K195" s="4476">
        <f>'Tab. 6D - Oświata'!R34</f>
        <v>0</v>
      </c>
      <c r="L195" s="4476">
        <f>'Tab. 6D - Oświata'!S34</f>
        <v>0</v>
      </c>
      <c r="M195" s="4476">
        <f>'Tab. 6D - Oświata'!T34</f>
        <v>0</v>
      </c>
      <c r="N195" s="4476"/>
      <c r="O195" s="4476"/>
      <c r="P195" s="4476"/>
      <c r="Q195" s="4464"/>
      <c r="R195" s="4523"/>
    </row>
    <row r="196" spans="1:28" ht="13.5" customHeight="1" thickBot="1">
      <c r="A196" s="4524"/>
      <c r="B196" s="4530" t="s">
        <v>270</v>
      </c>
      <c r="C196" s="4531"/>
      <c r="D196" s="4499"/>
      <c r="E196" s="4500">
        <f>G196+F196+H196+I196+J196+K196+L196+M196+N196+O196+P196</f>
        <v>395112</v>
      </c>
      <c r="F196" s="4532">
        <f>'Tab. 6D - Oświata'!M37</f>
        <v>151295</v>
      </c>
      <c r="G196" s="4532"/>
      <c r="H196" s="4532">
        <f>'Tab. 6D - Oświata'!O37</f>
        <v>80802</v>
      </c>
      <c r="I196" s="4532">
        <f>'Tab. 6D - Oświata'!P37</f>
        <v>87308</v>
      </c>
      <c r="J196" s="4532">
        <f>'Tab. 6D - Oświata'!Q37</f>
        <v>75707</v>
      </c>
      <c r="K196" s="4532">
        <f>'Tab. 6D - Oświata'!R37</f>
        <v>0</v>
      </c>
      <c r="L196" s="4532">
        <f>'Tab. 6D - Oświata'!S37</f>
        <v>0</v>
      </c>
      <c r="M196" s="4532">
        <f>'Tab. 6D - Oświata'!T37</f>
        <v>0</v>
      </c>
      <c r="N196" s="4532"/>
      <c r="O196" s="4532"/>
      <c r="P196" s="4532"/>
      <c r="Q196" s="4464"/>
      <c r="R196" s="4523"/>
    </row>
    <row r="197" spans="1:28" ht="15.75" customHeight="1" thickBot="1">
      <c r="A197" s="4533"/>
      <c r="B197" s="4534" t="s">
        <v>563</v>
      </c>
      <c r="C197" s="4535"/>
      <c r="D197" s="4536"/>
      <c r="E197" s="4537">
        <f>F197+H197+I197+J197+K197+L197+M197+N197+O197+P197</f>
        <v>395112</v>
      </c>
      <c r="F197" s="4538">
        <f>'Tab. 6D - Oświata'!M42</f>
        <v>128928</v>
      </c>
      <c r="G197" s="4538"/>
      <c r="H197" s="4538">
        <f>'Tab. 6D - Oświata'!O42</f>
        <v>78483</v>
      </c>
      <c r="I197" s="4538">
        <f>'Tab. 6D - Oświata'!P42</f>
        <v>85319</v>
      </c>
      <c r="J197" s="4538">
        <f>'Tab. 6D - Oświata'!Q42</f>
        <v>79186</v>
      </c>
      <c r="K197" s="4538">
        <f>'Tab. 6D - Oświata'!R42</f>
        <v>23196</v>
      </c>
      <c r="L197" s="4538">
        <f>'Tab. 6D - Oświata'!S42</f>
        <v>0</v>
      </c>
      <c r="M197" s="4538">
        <f>'Tab. 6D - Oświata'!T42</f>
        <v>0</v>
      </c>
      <c r="N197" s="4538"/>
      <c r="O197" s="4538"/>
      <c r="P197" s="4538"/>
      <c r="Q197" s="4482"/>
      <c r="R197" s="4523"/>
    </row>
    <row r="198" spans="1:28" s="4553" customFormat="1" ht="8.25" customHeight="1">
      <c r="A198" s="4543"/>
      <c r="B198" s="4544"/>
      <c r="C198" s="4545"/>
      <c r="D198" s="4546"/>
      <c r="E198" s="4547"/>
      <c r="F198" s="4548"/>
      <c r="G198" s="4548"/>
      <c r="H198" s="4549"/>
      <c r="I198" s="4549"/>
      <c r="J198" s="4549"/>
      <c r="K198" s="4548"/>
      <c r="L198" s="4548"/>
      <c r="M198" s="4548"/>
      <c r="N198" s="4549"/>
      <c r="O198" s="4549"/>
      <c r="P198" s="4548"/>
      <c r="Q198" s="4550"/>
      <c r="R198" s="4551"/>
      <c r="S198" s="4552"/>
      <c r="T198" s="4552"/>
      <c r="U198" s="4552"/>
      <c r="V198" s="4552"/>
      <c r="W198" s="4552"/>
      <c r="X198" s="4552"/>
      <c r="Y198" s="4552"/>
      <c r="Z198" s="4552"/>
      <c r="AA198" s="4552"/>
      <c r="AB198" s="4552"/>
    </row>
    <row r="199" spans="1:28" s="4553" customFormat="1" ht="20.25" customHeight="1" thickBot="1">
      <c r="A199" s="4554"/>
      <c r="B199" s="4562" t="s">
        <v>665</v>
      </c>
      <c r="C199" s="4556"/>
      <c r="D199" s="4557"/>
      <c r="E199" s="4558"/>
      <c r="F199" s="4559"/>
      <c r="G199" s="4559"/>
      <c r="H199" s="4560"/>
      <c r="I199" s="4560"/>
      <c r="J199" s="4560"/>
      <c r="K199" s="4559"/>
      <c r="L199" s="4559"/>
      <c r="M199" s="4559"/>
      <c r="N199" s="4560"/>
      <c r="O199" s="4560"/>
      <c r="P199" s="4559"/>
      <c r="Q199" s="4561"/>
      <c r="R199" s="4551"/>
      <c r="S199" s="4552"/>
      <c r="T199" s="4552"/>
      <c r="U199" s="4552"/>
      <c r="V199" s="4552"/>
      <c r="W199" s="4552"/>
      <c r="X199" s="4552"/>
      <c r="Y199" s="4552"/>
      <c r="Z199" s="4552"/>
      <c r="AA199" s="4552"/>
      <c r="AB199" s="4552"/>
    </row>
    <row r="200" spans="1:28" ht="36">
      <c r="A200" s="4516" t="s">
        <v>119</v>
      </c>
      <c r="B200" s="4563" t="s">
        <v>662</v>
      </c>
      <c r="C200" s="4518" t="s">
        <v>653</v>
      </c>
      <c r="D200" s="4519">
        <f>E203/E201%</f>
        <v>75</v>
      </c>
      <c r="E200" s="4520"/>
      <c r="F200" s="4521"/>
      <c r="G200" s="4520"/>
      <c r="H200" s="4522"/>
      <c r="I200" s="4522"/>
      <c r="J200" s="4522"/>
      <c r="K200" s="4521"/>
      <c r="L200" s="4521"/>
      <c r="M200" s="4521"/>
      <c r="N200" s="4522"/>
      <c r="O200" s="4522"/>
      <c r="P200" s="4521"/>
      <c r="Q200" s="4491" t="s">
        <v>532</v>
      </c>
      <c r="R200" s="4523"/>
    </row>
    <row r="201" spans="1:28" ht="13.5" customHeight="1">
      <c r="A201" s="4524"/>
      <c r="B201" s="4525" t="s">
        <v>268</v>
      </c>
      <c r="C201" s="4505"/>
      <c r="D201" s="4506"/>
      <c r="E201" s="4507">
        <f>G201+F201+H201+I201+J201+K201+L201+M201+N201+O201+P201</f>
        <v>1676000</v>
      </c>
      <c r="F201" s="4508"/>
      <c r="G201" s="4508"/>
      <c r="H201" s="4508"/>
      <c r="I201" s="4508">
        <v>1676000</v>
      </c>
      <c r="J201" s="4508"/>
      <c r="K201" s="4508"/>
      <c r="L201" s="4508"/>
      <c r="M201" s="4508"/>
      <c r="N201" s="4508"/>
      <c r="O201" s="4508"/>
      <c r="P201" s="4508"/>
      <c r="Q201" s="4464"/>
      <c r="R201" s="4523"/>
    </row>
    <row r="202" spans="1:28" ht="29.25" customHeight="1">
      <c r="A202" s="4524"/>
      <c r="B202" s="4526" t="s">
        <v>677</v>
      </c>
      <c r="C202" s="4527"/>
      <c r="D202" s="4528"/>
      <c r="E202" s="4529">
        <f>G202+F202+H202+I202+J202+K202+L202+M202+N202+O202+P202</f>
        <v>419000</v>
      </c>
      <c r="F202" s="4476"/>
      <c r="G202" s="4476"/>
      <c r="H202" s="4476"/>
      <c r="I202" s="4476">
        <v>419000</v>
      </c>
      <c r="J202" s="4476"/>
      <c r="K202" s="4476"/>
      <c r="L202" s="4476"/>
      <c r="M202" s="4476"/>
      <c r="N202" s="4476"/>
      <c r="O202" s="4476"/>
      <c r="P202" s="4476"/>
      <c r="Q202" s="4464"/>
      <c r="R202" s="4523"/>
    </row>
    <row r="203" spans="1:28" ht="13.5" customHeight="1" thickBot="1">
      <c r="A203" s="4524"/>
      <c r="B203" s="4530" t="s">
        <v>270</v>
      </c>
      <c r="C203" s="4531"/>
      <c r="D203" s="4499"/>
      <c r="E203" s="4500">
        <f>G203+F203+H203+I203+J203+K203+L203+M203+N203+O203+P203</f>
        <v>1257000</v>
      </c>
      <c r="F203" s="4532"/>
      <c r="G203" s="4532"/>
      <c r="H203" s="4532"/>
      <c r="I203" s="4532">
        <v>1257000</v>
      </c>
      <c r="J203" s="4532"/>
      <c r="K203" s="4532"/>
      <c r="L203" s="4532"/>
      <c r="M203" s="4532"/>
      <c r="N203" s="4532"/>
      <c r="O203" s="4532"/>
      <c r="P203" s="4532"/>
      <c r="Q203" s="4464"/>
      <c r="R203" s="4523"/>
    </row>
    <row r="204" spans="1:28" ht="13.5" customHeight="1" thickBot="1">
      <c r="A204" s="4533"/>
      <c r="B204" s="4534" t="s">
        <v>563</v>
      </c>
      <c r="C204" s="4535"/>
      <c r="D204" s="4536"/>
      <c r="E204" s="4537">
        <f>F204+H204+I204+J204+K204+L204+M204+N204+O204+P204</f>
        <v>1676000</v>
      </c>
      <c r="F204" s="4538"/>
      <c r="G204" s="4538"/>
      <c r="H204" s="4538"/>
      <c r="I204" s="4538">
        <v>1676000</v>
      </c>
      <c r="J204" s="4538"/>
      <c r="K204" s="4538"/>
      <c r="L204" s="4538"/>
      <c r="M204" s="4538"/>
      <c r="N204" s="4538"/>
      <c r="O204" s="4538"/>
      <c r="P204" s="4538"/>
      <c r="Q204" s="4482"/>
      <c r="R204" s="4523"/>
    </row>
    <row r="205" spans="1:28" s="4553" customFormat="1" ht="7.5" customHeight="1" thickBot="1">
      <c r="A205" s="4543"/>
      <c r="B205" s="4544"/>
      <c r="C205" s="4545"/>
      <c r="D205" s="4546"/>
      <c r="E205" s="4547"/>
      <c r="F205" s="4548"/>
      <c r="G205" s="4548"/>
      <c r="H205" s="4549"/>
      <c r="I205" s="4549"/>
      <c r="J205" s="4549"/>
      <c r="K205" s="4548"/>
      <c r="L205" s="4548"/>
      <c r="M205" s="4548"/>
      <c r="N205" s="4549"/>
      <c r="O205" s="4549"/>
      <c r="P205" s="4548"/>
      <c r="Q205" s="4550"/>
      <c r="R205" s="4551"/>
      <c r="S205" s="4552"/>
      <c r="T205" s="4552"/>
      <c r="U205" s="4552"/>
      <c r="V205" s="4552"/>
      <c r="W205" s="4552"/>
      <c r="X205" s="4552"/>
      <c r="Y205" s="4552"/>
      <c r="Z205" s="4552"/>
      <c r="AA205" s="4552"/>
      <c r="AB205" s="4552"/>
    </row>
    <row r="206" spans="1:28" ht="44.25" customHeight="1">
      <c r="A206" s="4516" t="s">
        <v>442</v>
      </c>
      <c r="B206" s="4563" t="s">
        <v>663</v>
      </c>
      <c r="C206" s="4518" t="s">
        <v>658</v>
      </c>
      <c r="D206" s="4519">
        <f>E209/E207%</f>
        <v>85</v>
      </c>
      <c r="E206" s="4520"/>
      <c r="F206" s="4521"/>
      <c r="G206" s="4520"/>
      <c r="H206" s="4522"/>
      <c r="I206" s="4522"/>
      <c r="J206" s="4522"/>
      <c r="K206" s="4521"/>
      <c r="L206" s="4521"/>
      <c r="M206" s="4521"/>
      <c r="N206" s="4522"/>
      <c r="O206" s="4522"/>
      <c r="P206" s="4521"/>
      <c r="Q206" s="4491" t="s">
        <v>316</v>
      </c>
      <c r="R206" s="4523"/>
    </row>
    <row r="207" spans="1:28" ht="13.5" customHeight="1" thickBot="1">
      <c r="A207" s="4524"/>
      <c r="B207" s="4525" t="s">
        <v>268</v>
      </c>
      <c r="C207" s="4505"/>
      <c r="D207" s="4506"/>
      <c r="E207" s="4507">
        <f>G207+F207+H207+I207+J207+K207+L207+M207+N207+O207+P207</f>
        <v>45000</v>
      </c>
      <c r="F207" s="4508"/>
      <c r="G207" s="4508"/>
      <c r="H207" s="4508"/>
      <c r="I207" s="4508">
        <f>13059+31941</f>
        <v>45000</v>
      </c>
      <c r="J207" s="4508"/>
      <c r="K207" s="4508"/>
      <c r="L207" s="4508"/>
      <c r="M207" s="4508"/>
      <c r="N207" s="4508"/>
      <c r="O207" s="4508"/>
      <c r="P207" s="4508"/>
      <c r="Q207" s="4464"/>
      <c r="R207" s="4523"/>
    </row>
    <row r="208" spans="1:28" ht="27.75" customHeight="1">
      <c r="A208" s="4524"/>
      <c r="B208" s="4526" t="s">
        <v>677</v>
      </c>
      <c r="C208" s="4518"/>
      <c r="D208" s="4528"/>
      <c r="E208" s="4529">
        <f>G208+F208+H208+I208+J208+K208+L208+M208+N208+O208+P208</f>
        <v>6750</v>
      </c>
      <c r="F208" s="4476"/>
      <c r="G208" s="4476"/>
      <c r="H208" s="4476"/>
      <c r="I208" s="4476">
        <f>1959+4791</f>
        <v>6750</v>
      </c>
      <c r="J208" s="4476"/>
      <c r="K208" s="4476"/>
      <c r="L208" s="4476"/>
      <c r="M208" s="4476"/>
      <c r="N208" s="4476"/>
      <c r="O208" s="4476"/>
      <c r="P208" s="4476"/>
      <c r="Q208" s="4464"/>
      <c r="R208" s="4523"/>
    </row>
    <row r="209" spans="1:18" ht="13.5" customHeight="1" thickBot="1">
      <c r="A209" s="4524"/>
      <c r="B209" s="4530" t="s">
        <v>270</v>
      </c>
      <c r="C209" s="4531"/>
      <c r="D209" s="4499"/>
      <c r="E209" s="4500">
        <f>G209+F209+H209+I209+J209+K209+L209+M209+N209+O209+P209</f>
        <v>38250</v>
      </c>
      <c r="F209" s="4532"/>
      <c r="G209" s="4532"/>
      <c r="H209" s="4532"/>
      <c r="I209" s="4532">
        <f>11100+27150</f>
        <v>38250</v>
      </c>
      <c r="J209" s="4532"/>
      <c r="K209" s="4532"/>
      <c r="L209" s="4532"/>
      <c r="M209" s="4532"/>
      <c r="N209" s="4532"/>
      <c r="O209" s="4532"/>
      <c r="P209" s="4532"/>
      <c r="Q209" s="4464"/>
      <c r="R209" s="4523"/>
    </row>
    <row r="210" spans="1:18" ht="13.5" customHeight="1" thickBot="1">
      <c r="A210" s="4533"/>
      <c r="B210" s="4534" t="s">
        <v>563</v>
      </c>
      <c r="C210" s="4535"/>
      <c r="D210" s="4536"/>
      <c r="E210" s="4537">
        <f>F210+H210+I210+J210+K210+L210+M210+N210+O210+P210</f>
        <v>38250</v>
      </c>
      <c r="F210" s="4538"/>
      <c r="G210" s="4538"/>
      <c r="H210" s="4538"/>
      <c r="I210" s="4538">
        <v>38250</v>
      </c>
      <c r="J210" s="4538"/>
      <c r="K210" s="4538"/>
      <c r="L210" s="4538"/>
      <c r="M210" s="4538"/>
      <c r="N210" s="4538"/>
      <c r="O210" s="4538"/>
      <c r="P210" s="4538"/>
      <c r="Q210" s="4482"/>
      <c r="R210" s="4523"/>
    </row>
    <row r="211" spans="1:18" ht="13.5" customHeight="1" thickBot="1">
      <c r="A211" s="4576"/>
      <c r="B211" s="4577"/>
      <c r="C211" s="4578"/>
      <c r="D211" s="4579"/>
      <c r="E211" s="4580"/>
      <c r="F211" s="4581"/>
      <c r="G211" s="4581"/>
      <c r="H211" s="4581"/>
      <c r="I211" s="4581"/>
      <c r="J211" s="4581"/>
      <c r="K211" s="4581"/>
      <c r="L211" s="4581"/>
      <c r="M211" s="4581"/>
      <c r="N211" s="4581"/>
      <c r="O211" s="4581"/>
      <c r="P211" s="4581"/>
      <c r="Q211" s="4523"/>
      <c r="R211" s="4523"/>
    </row>
    <row r="212" spans="1:18" s="4317" customFormat="1" ht="48" customHeight="1">
      <c r="A212" s="4443" t="s">
        <v>589</v>
      </c>
      <c r="B212" s="4443" t="s">
        <v>601</v>
      </c>
      <c r="C212" s="4444"/>
      <c r="D212" s="4445"/>
      <c r="E212" s="4446">
        <f>E214+E326</f>
        <v>642694591</v>
      </c>
      <c r="F212" s="4446">
        <f>F214+F326</f>
        <v>9456476</v>
      </c>
      <c r="G212" s="4446"/>
      <c r="H212" s="4446">
        <f t="shared" ref="H212:N212" si="3">H214+H326</f>
        <v>978054</v>
      </c>
      <c r="I212" s="4446">
        <f t="shared" si="3"/>
        <v>70843939</v>
      </c>
      <c r="J212" s="4446">
        <f t="shared" si="3"/>
        <v>349697503</v>
      </c>
      <c r="K212" s="4446">
        <f t="shared" si="3"/>
        <v>204018759</v>
      </c>
      <c r="L212" s="4446">
        <f t="shared" si="3"/>
        <v>7699860</v>
      </c>
      <c r="M212" s="4446">
        <f t="shared" si="3"/>
        <v>0</v>
      </c>
      <c r="N212" s="4446">
        <f t="shared" si="3"/>
        <v>0</v>
      </c>
      <c r="O212" s="4446"/>
      <c r="P212" s="4446"/>
      <c r="Q212" s="4586"/>
      <c r="R212" s="4586"/>
    </row>
    <row r="213" spans="1:18" ht="13.5" thickBot="1">
      <c r="A213" s="4587"/>
      <c r="B213" s="4588" t="s">
        <v>188</v>
      </c>
      <c r="C213" s="4589"/>
      <c r="D213" s="4590"/>
      <c r="E213" s="4591"/>
      <c r="F213" s="4501"/>
      <c r="G213" s="4501"/>
      <c r="H213" s="4501"/>
      <c r="I213" s="4501"/>
      <c r="J213" s="4501"/>
      <c r="K213" s="4501"/>
      <c r="L213" s="4501"/>
      <c r="M213" s="4501"/>
      <c r="N213" s="4501"/>
      <c r="O213" s="4501"/>
      <c r="P213" s="4592"/>
      <c r="Q213" s="4523"/>
      <c r="R213" s="4523"/>
    </row>
    <row r="214" spans="1:18" ht="15.75" thickBot="1">
      <c r="A214" s="4593" t="s">
        <v>590</v>
      </c>
      <c r="B214" s="4594" t="s">
        <v>566</v>
      </c>
      <c r="C214" s="4595"/>
      <c r="D214" s="4596"/>
      <c r="E214" s="4597">
        <f t="shared" ref="E214:P214" si="4">E216+E221+E226+E231+E236+E241+E246+E251+E256+E261+E266+E271+E276+E281+E286+E291+E296+E301+E306+E311+E316+E321</f>
        <v>642694591</v>
      </c>
      <c r="F214" s="4597">
        <f t="shared" si="4"/>
        <v>9456476</v>
      </c>
      <c r="G214" s="4597">
        <f t="shared" si="4"/>
        <v>0</v>
      </c>
      <c r="H214" s="4597">
        <f t="shared" si="4"/>
        <v>978054</v>
      </c>
      <c r="I214" s="4597">
        <f t="shared" si="4"/>
        <v>70843939</v>
      </c>
      <c r="J214" s="4597">
        <f t="shared" si="4"/>
        <v>349697503</v>
      </c>
      <c r="K214" s="4597">
        <f t="shared" si="4"/>
        <v>204018759</v>
      </c>
      <c r="L214" s="4597">
        <f t="shared" si="4"/>
        <v>7699860</v>
      </c>
      <c r="M214" s="4597">
        <f t="shared" si="4"/>
        <v>0</v>
      </c>
      <c r="N214" s="4597">
        <f t="shared" si="4"/>
        <v>0</v>
      </c>
      <c r="O214" s="4597">
        <f t="shared" si="4"/>
        <v>0</v>
      </c>
      <c r="P214" s="4597">
        <f t="shared" si="4"/>
        <v>0</v>
      </c>
      <c r="Q214" s="4583"/>
      <c r="R214" s="4523"/>
    </row>
    <row r="215" spans="1:18" ht="42" customHeight="1">
      <c r="A215" s="4516" t="s">
        <v>79</v>
      </c>
      <c r="B215" s="4541" t="str">
        <f>'Tab. 6A -Drogi'!B223</f>
        <v>Przebudowa drogi wojewódzkiej nr 205 na odcinku Sławno - Polanów, etap przebudowy i rozbudowy przejścia przez m. Sławno w ramach Osi V RPO (2011-2016)</v>
      </c>
      <c r="C215" s="4539" t="s">
        <v>564</v>
      </c>
      <c r="D215" s="4519">
        <f>E218/E216%</f>
        <v>93.623155425408484</v>
      </c>
      <c r="E215" s="4520"/>
      <c r="F215" s="4521"/>
      <c r="G215" s="4520"/>
      <c r="H215" s="4522"/>
      <c r="I215" s="4522"/>
      <c r="J215" s="4522"/>
      <c r="K215" s="4521"/>
      <c r="L215" s="4521"/>
      <c r="M215" s="4521"/>
      <c r="N215" s="4521"/>
      <c r="O215" s="4521"/>
      <c r="P215" s="4521"/>
      <c r="Q215" s="4491" t="s">
        <v>565</v>
      </c>
      <c r="R215" s="4503"/>
    </row>
    <row r="216" spans="1:18" ht="17.25" customHeight="1">
      <c r="A216" s="4524"/>
      <c r="B216" s="4525" t="s">
        <v>268</v>
      </c>
      <c r="C216" s="4505"/>
      <c r="D216" s="4506"/>
      <c r="E216" s="4507">
        <f>G216+F216+H216+I216+J216+K216+L216+M216</f>
        <v>11820815</v>
      </c>
      <c r="F216" s="4508">
        <f>'Tab. 6A -Drogi'!M224</f>
        <v>450059</v>
      </c>
      <c r="G216" s="4508"/>
      <c r="H216" s="4508">
        <f>'Tab. 6A -Drogi'!O224</f>
        <v>790929</v>
      </c>
      <c r="I216" s="4508">
        <f>'Tab. 6A -Drogi'!P224</f>
        <v>10579827</v>
      </c>
      <c r="J216" s="4508">
        <f>'Tab. 6A -Drogi'!Q224</f>
        <v>0</v>
      </c>
      <c r="K216" s="4508">
        <f>'Tab. 6A -Drogi'!R224</f>
        <v>0</v>
      </c>
      <c r="L216" s="4508">
        <f>'Tab. 6A -Drogi'!S224</f>
        <v>0</v>
      </c>
      <c r="M216" s="4508"/>
      <c r="N216" s="4508"/>
      <c r="O216" s="4508"/>
      <c r="P216" s="4508"/>
      <c r="Q216" s="4464"/>
      <c r="R216" s="4509"/>
    </row>
    <row r="217" spans="1:18" ht="13.5" customHeight="1">
      <c r="A217" s="4524"/>
      <c r="B217" s="4526" t="s">
        <v>269</v>
      </c>
      <c r="C217" s="4527"/>
      <c r="D217" s="4528"/>
      <c r="E217" s="4529">
        <f>G217+F217+H217+I217+J217+K217</f>
        <v>753795</v>
      </c>
      <c r="F217" s="4476">
        <f>'Tab. 6A -Drogi'!M225</f>
        <v>95810</v>
      </c>
      <c r="G217" s="4476"/>
      <c r="H217" s="4476">
        <f>'Tab. 6A -Drogi'!O225</f>
        <v>13637</v>
      </c>
      <c r="I217" s="4476">
        <f>'Tab. 6A -Drogi'!P225</f>
        <v>644348</v>
      </c>
      <c r="J217" s="4476">
        <f>'Tab. 6A -Drogi'!Q225</f>
        <v>0</v>
      </c>
      <c r="K217" s="4476">
        <f>'Tab. 6A -Drogi'!R225</f>
        <v>0</v>
      </c>
      <c r="L217" s="4476">
        <f>'Tab. 6A -Drogi'!S225</f>
        <v>0</v>
      </c>
      <c r="M217" s="4476"/>
      <c r="N217" s="4476"/>
      <c r="O217" s="4476"/>
      <c r="P217" s="4476"/>
      <c r="Q217" s="4464"/>
      <c r="R217" s="4509"/>
    </row>
    <row r="218" spans="1:18" ht="13.5" customHeight="1" thickBot="1">
      <c r="A218" s="4524"/>
      <c r="B218" s="4530" t="s">
        <v>270</v>
      </c>
      <c r="C218" s="4531"/>
      <c r="D218" s="4499"/>
      <c r="E218" s="4500">
        <f>G218+F218+H218+I218+J218+K218</f>
        <v>11067020</v>
      </c>
      <c r="F218" s="4532">
        <f>'Tab. 6A -Drogi'!M230</f>
        <v>354249</v>
      </c>
      <c r="G218" s="4532"/>
      <c r="H218" s="4532">
        <f>'Tab. 6A -Drogi'!O230</f>
        <v>777292</v>
      </c>
      <c r="I218" s="4532">
        <f>'Tab. 6A -Drogi'!P230</f>
        <v>9935479</v>
      </c>
      <c r="J218" s="4532">
        <f>'Tab. 6A -Drogi'!Q230</f>
        <v>0</v>
      </c>
      <c r="K218" s="4532">
        <f>'Tab. 6A -Drogi'!R230</f>
        <v>0</v>
      </c>
      <c r="L218" s="4532">
        <f>'Tab. 6A -Drogi'!S230</f>
        <v>0</v>
      </c>
      <c r="M218" s="4532"/>
      <c r="N218" s="4532"/>
      <c r="O218" s="4532"/>
      <c r="P218" s="4532"/>
      <c r="Q218" s="4464"/>
      <c r="R218" s="4513"/>
    </row>
    <row r="219" spans="1:18" ht="13.5" customHeight="1" thickBot="1">
      <c r="A219" s="4533"/>
      <c r="B219" s="4534" t="s">
        <v>563</v>
      </c>
      <c r="C219" s="4535"/>
      <c r="D219" s="4536"/>
      <c r="E219" s="4537">
        <f>F219+H219+I219+J219+K219+L219+M219</f>
        <v>11067020</v>
      </c>
      <c r="F219" s="4538"/>
      <c r="G219" s="4538"/>
      <c r="H219" s="4538"/>
      <c r="I219" s="4538">
        <f>'Tab. 6A -Drogi'!P231</f>
        <v>10417020</v>
      </c>
      <c r="J219" s="4538">
        <f>'Tab. 6A -Drogi'!Q231</f>
        <v>650000</v>
      </c>
      <c r="K219" s="4538">
        <f>'Tab. 6A -Drogi'!R231</f>
        <v>0</v>
      </c>
      <c r="L219" s="4538">
        <f>'Tab. 6A -Drogi'!S231</f>
        <v>0</v>
      </c>
      <c r="M219" s="4538"/>
      <c r="N219" s="4538"/>
      <c r="O219" s="4538"/>
      <c r="P219" s="4538"/>
      <c r="Q219" s="4482"/>
      <c r="R219" s="4523"/>
    </row>
    <row r="220" spans="1:18" ht="30" customHeight="1">
      <c r="A220" s="4516" t="s">
        <v>80</v>
      </c>
      <c r="B220" s="4541" t="str">
        <f>'Tab. 6A -Drogi'!B238</f>
        <v>Budowa obejścia m. Dobra w ciągu drogi nr 144 w ramach Osi V RPO (2011-2016)</v>
      </c>
      <c r="C220" s="4539" t="s">
        <v>564</v>
      </c>
      <c r="D220" s="4519">
        <f>E223/E221%</f>
        <v>85.25324975758862</v>
      </c>
      <c r="E220" s="4520"/>
      <c r="F220" s="4521"/>
      <c r="G220" s="4520"/>
      <c r="H220" s="4522"/>
      <c r="I220" s="4522"/>
      <c r="J220" s="4522"/>
      <c r="K220" s="4521"/>
      <c r="L220" s="4521"/>
      <c r="M220" s="4521"/>
      <c r="N220" s="4521"/>
      <c r="O220" s="4521"/>
      <c r="P220" s="4521"/>
      <c r="Q220" s="4491" t="s">
        <v>565</v>
      </c>
      <c r="R220" s="4523"/>
    </row>
    <row r="221" spans="1:18" ht="13.5" customHeight="1">
      <c r="A221" s="4524"/>
      <c r="B221" s="4525" t="s">
        <v>268</v>
      </c>
      <c r="C221" s="4505"/>
      <c r="D221" s="4506"/>
      <c r="E221" s="4507">
        <f>G221+F221+H221+I221+J221+K221+L221+M221</f>
        <v>10517246</v>
      </c>
      <c r="F221" s="4508">
        <f>'Tab. 6A -Drogi'!M239</f>
        <v>2220489</v>
      </c>
      <c r="G221" s="4508"/>
      <c r="H221" s="4508"/>
      <c r="I221" s="4508">
        <f>'Tab. 6A -Drogi'!P239</f>
        <v>8296757</v>
      </c>
      <c r="J221" s="4508">
        <f>'Tab. 6A -Drogi'!Q239</f>
        <v>0</v>
      </c>
      <c r="K221" s="4508">
        <f>'Tab. 6A -Drogi'!R239</f>
        <v>0</v>
      </c>
      <c r="L221" s="4508">
        <f>'Tab. 6A -Drogi'!S239</f>
        <v>0</v>
      </c>
      <c r="M221" s="4508"/>
      <c r="N221" s="4508"/>
      <c r="O221" s="4508"/>
      <c r="P221" s="4508"/>
      <c r="Q221" s="4464"/>
      <c r="R221" s="4523"/>
    </row>
    <row r="222" spans="1:18" ht="13.5" customHeight="1">
      <c r="A222" s="4524"/>
      <c r="B222" s="4526" t="s">
        <v>269</v>
      </c>
      <c r="C222" s="4527"/>
      <c r="D222" s="4528"/>
      <c r="E222" s="4529">
        <f>G222+F222+H222+I222+J222+K222</f>
        <v>1550952</v>
      </c>
      <c r="F222" s="4476">
        <f>'Tab. 6A -Drogi'!M240</f>
        <v>1323680</v>
      </c>
      <c r="G222" s="4476"/>
      <c r="H222" s="4476"/>
      <c r="I222" s="4476">
        <f>'Tab. 6A -Drogi'!P240</f>
        <v>227272</v>
      </c>
      <c r="J222" s="4476">
        <f>'Tab. 6A -Drogi'!Q240</f>
        <v>0</v>
      </c>
      <c r="K222" s="4476">
        <f>'Tab. 6A -Drogi'!R240</f>
        <v>0</v>
      </c>
      <c r="L222" s="4476">
        <f>'Tab. 6A -Drogi'!S240</f>
        <v>0</v>
      </c>
      <c r="M222" s="4476"/>
      <c r="N222" s="4476"/>
      <c r="O222" s="4476"/>
      <c r="P222" s="4476"/>
      <c r="Q222" s="4464"/>
      <c r="R222" s="4523"/>
    </row>
    <row r="223" spans="1:18" ht="13.5" customHeight="1" thickBot="1">
      <c r="A223" s="4524"/>
      <c r="B223" s="4530" t="s">
        <v>270</v>
      </c>
      <c r="C223" s="4531"/>
      <c r="D223" s="4499"/>
      <c r="E223" s="4500">
        <f>G223+F223+H223+I223+J223+K223</f>
        <v>8966294</v>
      </c>
      <c r="F223" s="4532">
        <f>'Tab. 6A -Drogi'!M243</f>
        <v>896809</v>
      </c>
      <c r="G223" s="4532"/>
      <c r="H223" s="4532">
        <f>'Tab. 6A -Drogi'!O235</f>
        <v>0</v>
      </c>
      <c r="I223" s="4532">
        <f>'Tab. 6A -Drogi'!P243</f>
        <v>8069485</v>
      </c>
      <c r="J223" s="4532">
        <f>'Tab. 6A -Drogi'!Q243</f>
        <v>0</v>
      </c>
      <c r="K223" s="4532">
        <f>'Tab. 6A -Drogi'!R243</f>
        <v>0</v>
      </c>
      <c r="L223" s="4532">
        <f>'Tab. 6A -Drogi'!S243</f>
        <v>0</v>
      </c>
      <c r="M223" s="4532"/>
      <c r="N223" s="4532"/>
      <c r="O223" s="4532"/>
      <c r="P223" s="4532"/>
      <c r="Q223" s="4464"/>
      <c r="R223" s="4523"/>
    </row>
    <row r="224" spans="1:18" ht="15" customHeight="1" thickBot="1">
      <c r="A224" s="4533"/>
      <c r="B224" s="4534" t="s">
        <v>563</v>
      </c>
      <c r="C224" s="4535"/>
      <c r="D224" s="4536"/>
      <c r="E224" s="4537">
        <f>F224+H224+I224+J224+K224+L224+M224</f>
        <v>8966294</v>
      </c>
      <c r="F224" s="4538"/>
      <c r="G224" s="4538"/>
      <c r="H224" s="4538"/>
      <c r="I224" s="4538">
        <f>'Tab. 6A -Drogi'!P245</f>
        <v>8216294</v>
      </c>
      <c r="J224" s="4538">
        <f>'Tab. 6A -Drogi'!Q245</f>
        <v>750000</v>
      </c>
      <c r="K224" s="4538">
        <f>'Tab. 6A -Drogi'!R245</f>
        <v>0</v>
      </c>
      <c r="L224" s="4538"/>
      <c r="M224" s="4538"/>
      <c r="N224" s="4538"/>
      <c r="O224" s="4538"/>
      <c r="P224" s="4538"/>
      <c r="Q224" s="4482"/>
      <c r="R224" s="4523"/>
    </row>
    <row r="225" spans="1:18" ht="25.5" customHeight="1">
      <c r="A225" s="4516" t="s">
        <v>81</v>
      </c>
      <c r="B225" s="4541" t="str">
        <f>'Tab. 6A -Drogi'!B247</f>
        <v>Przebudowa drogi wojewódzkiej nr 203 na odcinku Dąbki - Darłowo w ramach Osi V RPO (2007-2017)</v>
      </c>
      <c r="C225" s="4539" t="s">
        <v>564</v>
      </c>
      <c r="D225" s="4519">
        <f>E228/E226%</f>
        <v>89.586495689616342</v>
      </c>
      <c r="E225" s="4520"/>
      <c r="F225" s="4521"/>
      <c r="G225" s="4520"/>
      <c r="H225" s="4522"/>
      <c r="I225" s="4522"/>
      <c r="J225" s="4522"/>
      <c r="K225" s="4521"/>
      <c r="L225" s="4521"/>
      <c r="M225" s="4521"/>
      <c r="N225" s="4521"/>
      <c r="O225" s="4521"/>
      <c r="P225" s="4521"/>
      <c r="Q225" s="4491" t="s">
        <v>565</v>
      </c>
      <c r="R225" s="4523"/>
    </row>
    <row r="226" spans="1:18" ht="13.5" customHeight="1">
      <c r="A226" s="4524"/>
      <c r="B226" s="4525" t="s">
        <v>268</v>
      </c>
      <c r="C226" s="4505"/>
      <c r="D226" s="4506"/>
      <c r="E226" s="4507">
        <f>G226+F226+H226+I226+J226+K226+L226+M226</f>
        <v>41966334</v>
      </c>
      <c r="F226" s="4508">
        <f>'Tab. 6A -Drogi'!M248</f>
        <v>5830974</v>
      </c>
      <c r="G226" s="4508"/>
      <c r="H226" s="4508">
        <f>'Tab. 6A -Drogi'!O248</f>
        <v>187125</v>
      </c>
      <c r="I226" s="4508">
        <f>'Tab. 6A -Drogi'!P248</f>
        <v>32922875</v>
      </c>
      <c r="J226" s="4508">
        <f>'Tab. 6A -Drogi'!Q248</f>
        <v>3025360</v>
      </c>
      <c r="K226" s="4508">
        <f>'Tab. 6A -Drogi'!R248</f>
        <v>0</v>
      </c>
      <c r="L226" s="4508">
        <f>'Tab. 6A -Drogi'!S248</f>
        <v>0</v>
      </c>
      <c r="M226" s="4508"/>
      <c r="N226" s="4508"/>
      <c r="O226" s="4508"/>
      <c r="P226" s="4508"/>
      <c r="Q226" s="4464"/>
      <c r="R226" s="4523"/>
    </row>
    <row r="227" spans="1:18" ht="22.5" customHeight="1">
      <c r="A227" s="4524"/>
      <c r="B227" s="4526" t="s">
        <v>567</v>
      </c>
      <c r="C227" s="4527"/>
      <c r="D227" s="4528"/>
      <c r="E227" s="4529">
        <f>G227+F227+H227+I227+J227+K227</f>
        <v>4370166</v>
      </c>
      <c r="F227" s="4476">
        <f>'Tab. 6A -Drogi'!M249</f>
        <v>2079894</v>
      </c>
      <c r="G227" s="4476"/>
      <c r="H227" s="4476">
        <f>'Tab. 6A -Drogi'!O249</f>
        <v>186225</v>
      </c>
      <c r="I227" s="4476">
        <f>'Tab. 6A -Drogi'!P249</f>
        <v>1404047</v>
      </c>
      <c r="J227" s="4476">
        <f>'Tab. 6A -Drogi'!Q249</f>
        <v>700000</v>
      </c>
      <c r="K227" s="4476">
        <f>'Tab. 6A -Drogi'!R249</f>
        <v>0</v>
      </c>
      <c r="L227" s="4476">
        <f>'Tab. 6A -Drogi'!S249</f>
        <v>0</v>
      </c>
      <c r="M227" s="4476"/>
      <c r="N227" s="4476"/>
      <c r="O227" s="4476"/>
      <c r="P227" s="4476"/>
      <c r="Q227" s="4464"/>
      <c r="R227" s="4523"/>
    </row>
    <row r="228" spans="1:18" ht="13.5" customHeight="1" thickBot="1">
      <c r="A228" s="4524"/>
      <c r="B228" s="4530" t="s">
        <v>270</v>
      </c>
      <c r="C228" s="4531"/>
      <c r="D228" s="4499"/>
      <c r="E228" s="4500">
        <f>G228+F228+H228+I228+J228+K228</f>
        <v>37596168</v>
      </c>
      <c r="F228" s="4532">
        <f>'Tab. 6A -Drogi'!M253</f>
        <v>3751080</v>
      </c>
      <c r="G228" s="4532"/>
      <c r="H228" s="4532">
        <f>'Tab. 6A -Drogi'!O253</f>
        <v>900</v>
      </c>
      <c r="I228" s="4532">
        <f>'Tab. 6A -Drogi'!P253</f>
        <v>31518828</v>
      </c>
      <c r="J228" s="4532">
        <f>'Tab. 6A -Drogi'!Q253</f>
        <v>2325360</v>
      </c>
      <c r="K228" s="4532">
        <f>'Tab. 6A -Drogi'!R253</f>
        <v>0</v>
      </c>
      <c r="L228" s="4532">
        <f>'Tab. 6A -Drogi'!S253</f>
        <v>0</v>
      </c>
      <c r="M228" s="4532"/>
      <c r="N228" s="4532"/>
      <c r="O228" s="4532"/>
      <c r="P228" s="4532"/>
      <c r="Q228" s="4464"/>
      <c r="R228" s="4523"/>
    </row>
    <row r="229" spans="1:18" ht="13.5" thickBot="1">
      <c r="A229" s="4533"/>
      <c r="B229" s="4534" t="s">
        <v>563</v>
      </c>
      <c r="C229" s="4535"/>
      <c r="D229" s="4536"/>
      <c r="E229" s="4537">
        <f>F229+H229+I229+J229+K229+L229+M229</f>
        <v>37596168</v>
      </c>
      <c r="F229" s="4538">
        <f>'Tab. 6A -Drogi'!M260</f>
        <v>0</v>
      </c>
      <c r="G229" s="4538"/>
      <c r="H229" s="4538"/>
      <c r="I229" s="4538">
        <f>'Tab. 6A -Drogi'!P260</f>
        <v>27140496</v>
      </c>
      <c r="J229" s="4538">
        <f>'Tab. 6A -Drogi'!Q260</f>
        <v>10455672</v>
      </c>
      <c r="K229" s="4538">
        <f>'Tab. 6A -Drogi'!R260</f>
        <v>0</v>
      </c>
      <c r="L229" s="4538">
        <f>'Tab. 6A -Drogi'!S260</f>
        <v>0</v>
      </c>
      <c r="M229" s="4538"/>
      <c r="N229" s="4538"/>
      <c r="O229" s="4538"/>
      <c r="P229" s="4538"/>
      <c r="Q229" s="4482"/>
      <c r="R229" s="4523"/>
    </row>
    <row r="230" spans="1:18" ht="25.5" customHeight="1">
      <c r="A230" s="4516" t="s">
        <v>82</v>
      </c>
      <c r="B230" s="4541" t="str">
        <f>'Tab. 6A -Drogi'!B263</f>
        <v>Przebudowa drogi wojewódzkiej nr 109 na odcinku Trzebusz - Trzebiatów w ramach Osi V RPO (2016-2017)</v>
      </c>
      <c r="C230" s="4539" t="s">
        <v>564</v>
      </c>
      <c r="D230" s="4519">
        <f>E233/E231%</f>
        <v>97.493409549572803</v>
      </c>
      <c r="E230" s="4520"/>
      <c r="F230" s="4521"/>
      <c r="G230" s="4520"/>
      <c r="H230" s="4522"/>
      <c r="I230" s="4522"/>
      <c r="J230" s="4522"/>
      <c r="K230" s="4521"/>
      <c r="L230" s="4521"/>
      <c r="M230" s="4521"/>
      <c r="N230" s="4521"/>
      <c r="O230" s="4521"/>
      <c r="P230" s="4521"/>
      <c r="Q230" s="4491" t="s">
        <v>565</v>
      </c>
      <c r="R230" s="4523"/>
    </row>
    <row r="231" spans="1:18" ht="13.5" customHeight="1">
      <c r="A231" s="4524"/>
      <c r="B231" s="4525" t="s">
        <v>268</v>
      </c>
      <c r="C231" s="4505"/>
      <c r="D231" s="4506"/>
      <c r="E231" s="4507">
        <f>G231+F231+H231+I231+J231+K231+L231+M231</f>
        <v>8381066</v>
      </c>
      <c r="F231" s="4508">
        <f>'Tab. 6A -Drogi'!M264</f>
        <v>0</v>
      </c>
      <c r="G231" s="4508"/>
      <c r="H231" s="4508"/>
      <c r="I231" s="4508">
        <f>'Tab. 6A -Drogi'!P264</f>
        <v>6000000</v>
      </c>
      <c r="J231" s="4508">
        <f>'Tab. 6A -Drogi'!Q264</f>
        <v>2381066</v>
      </c>
      <c r="K231" s="4508">
        <f>'Tab. 6A -Drogi'!R264</f>
        <v>0</v>
      </c>
      <c r="L231" s="4508">
        <f>'Tab. 6A -Drogi'!S264</f>
        <v>0</v>
      </c>
      <c r="M231" s="4508"/>
      <c r="N231" s="4508"/>
      <c r="O231" s="4508"/>
      <c r="P231" s="4508"/>
      <c r="Q231" s="4464"/>
      <c r="R231" s="4523"/>
    </row>
    <row r="232" spans="1:18" ht="13.5" customHeight="1">
      <c r="A232" s="4524"/>
      <c r="B232" s="4526" t="s">
        <v>568</v>
      </c>
      <c r="C232" s="4527"/>
      <c r="D232" s="4528"/>
      <c r="E232" s="4529">
        <f>G232+F232+H232+I232+J232+K232+L232+M232</f>
        <v>210079</v>
      </c>
      <c r="F232" s="4476"/>
      <c r="G232" s="4476"/>
      <c r="H232" s="4476"/>
      <c r="I232" s="4476">
        <f>'Tab. 6A -Drogi'!P265</f>
        <v>10079</v>
      </c>
      <c r="J232" s="4476">
        <f>'Tab. 6A -Drogi'!Q265</f>
        <v>200000</v>
      </c>
      <c r="K232" s="4476">
        <f>'Tab. 6A -Drogi'!R265</f>
        <v>0</v>
      </c>
      <c r="L232" s="4476">
        <f>'Tab. 6A -Drogi'!S265</f>
        <v>0</v>
      </c>
      <c r="M232" s="4476"/>
      <c r="N232" s="4476"/>
      <c r="O232" s="4476"/>
      <c r="P232" s="4476"/>
      <c r="Q232" s="4464"/>
      <c r="R232" s="4523"/>
    </row>
    <row r="233" spans="1:18" ht="13.5" customHeight="1" thickBot="1">
      <c r="A233" s="4524"/>
      <c r="B233" s="4530" t="s">
        <v>270</v>
      </c>
      <c r="C233" s="4531"/>
      <c r="D233" s="4499"/>
      <c r="E233" s="4500">
        <f>G233+F233+H233+I233+J233+K233</f>
        <v>8170987</v>
      </c>
      <c r="F233" s="4532"/>
      <c r="G233" s="4532"/>
      <c r="H233" s="4532"/>
      <c r="I233" s="4532">
        <f>'Tab. 6A -Drogi'!P269</f>
        <v>5989921</v>
      </c>
      <c r="J233" s="4532">
        <f>'Tab. 6A -Drogi'!Q269</f>
        <v>2181066</v>
      </c>
      <c r="K233" s="4532">
        <f>'Tab. 6A -Drogi'!R269</f>
        <v>0</v>
      </c>
      <c r="L233" s="4532">
        <f>'Tab. 6A -Drogi'!S269</f>
        <v>0</v>
      </c>
      <c r="M233" s="4532"/>
      <c r="N233" s="4532"/>
      <c r="O233" s="4532"/>
      <c r="P233" s="4532"/>
      <c r="Q233" s="4464"/>
      <c r="R233" s="4523"/>
    </row>
    <row r="234" spans="1:18" ht="13.5" customHeight="1" thickBot="1">
      <c r="A234" s="4533"/>
      <c r="B234" s="4534" t="s">
        <v>563</v>
      </c>
      <c r="C234" s="4535"/>
      <c r="D234" s="4536"/>
      <c r="E234" s="4537">
        <f>F234+H234+I234+J234+K234+L234+M234</f>
        <v>8170987</v>
      </c>
      <c r="F234" s="4538"/>
      <c r="G234" s="4538"/>
      <c r="H234" s="4538"/>
      <c r="I234" s="4538">
        <f>'Tab. 6A -Drogi'!P273</f>
        <v>4435987</v>
      </c>
      <c r="J234" s="4538">
        <f>'Tab. 6A -Drogi'!Q273</f>
        <v>3735000</v>
      </c>
      <c r="K234" s="4538">
        <f>'Tab. 6A -Drogi'!R273</f>
        <v>0</v>
      </c>
      <c r="L234" s="4538">
        <f>'Tab. 6A -Drogi'!S273</f>
        <v>0</v>
      </c>
      <c r="M234" s="4538"/>
      <c r="N234" s="4538"/>
      <c r="O234" s="4538"/>
      <c r="P234" s="4538"/>
      <c r="Q234" s="4482"/>
      <c r="R234" s="4523"/>
    </row>
    <row r="235" spans="1:18" ht="26.25" customHeight="1">
      <c r="A235" s="4516" t="s">
        <v>83</v>
      </c>
      <c r="B235" s="4541" t="str">
        <f>'Tab. 6A -Drogi'!B275</f>
        <v>Przebudowa drogi wojewódzkiej nr 142 na odcinku Szczecin - Krzywnica w ramach Osi V RPO (2016-2018)</v>
      </c>
      <c r="C235" s="4539" t="s">
        <v>564</v>
      </c>
      <c r="D235" s="4519">
        <f>E238/E236%</f>
        <v>84.103054304212534</v>
      </c>
      <c r="E235" s="4520"/>
      <c r="F235" s="4521"/>
      <c r="G235" s="4520"/>
      <c r="H235" s="4522"/>
      <c r="I235" s="4522"/>
      <c r="J235" s="4522"/>
      <c r="K235" s="4521"/>
      <c r="L235" s="4521"/>
      <c r="M235" s="4521"/>
      <c r="N235" s="4521"/>
      <c r="O235" s="4521"/>
      <c r="P235" s="4521"/>
      <c r="Q235" s="4491" t="s">
        <v>565</v>
      </c>
      <c r="R235" s="4523"/>
    </row>
    <row r="236" spans="1:18" ht="13.5" customHeight="1">
      <c r="A236" s="4524"/>
      <c r="B236" s="4525" t="s">
        <v>268</v>
      </c>
      <c r="C236" s="4505"/>
      <c r="D236" s="4506"/>
      <c r="E236" s="4507">
        <f>G236+F236+H236+I236+J236+K236+L236+M236</f>
        <v>67060838</v>
      </c>
      <c r="F236" s="4508">
        <f>'Tab. 6A -Drogi'!M276</f>
        <v>0</v>
      </c>
      <c r="G236" s="4508">
        <f>'Tab. 6A -Drogi'!N276</f>
        <v>0</v>
      </c>
      <c r="H236" s="4508">
        <f>'Tab. 6A -Drogi'!O276</f>
        <v>0</v>
      </c>
      <c r="I236" s="4508">
        <f>'Tab. 6A -Drogi'!P276</f>
        <v>1000000</v>
      </c>
      <c r="J236" s="4508">
        <f>'Tab. 6A -Drogi'!Q276</f>
        <v>48000000</v>
      </c>
      <c r="K236" s="4508">
        <f>'Tab. 6A -Drogi'!R276</f>
        <v>18060838</v>
      </c>
      <c r="L236" s="4508">
        <f>'Tab. 6A -Drogi'!S276</f>
        <v>0</v>
      </c>
      <c r="M236" s="4508"/>
      <c r="N236" s="4508"/>
      <c r="O236" s="4508"/>
      <c r="P236" s="4508"/>
      <c r="Q236" s="4464"/>
      <c r="R236" s="4523"/>
    </row>
    <row r="237" spans="1:18" ht="13.5" customHeight="1">
      <c r="A237" s="4524"/>
      <c r="B237" s="4526" t="s">
        <v>568</v>
      </c>
      <c r="C237" s="4527"/>
      <c r="D237" s="4528"/>
      <c r="E237" s="4529">
        <f>G237+F237+H237+I237+J237+K237+L237+M237</f>
        <v>10660625</v>
      </c>
      <c r="F237" s="4476">
        <f>'Tab. 6A -Drogi'!M277</f>
        <v>0</v>
      </c>
      <c r="G237" s="4476">
        <f>'Tab. 6A -Drogi'!N277</f>
        <v>0</v>
      </c>
      <c r="H237" s="4476">
        <f>'Tab. 6A -Drogi'!O277</f>
        <v>0</v>
      </c>
      <c r="I237" s="4476">
        <f>'Tab. 6A -Drogi'!P277</f>
        <v>150000</v>
      </c>
      <c r="J237" s="4476">
        <f>'Tab. 6A -Drogi'!Q277</f>
        <v>7200000</v>
      </c>
      <c r="K237" s="4476">
        <f>'Tab. 6A -Drogi'!R277</f>
        <v>3310625</v>
      </c>
      <c r="L237" s="4476">
        <f>'Tab. 6A -Drogi'!S277</f>
        <v>0</v>
      </c>
      <c r="M237" s="4476"/>
      <c r="N237" s="4476"/>
      <c r="O237" s="4476"/>
      <c r="P237" s="4476"/>
      <c r="Q237" s="4464"/>
      <c r="R237" s="4523"/>
    </row>
    <row r="238" spans="1:18" ht="13.5" customHeight="1" thickBot="1">
      <c r="A238" s="4524"/>
      <c r="B238" s="4530" t="s">
        <v>270</v>
      </c>
      <c r="C238" s="4531"/>
      <c r="D238" s="4499"/>
      <c r="E238" s="4500">
        <f>G238+F238+H238+I238+J238+K238</f>
        <v>56400213</v>
      </c>
      <c r="F238" s="4532">
        <f>'Tab. 6A -Drogi'!M280</f>
        <v>0</v>
      </c>
      <c r="G238" s="4532">
        <f>'Tab. 6A -Drogi'!N280</f>
        <v>0</v>
      </c>
      <c r="H238" s="4532">
        <f>'Tab. 6A -Drogi'!O280</f>
        <v>0</v>
      </c>
      <c r="I238" s="4532">
        <f>'Tab. 6A -Drogi'!P280</f>
        <v>850000</v>
      </c>
      <c r="J238" s="4532">
        <f>'Tab. 6A -Drogi'!Q280</f>
        <v>40800000</v>
      </c>
      <c r="K238" s="4532">
        <f>'Tab. 6A -Drogi'!R280</f>
        <v>14750213</v>
      </c>
      <c r="L238" s="4532">
        <f>'Tab. 6A -Drogi'!S280</f>
        <v>0</v>
      </c>
      <c r="M238" s="4532"/>
      <c r="N238" s="4532"/>
      <c r="O238" s="4532"/>
      <c r="P238" s="4532"/>
      <c r="Q238" s="4464"/>
      <c r="R238" s="4523"/>
    </row>
    <row r="239" spans="1:18" ht="13.5" customHeight="1" thickBot="1">
      <c r="A239" s="4533"/>
      <c r="B239" s="4534" t="s">
        <v>563</v>
      </c>
      <c r="C239" s="4535"/>
      <c r="D239" s="4536"/>
      <c r="E239" s="4537">
        <f>F239+H239+I239+J239+K239+L239+M239</f>
        <v>56400213</v>
      </c>
      <c r="F239" s="4538">
        <f>'Tab. 6A -Drogi'!M285</f>
        <v>0</v>
      </c>
      <c r="G239" s="4538">
        <f>'Tab. 6A -Drogi'!N297</f>
        <v>0</v>
      </c>
      <c r="H239" s="4538">
        <f>'Tab. 6A -Drogi'!O285</f>
        <v>0</v>
      </c>
      <c r="I239" s="4538">
        <f>'Tab. 6A -Drogi'!P285</f>
        <v>0</v>
      </c>
      <c r="J239" s="4538">
        <f>'Tab. 6A -Drogi'!Q285</f>
        <v>35000000</v>
      </c>
      <c r="K239" s="4538">
        <f>'Tab. 6A -Drogi'!R285</f>
        <v>21400213</v>
      </c>
      <c r="L239" s="4538">
        <f>'Tab. 6A -Drogi'!S285</f>
        <v>0</v>
      </c>
      <c r="M239" s="4538"/>
      <c r="N239" s="4538"/>
      <c r="O239" s="4538"/>
      <c r="P239" s="4538"/>
      <c r="Q239" s="4482"/>
      <c r="R239" s="4523"/>
    </row>
    <row r="240" spans="1:18" ht="27" customHeight="1">
      <c r="A240" s="4516" t="s">
        <v>138</v>
      </c>
      <c r="B240" s="4541" t="str">
        <f>'Tab. 6A -Drogi'!B287</f>
        <v>Przebudowa drogi wojewódzkiej nr 102 na odcinku Międzywodzie -Dziwnów w ramach Osi V RPO (2016-2017)</v>
      </c>
      <c r="C240" s="4539" t="s">
        <v>564</v>
      </c>
      <c r="D240" s="4519">
        <f>E243/E241%</f>
        <v>84.24444444444444</v>
      </c>
      <c r="E240" s="4520"/>
      <c r="F240" s="4521"/>
      <c r="G240" s="4520"/>
      <c r="H240" s="4522"/>
      <c r="I240" s="4522"/>
      <c r="J240" s="4522"/>
      <c r="K240" s="4521"/>
      <c r="L240" s="4521"/>
      <c r="M240" s="4521"/>
      <c r="N240" s="4521"/>
      <c r="O240" s="4521"/>
      <c r="P240" s="4521"/>
      <c r="Q240" s="4491" t="s">
        <v>565</v>
      </c>
      <c r="R240" s="4523"/>
    </row>
    <row r="241" spans="1:18" ht="13.5" customHeight="1">
      <c r="A241" s="4524"/>
      <c r="B241" s="4525" t="s">
        <v>268</v>
      </c>
      <c r="C241" s="4505"/>
      <c r="D241" s="4506"/>
      <c r="E241" s="4507">
        <f>G241+F241+H241+I241+J241+K241+L241+M241</f>
        <v>18000000</v>
      </c>
      <c r="F241" s="4508">
        <f>'Tab. 6A -Drogi'!M288</f>
        <v>0</v>
      </c>
      <c r="G241" s="4508">
        <f>'Tab. 6A -Drogi'!N288</f>
        <v>0</v>
      </c>
      <c r="H241" s="4508">
        <f>'Tab. 6A -Drogi'!O288</f>
        <v>0</v>
      </c>
      <c r="I241" s="4508">
        <f>'Tab. 6A -Drogi'!P288</f>
        <v>100000</v>
      </c>
      <c r="J241" s="4508">
        <f>'Tab. 6A -Drogi'!Q288</f>
        <v>17900000</v>
      </c>
      <c r="K241" s="4508">
        <f>'Tab. 6A -Drogi'!R288</f>
        <v>0</v>
      </c>
      <c r="L241" s="4508">
        <f>'Tab. 6A -Drogi'!S288</f>
        <v>0</v>
      </c>
      <c r="M241" s="4508"/>
      <c r="N241" s="4508"/>
      <c r="O241" s="4508"/>
      <c r="P241" s="4508"/>
      <c r="Q241" s="4464"/>
      <c r="R241" s="4523"/>
    </row>
    <row r="242" spans="1:18" ht="13.5" customHeight="1">
      <c r="A242" s="4524"/>
      <c r="B242" s="4526" t="s">
        <v>568</v>
      </c>
      <c r="C242" s="4527"/>
      <c r="D242" s="4528"/>
      <c r="E242" s="4529">
        <f>G242+F242+H242+I242+J242+K242+L242+M242</f>
        <v>2836000</v>
      </c>
      <c r="F242" s="4476">
        <f>'Tab. 6A -Drogi'!M289</f>
        <v>0</v>
      </c>
      <c r="G242" s="4476">
        <f>'Tab. 6A -Drogi'!N289</f>
        <v>0</v>
      </c>
      <c r="H242" s="4476">
        <f>'Tab. 6A -Drogi'!O289</f>
        <v>0</v>
      </c>
      <c r="I242" s="4476">
        <f>'Tab. 6A -Drogi'!P289</f>
        <v>15000</v>
      </c>
      <c r="J242" s="4476">
        <f>'Tab. 6A -Drogi'!Q289</f>
        <v>2821000</v>
      </c>
      <c r="K242" s="4476">
        <f>'Tab. 6A -Drogi'!R289</f>
        <v>0</v>
      </c>
      <c r="L242" s="4476">
        <f>'Tab. 6A -Drogi'!S289</f>
        <v>0</v>
      </c>
      <c r="M242" s="4476"/>
      <c r="N242" s="4476"/>
      <c r="O242" s="4476"/>
      <c r="P242" s="4476"/>
      <c r="Q242" s="4464"/>
      <c r="R242" s="4523"/>
    </row>
    <row r="243" spans="1:18" ht="13.5" customHeight="1" thickBot="1">
      <c r="A243" s="4524"/>
      <c r="B243" s="4530" t="s">
        <v>270</v>
      </c>
      <c r="C243" s="4531"/>
      <c r="D243" s="4499"/>
      <c r="E243" s="4500">
        <f>G243+F243+H243+I243+J243+K243</f>
        <v>15164000</v>
      </c>
      <c r="F243" s="4532">
        <f>'Tab. 6A -Drogi'!M292</f>
        <v>0</v>
      </c>
      <c r="G243" s="4532">
        <f>'Tab. 6A -Drogi'!N292</f>
        <v>0</v>
      </c>
      <c r="H243" s="4532">
        <f>'Tab. 6A -Drogi'!O292</f>
        <v>0</v>
      </c>
      <c r="I243" s="4532">
        <f>'Tab. 6A -Drogi'!P292</f>
        <v>85000</v>
      </c>
      <c r="J243" s="4532">
        <f>'Tab. 6A -Drogi'!Q292</f>
        <v>15079000</v>
      </c>
      <c r="K243" s="4532">
        <f>'Tab. 6A -Drogi'!R292</f>
        <v>0</v>
      </c>
      <c r="L243" s="4532">
        <f>'Tab. 6A -Drogi'!S292</f>
        <v>0</v>
      </c>
      <c r="M243" s="4532">
        <f>'Tab. 6A -Drogi'!T292</f>
        <v>0</v>
      </c>
      <c r="N243" s="4532"/>
      <c r="O243" s="4532"/>
      <c r="P243" s="4532"/>
      <c r="Q243" s="4464"/>
      <c r="R243" s="4523"/>
    </row>
    <row r="244" spans="1:18" ht="13.5" customHeight="1" thickBot="1">
      <c r="A244" s="4533"/>
      <c r="B244" s="4534" t="s">
        <v>563</v>
      </c>
      <c r="C244" s="4535"/>
      <c r="D244" s="4536"/>
      <c r="E244" s="4537">
        <f>F244+H244+I244+J244+K244+L244+M244</f>
        <v>15164000</v>
      </c>
      <c r="F244" s="4538">
        <f>'Tab. 6A -Drogi'!M297</f>
        <v>0</v>
      </c>
      <c r="G244" s="4538">
        <f>'Tab. 6A -Drogi'!N297</f>
        <v>0</v>
      </c>
      <c r="H244" s="4538">
        <f>'Tab. 6A -Drogi'!O297</f>
        <v>0</v>
      </c>
      <c r="I244" s="4538">
        <f>'Tab. 6A -Drogi'!P297</f>
        <v>0</v>
      </c>
      <c r="J244" s="4538">
        <f>'Tab. 6A -Drogi'!Q297</f>
        <v>14164000</v>
      </c>
      <c r="K244" s="4538">
        <f>'Tab. 6A -Drogi'!R297</f>
        <v>1000000</v>
      </c>
      <c r="L244" s="4538">
        <f>'Tab. 6A -Drogi'!S297</f>
        <v>0</v>
      </c>
      <c r="M244" s="4538"/>
      <c r="N244" s="4538"/>
      <c r="O244" s="4538"/>
      <c r="P244" s="4538"/>
      <c r="Q244" s="4482"/>
      <c r="R244" s="4523"/>
    </row>
    <row r="245" spans="1:18" ht="27" customHeight="1">
      <c r="A245" s="4516" t="s">
        <v>105</v>
      </c>
      <c r="B245" s="4541" t="str">
        <f>'Tab. 6A -Drogi'!B299</f>
        <v>Przebudowa drogi wojewódzkiej nr 102 na odcinku Łukęcin - Lędzin w ramach Osi V RPO (2016-2018)</v>
      </c>
      <c r="C245" s="4539" t="s">
        <v>564</v>
      </c>
      <c r="D245" s="4519">
        <f>E248/E246%</f>
        <v>82.571428571428569</v>
      </c>
      <c r="E245" s="4520"/>
      <c r="F245" s="4521"/>
      <c r="G245" s="4520"/>
      <c r="H245" s="4522"/>
      <c r="I245" s="4522"/>
      <c r="J245" s="4522"/>
      <c r="K245" s="4521"/>
      <c r="L245" s="4521"/>
      <c r="M245" s="4521"/>
      <c r="N245" s="4521"/>
      <c r="O245" s="4521"/>
      <c r="P245" s="4521"/>
      <c r="Q245" s="4491" t="s">
        <v>565</v>
      </c>
      <c r="R245" s="4523"/>
    </row>
    <row r="246" spans="1:18" ht="13.5" customHeight="1">
      <c r="A246" s="4524"/>
      <c r="B246" s="4525" t="s">
        <v>268</v>
      </c>
      <c r="C246" s="4505"/>
      <c r="D246" s="4506"/>
      <c r="E246" s="4507">
        <f>G246+F246+H246+I246+J246+K246+L246+M246</f>
        <v>63000000</v>
      </c>
      <c r="F246" s="4508">
        <f>'Tab. 6A -Drogi'!M300</f>
        <v>0</v>
      </c>
      <c r="G246" s="4508">
        <f>'Tab. 6A -Drogi'!N300</f>
        <v>0</v>
      </c>
      <c r="H246" s="4508">
        <f>'Tab. 6A -Drogi'!O300</f>
        <v>0</v>
      </c>
      <c r="I246" s="4508">
        <f>'Tab. 6A -Drogi'!P300</f>
        <v>100000</v>
      </c>
      <c r="J246" s="4508">
        <f>'Tab. 6A -Drogi'!Q300</f>
        <v>45000000</v>
      </c>
      <c r="K246" s="4508">
        <f>'Tab. 6A -Drogi'!R300</f>
        <v>17900000</v>
      </c>
      <c r="L246" s="4508">
        <f>'Tab. 6A -Drogi'!S300</f>
        <v>0</v>
      </c>
      <c r="M246" s="4508">
        <f>'Tab. 6A -Drogi'!T300</f>
        <v>0</v>
      </c>
      <c r="N246" s="4508"/>
      <c r="O246" s="4508"/>
      <c r="P246" s="4508"/>
      <c r="Q246" s="4464"/>
      <c r="R246" s="4523"/>
    </row>
    <row r="247" spans="1:18" ht="13.5" customHeight="1">
      <c r="A247" s="4524"/>
      <c r="B247" s="4526" t="s">
        <v>568</v>
      </c>
      <c r="C247" s="4527"/>
      <c r="D247" s="4528"/>
      <c r="E247" s="4529">
        <f>G247+F247+H247+I247+J247+K247+L247+M247</f>
        <v>10980000</v>
      </c>
      <c r="F247" s="4476">
        <f>'Tab. 6A -Drogi'!M301</f>
        <v>0</v>
      </c>
      <c r="G247" s="4476">
        <f>'Tab. 6A -Drogi'!N301</f>
        <v>0</v>
      </c>
      <c r="H247" s="4476">
        <f>'Tab. 6A -Drogi'!O301</f>
        <v>0</v>
      </c>
      <c r="I247" s="4476">
        <f>'Tab. 6A -Drogi'!P301</f>
        <v>15000</v>
      </c>
      <c r="J247" s="4476">
        <f>'Tab. 6A -Drogi'!Q301</f>
        <v>6750000</v>
      </c>
      <c r="K247" s="4476">
        <f>'Tab. 6A -Drogi'!R301</f>
        <v>4215000</v>
      </c>
      <c r="L247" s="4476">
        <f>'Tab. 6A -Drogi'!S301</f>
        <v>0</v>
      </c>
      <c r="M247" s="4476">
        <f>'Tab. 6A -Drogi'!T301</f>
        <v>0</v>
      </c>
      <c r="N247" s="4476"/>
      <c r="O247" s="4476"/>
      <c r="P247" s="4476"/>
      <c r="Q247" s="4464"/>
      <c r="R247" s="4523"/>
    </row>
    <row r="248" spans="1:18" ht="13.5" customHeight="1" thickBot="1">
      <c r="A248" s="4524"/>
      <c r="B248" s="4530" t="s">
        <v>270</v>
      </c>
      <c r="C248" s="4531"/>
      <c r="D248" s="4499"/>
      <c r="E248" s="4500">
        <f>G248+F248+H248+I248+J248+K248</f>
        <v>52020000</v>
      </c>
      <c r="F248" s="4532">
        <f>'Tab. 6A -Drogi'!M304</f>
        <v>0</v>
      </c>
      <c r="G248" s="4532">
        <f>'Tab. 6A -Drogi'!N304</f>
        <v>0</v>
      </c>
      <c r="H248" s="4532">
        <f>'Tab. 6A -Drogi'!O304</f>
        <v>0</v>
      </c>
      <c r="I248" s="4532">
        <f>'Tab. 6A -Drogi'!P304</f>
        <v>85000</v>
      </c>
      <c r="J248" s="4532">
        <f>'Tab. 6A -Drogi'!Q304</f>
        <v>38250000</v>
      </c>
      <c r="K248" s="4532">
        <f>'Tab. 6A -Drogi'!R304</f>
        <v>13685000</v>
      </c>
      <c r="L248" s="4532">
        <f>'Tab. 6A -Drogi'!S304</f>
        <v>0</v>
      </c>
      <c r="M248" s="4532">
        <f>'Tab. 6A -Drogi'!T304</f>
        <v>0</v>
      </c>
      <c r="N248" s="4532"/>
      <c r="O248" s="4532"/>
      <c r="P248" s="4532"/>
      <c r="Q248" s="4464"/>
      <c r="R248" s="4523"/>
    </row>
    <row r="249" spans="1:18" ht="13.5" customHeight="1" thickBot="1">
      <c r="A249" s="4533"/>
      <c r="B249" s="4534" t="s">
        <v>563</v>
      </c>
      <c r="C249" s="4535"/>
      <c r="D249" s="4536"/>
      <c r="E249" s="4537">
        <f>F249+H249+I249+J249+K249+L249+M249</f>
        <v>52020000</v>
      </c>
      <c r="F249" s="4538">
        <f>'Tab. 6A -Drogi'!M309</f>
        <v>0</v>
      </c>
      <c r="G249" s="4538">
        <f>'Tab. 6A -Drogi'!N309</f>
        <v>0</v>
      </c>
      <c r="H249" s="4538">
        <f>'Tab. 6A -Drogi'!O309</f>
        <v>0</v>
      </c>
      <c r="I249" s="4538">
        <f>'Tab. 6A -Drogi'!P309</f>
        <v>0</v>
      </c>
      <c r="J249" s="4538">
        <f>'Tab. 6A -Drogi'!Q309</f>
        <v>38335000</v>
      </c>
      <c r="K249" s="4538">
        <f>'Tab. 6A -Drogi'!R309</f>
        <v>13685000</v>
      </c>
      <c r="L249" s="4538">
        <f>'Tab. 6A -Drogi'!S309</f>
        <v>0</v>
      </c>
      <c r="M249" s="4538">
        <f>'Tab. 6A -Drogi'!T309</f>
        <v>0</v>
      </c>
      <c r="N249" s="4538"/>
      <c r="O249" s="4538"/>
      <c r="P249" s="4538"/>
      <c r="Q249" s="4482"/>
      <c r="R249" s="4523"/>
    </row>
    <row r="250" spans="1:18" ht="36" customHeight="1">
      <c r="A250" s="4516" t="s">
        <v>106</v>
      </c>
      <c r="B250" s="4541" t="str">
        <f>'Tab. 6A -Drogi'!B311</f>
        <v>Przebudowa drogi wojewódzkiej nr 151 na odcinku Świdwin - Łobez (etap I przebudowa mostu w m. Łobez) w ramach Osi V RPO (2016-2018)</v>
      </c>
      <c r="C250" s="4539" t="s">
        <v>564</v>
      </c>
      <c r="D250" s="4519">
        <f>E253/E251%</f>
        <v>85</v>
      </c>
      <c r="E250" s="4520"/>
      <c r="F250" s="4521"/>
      <c r="G250" s="4520"/>
      <c r="H250" s="4522"/>
      <c r="I250" s="4522"/>
      <c r="J250" s="4522"/>
      <c r="K250" s="4521"/>
      <c r="L250" s="4521"/>
      <c r="M250" s="4521"/>
      <c r="N250" s="4521"/>
      <c r="O250" s="4521"/>
      <c r="P250" s="4521"/>
      <c r="Q250" s="4491" t="s">
        <v>565</v>
      </c>
      <c r="R250" s="4523"/>
    </row>
    <row r="251" spans="1:18" ht="13.5" customHeight="1">
      <c r="A251" s="4524"/>
      <c r="B251" s="4525" t="s">
        <v>268</v>
      </c>
      <c r="C251" s="4505"/>
      <c r="D251" s="4506"/>
      <c r="E251" s="4507">
        <f>G251+F251+H251+I251+J251+K251+L251+M251</f>
        <v>4500000</v>
      </c>
      <c r="F251" s="4508">
        <f>'Tab. 6A -Drogi'!M312</f>
        <v>0</v>
      </c>
      <c r="G251" s="4508">
        <f>'Tab. 6A -Drogi'!N312</f>
        <v>0</v>
      </c>
      <c r="H251" s="4508">
        <f>'Tab. 6A -Drogi'!O312</f>
        <v>0</v>
      </c>
      <c r="I251" s="4508">
        <f>'Tab. 6A -Drogi'!P312</f>
        <v>300000</v>
      </c>
      <c r="J251" s="4508">
        <f>'Tab. 6A -Drogi'!Q312</f>
        <v>4200000</v>
      </c>
      <c r="K251" s="4508">
        <f>'Tab. 6A -Drogi'!R312</f>
        <v>0</v>
      </c>
      <c r="L251" s="4508">
        <f>'Tab. 6A -Drogi'!S312</f>
        <v>0</v>
      </c>
      <c r="M251" s="4508"/>
      <c r="N251" s="4508"/>
      <c r="O251" s="4508"/>
      <c r="P251" s="4508"/>
      <c r="Q251" s="4464"/>
      <c r="R251" s="4523"/>
    </row>
    <row r="252" spans="1:18" ht="13.5" customHeight="1">
      <c r="A252" s="4524"/>
      <c r="B252" s="4526" t="s">
        <v>568</v>
      </c>
      <c r="C252" s="4527"/>
      <c r="D252" s="4528"/>
      <c r="E252" s="4529">
        <f>G252+F252+H252+I252+J252+K252+L252+M252</f>
        <v>675000</v>
      </c>
      <c r="F252" s="4476">
        <f>'Tab. 6A -Drogi'!M313</f>
        <v>0</v>
      </c>
      <c r="G252" s="4476">
        <f>'Tab. 6A -Drogi'!N313</f>
        <v>0</v>
      </c>
      <c r="H252" s="4476">
        <f>'Tab. 6A -Drogi'!O313</f>
        <v>0</v>
      </c>
      <c r="I252" s="4476">
        <f>'Tab. 6A -Drogi'!P313</f>
        <v>45000</v>
      </c>
      <c r="J252" s="4476">
        <f>'Tab. 6A -Drogi'!Q313</f>
        <v>630000</v>
      </c>
      <c r="K252" s="4476">
        <f>'Tab. 6A -Drogi'!R313</f>
        <v>0</v>
      </c>
      <c r="L252" s="4476">
        <f>'Tab. 6A -Drogi'!S313</f>
        <v>0</v>
      </c>
      <c r="M252" s="4476"/>
      <c r="N252" s="4476"/>
      <c r="O252" s="4476"/>
      <c r="P252" s="4476"/>
      <c r="Q252" s="4464"/>
      <c r="R252" s="4523"/>
    </row>
    <row r="253" spans="1:18" ht="13.5" customHeight="1" thickBot="1">
      <c r="A253" s="4524"/>
      <c r="B253" s="4530" t="s">
        <v>270</v>
      </c>
      <c r="C253" s="4531"/>
      <c r="D253" s="4499"/>
      <c r="E253" s="4500">
        <f>G253+F253+H253+I253+J253+K253</f>
        <v>3825000</v>
      </c>
      <c r="F253" s="4532">
        <f>'Tab. 6A -Drogi'!M317</f>
        <v>0</v>
      </c>
      <c r="G253" s="4532">
        <f>'Tab. 6A -Drogi'!N317</f>
        <v>0</v>
      </c>
      <c r="H253" s="4532">
        <f>'Tab. 6A -Drogi'!O317</f>
        <v>0</v>
      </c>
      <c r="I253" s="4532">
        <f>'Tab. 6A -Drogi'!P317</f>
        <v>255000</v>
      </c>
      <c r="J253" s="4532">
        <f>'Tab. 6A -Drogi'!Q317</f>
        <v>3570000</v>
      </c>
      <c r="K253" s="4532">
        <f>'Tab. 6A -Drogi'!R317</f>
        <v>0</v>
      </c>
      <c r="L253" s="4532">
        <f>'Tab. 6A -Drogi'!S317</f>
        <v>0</v>
      </c>
      <c r="M253" s="4532">
        <f>'Tab. 6A -Drogi'!T317</f>
        <v>0</v>
      </c>
      <c r="N253" s="4532"/>
      <c r="O253" s="4532"/>
      <c r="P253" s="4532"/>
      <c r="Q253" s="4464"/>
      <c r="R253" s="4523"/>
    </row>
    <row r="254" spans="1:18" ht="13.5" customHeight="1" thickBot="1">
      <c r="A254" s="4533"/>
      <c r="B254" s="4534" t="s">
        <v>563</v>
      </c>
      <c r="C254" s="4535"/>
      <c r="D254" s="4536"/>
      <c r="E254" s="4537">
        <f>F254+H254+I254+J254+K254+L254+M254</f>
        <v>3825000</v>
      </c>
      <c r="F254" s="4538">
        <f>'Tab. 6A -Drogi'!M321</f>
        <v>0</v>
      </c>
      <c r="G254" s="4538">
        <f>'Tab. 6A -Drogi'!N321</f>
        <v>0</v>
      </c>
      <c r="H254" s="4538">
        <f>'Tab. 6A -Drogi'!O321</f>
        <v>0</v>
      </c>
      <c r="I254" s="4538">
        <f>'Tab. 6A -Drogi'!P321</f>
        <v>0</v>
      </c>
      <c r="J254" s="4538">
        <f>'Tab. 6A -Drogi'!Q321</f>
        <v>3500000</v>
      </c>
      <c r="K254" s="4538">
        <f>'Tab. 6A -Drogi'!R321</f>
        <v>325000</v>
      </c>
      <c r="L254" s="4538">
        <f>'Tab. 6A -Drogi'!S321</f>
        <v>0</v>
      </c>
      <c r="M254" s="4538"/>
      <c r="N254" s="4538"/>
      <c r="O254" s="4538"/>
      <c r="P254" s="4538"/>
      <c r="Q254" s="4482"/>
      <c r="R254" s="4523"/>
    </row>
    <row r="255" spans="1:18" ht="27.75" customHeight="1">
      <c r="A255" s="4516" t="s">
        <v>107</v>
      </c>
      <c r="B255" s="4541" t="str">
        <f>'Tab. 6A -Drogi'!B323</f>
        <v>Budowa obejścia m. Barlinek w ciągu drogi nr 151 w ramach Osi V RPO (2010-2017)</v>
      </c>
      <c r="C255" s="4539" t="s">
        <v>564</v>
      </c>
      <c r="D255" s="4519">
        <f>E258/E256%</f>
        <v>0</v>
      </c>
      <c r="E255" s="4520"/>
      <c r="F255" s="4521"/>
      <c r="G255" s="4520"/>
      <c r="H255" s="4522"/>
      <c r="I255" s="4522"/>
      <c r="J255" s="4522"/>
      <c r="K255" s="4521"/>
      <c r="L255" s="4521"/>
      <c r="M255" s="4521"/>
      <c r="N255" s="4521"/>
      <c r="O255" s="4521"/>
      <c r="P255" s="4521"/>
      <c r="Q255" s="4491" t="s">
        <v>565</v>
      </c>
      <c r="R255" s="4523"/>
    </row>
    <row r="256" spans="1:18" ht="13.5" customHeight="1">
      <c r="A256" s="4524"/>
      <c r="B256" s="4525" t="s">
        <v>268</v>
      </c>
      <c r="C256" s="4505"/>
      <c r="D256" s="4506"/>
      <c r="E256" s="4507">
        <f>G256+F256+H256+I256+J256+K256+L256+M256</f>
        <v>3559294</v>
      </c>
      <c r="F256" s="4508">
        <f>'Tab. 6A -Drogi'!M324</f>
        <v>559294</v>
      </c>
      <c r="G256" s="4508">
        <f>'Tab. 6A -Drogi'!N324</f>
        <v>0</v>
      </c>
      <c r="H256" s="4508">
        <f>'Tab. 6A -Drogi'!O324</f>
        <v>0</v>
      </c>
      <c r="I256" s="4508">
        <f>'Tab. 6A -Drogi'!P324</f>
        <v>39320</v>
      </c>
      <c r="J256" s="4508">
        <f>'Tab. 6A -Drogi'!Q324</f>
        <v>2960680</v>
      </c>
      <c r="K256" s="4508">
        <f>'Tab. 6A -Drogi'!R324</f>
        <v>0</v>
      </c>
      <c r="L256" s="4508">
        <f>'Tab. 6A -Drogi'!S324</f>
        <v>0</v>
      </c>
      <c r="M256" s="4508">
        <f>'Tab. 6A -Drogi'!T324</f>
        <v>0</v>
      </c>
      <c r="N256" s="4508"/>
      <c r="O256" s="4508"/>
      <c r="P256" s="4508"/>
      <c r="Q256" s="4464"/>
      <c r="R256" s="4523"/>
    </row>
    <row r="257" spans="1:18" ht="13.5" customHeight="1">
      <c r="A257" s="4524"/>
      <c r="B257" s="4526" t="s">
        <v>568</v>
      </c>
      <c r="C257" s="4527"/>
      <c r="D257" s="4528"/>
      <c r="E257" s="4529">
        <f>G257+F257+H257+I257+J257+K257+L257+M257</f>
        <v>3559294</v>
      </c>
      <c r="F257" s="4476">
        <f>'Tab. 6A -Drogi'!M325</f>
        <v>559294</v>
      </c>
      <c r="G257" s="4476">
        <f>'Tab. 6A -Drogi'!N325</f>
        <v>0</v>
      </c>
      <c r="H257" s="4476">
        <f>'Tab. 6A -Drogi'!O325</f>
        <v>0</v>
      </c>
      <c r="I257" s="4476">
        <f>'Tab. 6A -Drogi'!P325</f>
        <v>39320</v>
      </c>
      <c r="J257" s="4476">
        <f>'Tab. 6A -Drogi'!Q325</f>
        <v>2960680</v>
      </c>
      <c r="K257" s="4476">
        <f>'Tab. 6A -Drogi'!R325</f>
        <v>0</v>
      </c>
      <c r="L257" s="4476">
        <f>'Tab. 6A -Drogi'!S325</f>
        <v>0</v>
      </c>
      <c r="M257" s="4476">
        <f>'Tab. 6A -Drogi'!T325</f>
        <v>0</v>
      </c>
      <c r="N257" s="4476"/>
      <c r="O257" s="4476"/>
      <c r="P257" s="4476"/>
      <c r="Q257" s="4464"/>
      <c r="R257" s="4523"/>
    </row>
    <row r="258" spans="1:18" ht="13.5" customHeight="1" thickBot="1">
      <c r="A258" s="4524"/>
      <c r="B258" s="4530" t="s">
        <v>270</v>
      </c>
      <c r="C258" s="4531"/>
      <c r="D258" s="4499"/>
      <c r="E258" s="4500">
        <f>G258+F258+H258+I258+J258+K258</f>
        <v>0</v>
      </c>
      <c r="F258" s="4532"/>
      <c r="G258" s="4532"/>
      <c r="H258" s="4532"/>
      <c r="I258" s="4532"/>
      <c r="J258" s="4532"/>
      <c r="K258" s="4532"/>
      <c r="L258" s="4532"/>
      <c r="M258" s="4532"/>
      <c r="N258" s="4532"/>
      <c r="O258" s="4532"/>
      <c r="P258" s="4532"/>
      <c r="Q258" s="4464"/>
      <c r="R258" s="4523"/>
    </row>
    <row r="259" spans="1:18" ht="13.5" customHeight="1" thickBot="1">
      <c r="A259" s="4533"/>
      <c r="B259" s="4534" t="s">
        <v>563</v>
      </c>
      <c r="C259" s="4535"/>
      <c r="D259" s="4536"/>
      <c r="E259" s="4537">
        <f>F259+H259+I259+J259+K259+L259+M259</f>
        <v>0</v>
      </c>
      <c r="F259" s="4538"/>
      <c r="G259" s="4538"/>
      <c r="H259" s="4538"/>
      <c r="I259" s="4538"/>
      <c r="J259" s="4538"/>
      <c r="K259" s="4538"/>
      <c r="L259" s="4538"/>
      <c r="M259" s="4538"/>
      <c r="N259" s="4538"/>
      <c r="O259" s="4538"/>
      <c r="P259" s="4538"/>
      <c r="Q259" s="4482"/>
      <c r="R259" s="4523"/>
    </row>
    <row r="260" spans="1:18" ht="27" customHeight="1">
      <c r="A260" s="4516" t="s">
        <v>108</v>
      </c>
      <c r="B260" s="4541" t="str">
        <f>'Tab. 6A -Drogi'!B327</f>
        <v>Dokumentacje techniczne na drogowe zadania inwestycyjne w ramach Osi V RPO (2016-2018)</v>
      </c>
      <c r="C260" s="4539" t="s">
        <v>564</v>
      </c>
      <c r="D260" s="4519">
        <f>E263/E261%</f>
        <v>18.730249763936097</v>
      </c>
      <c r="E260" s="4520"/>
      <c r="F260" s="4521"/>
      <c r="G260" s="4520"/>
      <c r="H260" s="4522"/>
      <c r="I260" s="4522"/>
      <c r="J260" s="4522"/>
      <c r="K260" s="4521"/>
      <c r="L260" s="4521"/>
      <c r="M260" s="4521"/>
      <c r="N260" s="4521"/>
      <c r="O260" s="4521"/>
      <c r="P260" s="4521"/>
      <c r="Q260" s="4491" t="s">
        <v>565</v>
      </c>
      <c r="R260" s="4523"/>
    </row>
    <row r="261" spans="1:18" ht="15.75" customHeight="1">
      <c r="A261" s="4524"/>
      <c r="B261" s="4525" t="s">
        <v>268</v>
      </c>
      <c r="C261" s="4505"/>
      <c r="D261" s="4506"/>
      <c r="E261" s="4507">
        <f>G261+F261+H261+I261+J261+K261+L261+M261</f>
        <v>10144499</v>
      </c>
      <c r="F261" s="4508">
        <f>'Tab. 6A -Drogi'!M328</f>
        <v>0</v>
      </c>
      <c r="G261" s="4508">
        <f>'Tab. 6A -Drogi'!N328</f>
        <v>0</v>
      </c>
      <c r="H261" s="4508">
        <f>'Tab. 6A -Drogi'!O328</f>
        <v>0</v>
      </c>
      <c r="I261" s="4508">
        <f>'Tab. 6A -Drogi'!P328</f>
        <v>3900000</v>
      </c>
      <c r="J261" s="4508">
        <f>'Tab. 6A -Drogi'!Q328</f>
        <v>1260000</v>
      </c>
      <c r="K261" s="4508">
        <f>'Tab. 6A -Drogi'!R328</f>
        <v>4984499</v>
      </c>
      <c r="L261" s="4508">
        <f>'Tab. 6A -Drogi'!S328</f>
        <v>0</v>
      </c>
      <c r="M261" s="4508">
        <f>'Tab. 6A -Drogi'!T328</f>
        <v>0</v>
      </c>
      <c r="N261" s="4508"/>
      <c r="O261" s="4508"/>
      <c r="P261" s="4508"/>
      <c r="Q261" s="4464"/>
      <c r="R261" s="4523"/>
    </row>
    <row r="262" spans="1:18" ht="13.5" customHeight="1">
      <c r="A262" s="4524"/>
      <c r="B262" s="4526" t="s">
        <v>568</v>
      </c>
      <c r="C262" s="4527"/>
      <c r="D262" s="4528"/>
      <c r="E262" s="4529">
        <f>G262+F262+H262+I262+J262+K262+L262+M262</f>
        <v>8244409</v>
      </c>
      <c r="F262" s="4476">
        <f>'Tab. 6A -Drogi'!M329</f>
        <v>0</v>
      </c>
      <c r="G262" s="4476">
        <f>'Tab. 6A -Drogi'!N329</f>
        <v>0</v>
      </c>
      <c r="H262" s="4476">
        <f>'Tab. 6A -Drogi'!O329</f>
        <v>0</v>
      </c>
      <c r="I262" s="4476">
        <f>'Tab. 6A -Drogi'!P329</f>
        <v>1999910</v>
      </c>
      <c r="J262" s="4476">
        <f>'Tab. 6A -Drogi'!Q329</f>
        <v>1260000</v>
      </c>
      <c r="K262" s="4476">
        <f>'Tab. 6A -Drogi'!R329</f>
        <v>4984499</v>
      </c>
      <c r="L262" s="4476">
        <f>'Tab. 6A -Drogi'!S329</f>
        <v>0</v>
      </c>
      <c r="M262" s="4476">
        <f>'Tab. 6A -Drogi'!T329</f>
        <v>0</v>
      </c>
      <c r="N262" s="4476"/>
      <c r="O262" s="4476"/>
      <c r="P262" s="4476"/>
      <c r="Q262" s="4464"/>
      <c r="R262" s="4523"/>
    </row>
    <row r="263" spans="1:18" ht="13.5" customHeight="1" thickBot="1">
      <c r="A263" s="4524"/>
      <c r="B263" s="4530" t="s">
        <v>270</v>
      </c>
      <c r="C263" s="4531"/>
      <c r="D263" s="4499"/>
      <c r="E263" s="4500">
        <f>G263+F263+H263+I263+J263+K263</f>
        <v>1900090</v>
      </c>
      <c r="F263" s="4532">
        <f>'Tab. 6A -Drogi'!M333</f>
        <v>0</v>
      </c>
      <c r="G263" s="4532">
        <f>'Tab. 6A -Drogi'!N333</f>
        <v>0</v>
      </c>
      <c r="H263" s="4532">
        <f>'Tab. 6A -Drogi'!O333</f>
        <v>0</v>
      </c>
      <c r="I263" s="4532">
        <f>'Tab. 6A -Drogi'!P333</f>
        <v>1900090</v>
      </c>
      <c r="J263" s="4532">
        <f>'Tab. 6A -Drogi'!Q333</f>
        <v>0</v>
      </c>
      <c r="K263" s="4532">
        <f>'Tab. 6A -Drogi'!R333</f>
        <v>0</v>
      </c>
      <c r="L263" s="4532">
        <f>'Tab. 6A -Drogi'!S333</f>
        <v>0</v>
      </c>
      <c r="M263" s="4532">
        <f>'Tab. 6A -Drogi'!T333</f>
        <v>0</v>
      </c>
      <c r="N263" s="4532"/>
      <c r="O263" s="4532"/>
      <c r="P263" s="4532"/>
      <c r="Q263" s="4464"/>
      <c r="R263" s="4523"/>
    </row>
    <row r="264" spans="1:18" ht="15.75" customHeight="1" thickBot="1">
      <c r="A264" s="4533"/>
      <c r="B264" s="4534" t="s">
        <v>563</v>
      </c>
      <c r="C264" s="4535"/>
      <c r="D264" s="4536"/>
      <c r="E264" s="4537">
        <f>F264+H264+I264+J264+K264+L264+M264</f>
        <v>1900090</v>
      </c>
      <c r="F264" s="4538">
        <f>'Tab. 6A -Drogi'!M337</f>
        <v>0</v>
      </c>
      <c r="G264" s="4538">
        <f>'Tab. 6A -Drogi'!N337</f>
        <v>0</v>
      </c>
      <c r="H264" s="4538">
        <f>'Tab. 6A -Drogi'!O337</f>
        <v>0</v>
      </c>
      <c r="I264" s="4538">
        <f>'Tab. 6A -Drogi'!P337</f>
        <v>0</v>
      </c>
      <c r="J264" s="4538">
        <f>'Tab. 6A -Drogi'!Q337</f>
        <v>1900090</v>
      </c>
      <c r="K264" s="4538">
        <f>'Tab. 6A -Drogi'!R337</f>
        <v>0</v>
      </c>
      <c r="L264" s="4538">
        <f>'Tab. 6A -Drogi'!S337</f>
        <v>0</v>
      </c>
      <c r="M264" s="4538">
        <f>'Tab. 6A -Drogi'!T337</f>
        <v>0</v>
      </c>
      <c r="N264" s="4538"/>
      <c r="O264" s="4538"/>
      <c r="P264" s="4538"/>
      <c r="Q264" s="4482"/>
      <c r="R264" s="4523"/>
    </row>
    <row r="265" spans="1:18" ht="30" customHeight="1">
      <c r="A265" s="4516" t="s">
        <v>109</v>
      </c>
      <c r="B265" s="4541" t="str">
        <f>'Tab. 6A -Drogi'!B351</f>
        <v>Zakup kolejowego taboru pasażerskiego o napędzie spalinowym w ramach Osi V RPO (2016-2017)</v>
      </c>
      <c r="C265" s="4539" t="s">
        <v>564</v>
      </c>
      <c r="D265" s="4519">
        <f>E268/E266%</f>
        <v>85</v>
      </c>
      <c r="E265" s="4520"/>
      <c r="F265" s="4521"/>
      <c r="G265" s="4520"/>
      <c r="H265" s="4522"/>
      <c r="I265" s="4522"/>
      <c r="J265" s="4522"/>
      <c r="K265" s="4521"/>
      <c r="L265" s="4521"/>
      <c r="M265" s="4521"/>
      <c r="N265" s="4521"/>
      <c r="O265" s="4521"/>
      <c r="P265" s="4521"/>
      <c r="Q265" s="4491" t="s">
        <v>569</v>
      </c>
      <c r="R265" s="4523"/>
    </row>
    <row r="266" spans="1:18" ht="14.25" customHeight="1">
      <c r="A266" s="4524"/>
      <c r="B266" s="4525" t="s">
        <v>268</v>
      </c>
      <c r="C266" s="4505"/>
      <c r="D266" s="4506"/>
      <c r="E266" s="4507">
        <f>G266+F266+H266+I266+J266+K266+L266+M266</f>
        <v>36000000</v>
      </c>
      <c r="F266" s="4508">
        <f>'Tab. 6A -Drogi'!M352</f>
        <v>0</v>
      </c>
      <c r="G266" s="4508">
        <f>'Tab. 6A -Drogi'!N352</f>
        <v>0</v>
      </c>
      <c r="H266" s="4508">
        <f>'Tab. 6A -Drogi'!O352</f>
        <v>0</v>
      </c>
      <c r="I266" s="4508">
        <f>'Tab. 6A -Drogi'!P352</f>
        <v>0</v>
      </c>
      <c r="J266" s="4508">
        <f>'Tab. 6A -Drogi'!Q352</f>
        <v>36000000</v>
      </c>
      <c r="K266" s="4508">
        <f>'Tab. 6A -Drogi'!R352</f>
        <v>0</v>
      </c>
      <c r="L266" s="4508">
        <f>'Tab. 6A -Drogi'!S352</f>
        <v>0</v>
      </c>
      <c r="M266" s="4508">
        <f>'Tab. 6A -Drogi'!T352</f>
        <v>0</v>
      </c>
      <c r="N266" s="4508"/>
      <c r="O266" s="4508"/>
      <c r="P266" s="4508"/>
      <c r="Q266" s="4464"/>
      <c r="R266" s="4523"/>
    </row>
    <row r="267" spans="1:18" ht="24" customHeight="1">
      <c r="A267" s="4524"/>
      <c r="B267" s="4526" t="s">
        <v>570</v>
      </c>
      <c r="C267" s="4527"/>
      <c r="D267" s="4528"/>
      <c r="E267" s="4529">
        <f>G267+F267+H267+I267+J267+K267+L267+M267</f>
        <v>5400000</v>
      </c>
      <c r="F267" s="4476">
        <f>'Tab. 6A -Drogi'!M353</f>
        <v>0</v>
      </c>
      <c r="G267" s="4476">
        <f>'Tab. 6A -Drogi'!N353</f>
        <v>0</v>
      </c>
      <c r="H267" s="4476">
        <f>'Tab. 6A -Drogi'!O353</f>
        <v>0</v>
      </c>
      <c r="I267" s="4476">
        <f>'Tab. 6A -Drogi'!P353</f>
        <v>0</v>
      </c>
      <c r="J267" s="4476">
        <f>'Tab. 6A -Drogi'!Q353</f>
        <v>5400000</v>
      </c>
      <c r="K267" s="4476">
        <f>'Tab. 6A -Drogi'!R353</f>
        <v>0</v>
      </c>
      <c r="L267" s="4476">
        <f>'Tab. 6A -Drogi'!S353</f>
        <v>0</v>
      </c>
      <c r="M267" s="4476">
        <f>'Tab. 6A -Drogi'!T353</f>
        <v>0</v>
      </c>
      <c r="N267" s="4476"/>
      <c r="O267" s="4476"/>
      <c r="P267" s="4476"/>
      <c r="Q267" s="4464"/>
      <c r="R267" s="4523"/>
    </row>
    <row r="268" spans="1:18" ht="14.25" customHeight="1" thickBot="1">
      <c r="A268" s="4524"/>
      <c r="B268" s="4530" t="s">
        <v>270</v>
      </c>
      <c r="C268" s="4531"/>
      <c r="D268" s="4499"/>
      <c r="E268" s="4500">
        <f>G268+F268+H268+I268+J268+K268</f>
        <v>30600000</v>
      </c>
      <c r="F268" s="4532">
        <f>'Tab. 6A -Drogi'!M356</f>
        <v>0</v>
      </c>
      <c r="G268" s="4532">
        <f>'Tab. 6A -Drogi'!N356</f>
        <v>0</v>
      </c>
      <c r="H268" s="4532">
        <f>'Tab. 6A -Drogi'!O356</f>
        <v>0</v>
      </c>
      <c r="I268" s="4532">
        <f>'Tab. 6A -Drogi'!P356</f>
        <v>0</v>
      </c>
      <c r="J268" s="4532">
        <f>'Tab. 6A -Drogi'!Q356</f>
        <v>30600000</v>
      </c>
      <c r="K268" s="4532">
        <f>'Tab. 6A -Drogi'!R356</f>
        <v>0</v>
      </c>
      <c r="L268" s="4532">
        <f>'Tab. 6A -Drogi'!S356</f>
        <v>0</v>
      </c>
      <c r="M268" s="4532">
        <f>'Tab. 6A -Drogi'!T356</f>
        <v>0</v>
      </c>
      <c r="N268" s="4532"/>
      <c r="O268" s="4532"/>
      <c r="P268" s="4532"/>
      <c r="Q268" s="4464"/>
      <c r="R268" s="4523"/>
    </row>
    <row r="269" spans="1:18" ht="15.75" customHeight="1" thickBot="1">
      <c r="A269" s="4533"/>
      <c r="B269" s="4534" t="s">
        <v>563</v>
      </c>
      <c r="C269" s="4535"/>
      <c r="D269" s="4536"/>
      <c r="E269" s="4537">
        <f>F269+H269+I269+J269+K269+L269+M269</f>
        <v>30600000</v>
      </c>
      <c r="F269" s="4538">
        <f>'Tab. 6A -Drogi'!M361</f>
        <v>0</v>
      </c>
      <c r="G269" s="4538">
        <f>'Tab. 6A -Drogi'!N361</f>
        <v>0</v>
      </c>
      <c r="H269" s="4538">
        <f>'Tab. 6A -Drogi'!O361</f>
        <v>0</v>
      </c>
      <c r="I269" s="4538">
        <f>'Tab. 6A -Drogi'!P361</f>
        <v>0</v>
      </c>
      <c r="J269" s="4538">
        <f>'Tab. 6A -Drogi'!Q361</f>
        <v>30600000</v>
      </c>
      <c r="K269" s="4538">
        <f>'Tab. 6A -Drogi'!R361</f>
        <v>0</v>
      </c>
      <c r="L269" s="4538">
        <f>'Tab. 6A -Drogi'!S361</f>
        <v>0</v>
      </c>
      <c r="M269" s="4538">
        <f>'Tab. 6A -Drogi'!T361</f>
        <v>0</v>
      </c>
      <c r="N269" s="4538"/>
      <c r="O269" s="4538"/>
      <c r="P269" s="4538"/>
      <c r="Q269" s="4482"/>
      <c r="R269" s="4523"/>
    </row>
    <row r="270" spans="1:18" ht="30" customHeight="1">
      <c r="A270" s="4516" t="s">
        <v>110</v>
      </c>
      <c r="B270" s="4541" t="str">
        <f>'Tab. 6A -Drogi'!B363</f>
        <v>Zakup kolejowego taboru pasażerskiego o napędzie elektrycznym w ramach Osi V RPO (2016-2018)</v>
      </c>
      <c r="C270" s="4539" t="s">
        <v>564</v>
      </c>
      <c r="D270" s="4519">
        <f>E273/E271%</f>
        <v>85</v>
      </c>
      <c r="E270" s="4520"/>
      <c r="F270" s="4521"/>
      <c r="G270" s="4520"/>
      <c r="H270" s="4522"/>
      <c r="I270" s="4522"/>
      <c r="J270" s="4522"/>
      <c r="K270" s="4521"/>
      <c r="L270" s="4521"/>
      <c r="M270" s="4521"/>
      <c r="N270" s="4521"/>
      <c r="O270" s="4521"/>
      <c r="P270" s="4521"/>
      <c r="Q270" s="4491" t="s">
        <v>569</v>
      </c>
      <c r="R270" s="4523"/>
    </row>
    <row r="271" spans="1:18" ht="13.5" customHeight="1">
      <c r="A271" s="4524"/>
      <c r="B271" s="4525" t="s">
        <v>268</v>
      </c>
      <c r="C271" s="4505"/>
      <c r="D271" s="4506"/>
      <c r="E271" s="4507">
        <f>G271+F271+H271+I271+J271+K271+L271+M271</f>
        <v>246000000</v>
      </c>
      <c r="F271" s="4508">
        <f>'Tab. 6A -Drogi'!M364</f>
        <v>0</v>
      </c>
      <c r="G271" s="4508">
        <f>'Tab. 6A -Drogi'!N364</f>
        <v>0</v>
      </c>
      <c r="H271" s="4508">
        <f>'Tab. 6A -Drogi'!O364</f>
        <v>0</v>
      </c>
      <c r="I271" s="4508">
        <f>'Tab. 6A -Drogi'!P364</f>
        <v>0</v>
      </c>
      <c r="J271" s="4508">
        <f>'Tab. 6A -Drogi'!Q364</f>
        <v>132000000</v>
      </c>
      <c r="K271" s="4508">
        <f>'Tab. 6A -Drogi'!R364</f>
        <v>114000000</v>
      </c>
      <c r="L271" s="4508">
        <f>'Tab. 6A -Drogi'!S364</f>
        <v>0</v>
      </c>
      <c r="M271" s="4508">
        <f>'Tab. 6A -Drogi'!T364</f>
        <v>0</v>
      </c>
      <c r="N271" s="4508"/>
      <c r="O271" s="4508"/>
      <c r="P271" s="4508"/>
      <c r="Q271" s="4464"/>
      <c r="R271" s="4523"/>
    </row>
    <row r="272" spans="1:18" ht="24.75" customHeight="1">
      <c r="A272" s="4524"/>
      <c r="B272" s="4526" t="s">
        <v>570</v>
      </c>
      <c r="C272" s="4527"/>
      <c r="D272" s="4528"/>
      <c r="E272" s="4529">
        <f>G272+F272+H272+I272+J272+K272+L272+M272</f>
        <v>36900000</v>
      </c>
      <c r="F272" s="4476">
        <f>'Tab. 6A -Drogi'!M365</f>
        <v>0</v>
      </c>
      <c r="G272" s="4476">
        <f>'Tab. 6A -Drogi'!N365</f>
        <v>0</v>
      </c>
      <c r="H272" s="4476">
        <f>'Tab. 6A -Drogi'!O365</f>
        <v>0</v>
      </c>
      <c r="I272" s="4476">
        <f>'Tab. 6A -Drogi'!P365</f>
        <v>0</v>
      </c>
      <c r="J272" s="4476">
        <f>'Tab. 6A -Drogi'!Q365</f>
        <v>19800000</v>
      </c>
      <c r="K272" s="4476">
        <f>'Tab. 6A -Drogi'!R365</f>
        <v>17100000</v>
      </c>
      <c r="L272" s="4476">
        <f>'Tab. 6A -Drogi'!S365</f>
        <v>0</v>
      </c>
      <c r="M272" s="4476">
        <f>'Tab. 6A -Drogi'!T365</f>
        <v>0</v>
      </c>
      <c r="N272" s="4476"/>
      <c r="O272" s="4476"/>
      <c r="P272" s="4476"/>
      <c r="Q272" s="4464"/>
      <c r="R272" s="4523"/>
    </row>
    <row r="273" spans="1:18" ht="13.5" customHeight="1" thickBot="1">
      <c r="A273" s="4524"/>
      <c r="B273" s="4530" t="s">
        <v>270</v>
      </c>
      <c r="C273" s="4531"/>
      <c r="D273" s="4499"/>
      <c r="E273" s="4500">
        <f>G273+F273+H273+I273+J273+K273</f>
        <v>209100000</v>
      </c>
      <c r="F273" s="4532">
        <f>'Tab. 6A -Drogi'!M369</f>
        <v>0</v>
      </c>
      <c r="G273" s="4532">
        <f>'Tab. 6A -Drogi'!N369</f>
        <v>0</v>
      </c>
      <c r="H273" s="4532">
        <f>'Tab. 6A -Drogi'!O369</f>
        <v>0</v>
      </c>
      <c r="I273" s="4532">
        <f>'Tab. 6A -Drogi'!P369</f>
        <v>0</v>
      </c>
      <c r="J273" s="4532">
        <f>'Tab. 6A -Drogi'!Q369</f>
        <v>112200000</v>
      </c>
      <c r="K273" s="4532">
        <f>'Tab. 6A -Drogi'!R369</f>
        <v>96900000</v>
      </c>
      <c r="L273" s="4532">
        <f>'Tab. 6A -Drogi'!S369</f>
        <v>0</v>
      </c>
      <c r="M273" s="4532">
        <f>'Tab. 6A -Drogi'!T369</f>
        <v>0</v>
      </c>
      <c r="N273" s="4532"/>
      <c r="O273" s="4532"/>
      <c r="P273" s="4532"/>
      <c r="Q273" s="4464"/>
      <c r="R273" s="4523"/>
    </row>
    <row r="274" spans="1:18" ht="15" customHeight="1" thickBot="1">
      <c r="A274" s="4533"/>
      <c r="B274" s="4534" t="s">
        <v>563</v>
      </c>
      <c r="C274" s="4535"/>
      <c r="D274" s="4536"/>
      <c r="E274" s="4537">
        <f>F274+H274+I274+J274+K274+L274+M274</f>
        <v>209100000</v>
      </c>
      <c r="F274" s="4538">
        <f>'Tab. 6A -Drogi'!M375</f>
        <v>0</v>
      </c>
      <c r="G274" s="4538">
        <f>'Tab. 6A -Drogi'!N375</f>
        <v>0</v>
      </c>
      <c r="H274" s="4538">
        <f>'Tab. 6A -Drogi'!O375</f>
        <v>0</v>
      </c>
      <c r="I274" s="4538">
        <f>'Tab. 6A -Drogi'!P375</f>
        <v>0</v>
      </c>
      <c r="J274" s="4538">
        <f>'Tab. 6A -Drogi'!Q375</f>
        <v>112200000</v>
      </c>
      <c r="K274" s="4538">
        <f>'Tab. 6A -Drogi'!R375</f>
        <v>96900000</v>
      </c>
      <c r="L274" s="4538">
        <f>'Tab. 6A -Drogi'!S375</f>
        <v>0</v>
      </c>
      <c r="M274" s="4538">
        <f>'Tab. 6A -Drogi'!T375</f>
        <v>0</v>
      </c>
      <c r="N274" s="4538"/>
      <c r="O274" s="4538"/>
      <c r="P274" s="4538"/>
      <c r="Q274" s="4482"/>
      <c r="R274" s="4523"/>
    </row>
    <row r="275" spans="1:18" ht="30" customHeight="1">
      <c r="A275" s="4516" t="s">
        <v>111</v>
      </c>
      <c r="B275" s="4541" t="str">
        <f>'Tab. 6A -Drogi'!B399</f>
        <v>Przebudowa drogi wojewódzkiej nr 120 - przejście przez Wełtyń w ramach IW INTERREG V A (2016-2017)</v>
      </c>
      <c r="C275" s="4539" t="s">
        <v>564</v>
      </c>
      <c r="D275" s="4519">
        <f>E278/E276%</f>
        <v>76.078422222222216</v>
      </c>
      <c r="E275" s="4520"/>
      <c r="F275" s="4521"/>
      <c r="G275" s="4520"/>
      <c r="H275" s="4522"/>
      <c r="I275" s="4522"/>
      <c r="J275" s="4522"/>
      <c r="K275" s="4521"/>
      <c r="L275" s="4521"/>
      <c r="M275" s="4521"/>
      <c r="N275" s="4521"/>
      <c r="O275" s="4521"/>
      <c r="P275" s="4521"/>
      <c r="Q275" s="4491" t="s">
        <v>586</v>
      </c>
      <c r="R275" s="4523"/>
    </row>
    <row r="276" spans="1:18" ht="13.5" customHeight="1">
      <c r="A276" s="4524"/>
      <c r="B276" s="4525" t="s">
        <v>268</v>
      </c>
      <c r="C276" s="4505"/>
      <c r="D276" s="4506"/>
      <c r="E276" s="4507">
        <f>G276+F276+H276+I276+J276+K276+L276+M276</f>
        <v>9000000</v>
      </c>
      <c r="F276" s="4508">
        <f>'Tab. 6A -Drogi'!M400</f>
        <v>0</v>
      </c>
      <c r="G276" s="4508"/>
      <c r="H276" s="4508">
        <f>'Tab. 6A -Drogi'!O400</f>
        <v>0</v>
      </c>
      <c r="I276" s="4508">
        <f>'Tab. 6A -Drogi'!P400</f>
        <v>1680000</v>
      </c>
      <c r="J276" s="4508">
        <f>'Tab. 6A -Drogi'!Q400</f>
        <v>7320000</v>
      </c>
      <c r="K276" s="4508">
        <f>'Tab. 6A -Drogi'!R400</f>
        <v>0</v>
      </c>
      <c r="L276" s="4508">
        <f>'Tab. 6A -Drogi'!S400</f>
        <v>0</v>
      </c>
      <c r="M276" s="4508">
        <f>'Tab. 6A -Drogi'!T400</f>
        <v>0</v>
      </c>
      <c r="N276" s="4508">
        <f>'Tab. 6A -Drogi'!U400</f>
        <v>0</v>
      </c>
      <c r="O276" s="4508">
        <f>'Tab. 6A -Drogi'!V400</f>
        <v>0</v>
      </c>
      <c r="P276" s="4508">
        <f>'Tab. 6A -Drogi'!W400</f>
        <v>0</v>
      </c>
      <c r="Q276" s="4464"/>
      <c r="R276" s="4523"/>
    </row>
    <row r="277" spans="1:18" ht="24.75" customHeight="1">
      <c r="A277" s="4524"/>
      <c r="B277" s="4526" t="s">
        <v>584</v>
      </c>
      <c r="C277" s="4527"/>
      <c r="D277" s="4528"/>
      <c r="E277" s="4529">
        <f>G277+F277+H277+I277+J277+K277+L277+M277</f>
        <v>2152942</v>
      </c>
      <c r="F277" s="4476">
        <f>'Tab. 6A -Drogi'!M401</f>
        <v>0</v>
      </c>
      <c r="G277" s="4476"/>
      <c r="H277" s="4476">
        <f>'Tab. 6A -Drogi'!O401</f>
        <v>0</v>
      </c>
      <c r="I277" s="4476">
        <f>'Tab. 6A -Drogi'!P401</f>
        <v>409318</v>
      </c>
      <c r="J277" s="4476">
        <f>'Tab. 6A -Drogi'!Q401</f>
        <v>1743624</v>
      </c>
      <c r="K277" s="4476">
        <f>'Tab. 6A -Drogi'!R401</f>
        <v>0</v>
      </c>
      <c r="L277" s="4476">
        <f>'Tab. 6A -Drogi'!S401</f>
        <v>0</v>
      </c>
      <c r="M277" s="4476">
        <f>'Tab. 6A -Drogi'!T401</f>
        <v>0</v>
      </c>
      <c r="N277" s="4476">
        <f>'Tab. 6A -Drogi'!U401</f>
        <v>0</v>
      </c>
      <c r="O277" s="4476">
        <f>'Tab. 6A -Drogi'!V401</f>
        <v>0</v>
      </c>
      <c r="P277" s="4476">
        <f>'Tab. 6A -Drogi'!W401</f>
        <v>0</v>
      </c>
      <c r="Q277" s="4464"/>
      <c r="R277" s="4523"/>
    </row>
    <row r="278" spans="1:18" ht="13.5" customHeight="1" thickBot="1">
      <c r="A278" s="4524"/>
      <c r="B278" s="4530" t="s">
        <v>270</v>
      </c>
      <c r="C278" s="4531"/>
      <c r="D278" s="4499"/>
      <c r="E278" s="4500">
        <f>G278+F278+H278+I278+J278+K278</f>
        <v>6847058</v>
      </c>
      <c r="F278" s="4532">
        <f>'Tab. 6A -Drogi'!M403</f>
        <v>0</v>
      </c>
      <c r="G278" s="4532"/>
      <c r="H278" s="4532">
        <f>'Tab. 6A -Drogi'!O403</f>
        <v>0</v>
      </c>
      <c r="I278" s="4532">
        <f>'Tab. 6A -Drogi'!P403</f>
        <v>1270682</v>
      </c>
      <c r="J278" s="4532">
        <f>'Tab. 6A -Drogi'!Q403</f>
        <v>5576376</v>
      </c>
      <c r="K278" s="4532">
        <f>'Tab. 6A -Drogi'!R403</f>
        <v>0</v>
      </c>
      <c r="L278" s="4532">
        <f>'Tab. 6A -Drogi'!S403</f>
        <v>0</v>
      </c>
      <c r="M278" s="4532">
        <f>'Tab. 6A -Drogi'!T403</f>
        <v>0</v>
      </c>
      <c r="N278" s="4532">
        <f>'Tab. 6A -Drogi'!U403</f>
        <v>0</v>
      </c>
      <c r="O278" s="4532">
        <f>'Tab. 6A -Drogi'!V403</f>
        <v>0</v>
      </c>
      <c r="P278" s="4532">
        <f>'Tab. 6A -Drogi'!W403</f>
        <v>0</v>
      </c>
      <c r="Q278" s="4464"/>
      <c r="R278" s="4523"/>
    </row>
    <row r="279" spans="1:18" ht="15" customHeight="1" thickBot="1">
      <c r="A279" s="4533"/>
      <c r="B279" s="4534" t="s">
        <v>563</v>
      </c>
      <c r="C279" s="4535"/>
      <c r="D279" s="4536"/>
      <c r="E279" s="4537">
        <f>F279+H279+I279+J279+K279+L279+M279</f>
        <v>6847058</v>
      </c>
      <c r="F279" s="4538">
        <f>'Tab. 6A -Drogi'!M406</f>
        <v>0</v>
      </c>
      <c r="G279" s="4538"/>
      <c r="H279" s="4538">
        <f>'Tab. 6A -Drogi'!O406</f>
        <v>0</v>
      </c>
      <c r="I279" s="4538">
        <f>'Tab. 6A -Drogi'!P406</f>
        <v>0</v>
      </c>
      <c r="J279" s="4538">
        <f>'Tab. 6A -Drogi'!Q406</f>
        <v>3985934</v>
      </c>
      <c r="K279" s="4538">
        <f>'Tab. 6A -Drogi'!R406</f>
        <v>2861124</v>
      </c>
      <c r="L279" s="4538">
        <f>'Tab. 6A -Drogi'!S406</f>
        <v>0</v>
      </c>
      <c r="M279" s="4538">
        <f>'Tab. 6A -Drogi'!T406</f>
        <v>0</v>
      </c>
      <c r="N279" s="4538">
        <f>'Tab. 6A -Drogi'!U406</f>
        <v>0</v>
      </c>
      <c r="O279" s="4538">
        <f>'Tab. 6A -Drogi'!V406</f>
        <v>0</v>
      </c>
      <c r="P279" s="4538">
        <f>'Tab. 6A -Drogi'!W406</f>
        <v>0</v>
      </c>
      <c r="Q279" s="4482"/>
      <c r="R279" s="4523"/>
    </row>
    <row r="280" spans="1:18" ht="30" customHeight="1">
      <c r="A280" s="4516" t="s">
        <v>112</v>
      </c>
      <c r="B280" s="4541" t="str">
        <f>'Tab. 6A -Drogi'!B408</f>
        <v>Przebudowa i rozbudowa przejścia drogowego przez m. Tanowo na drodze woj. Nr 115 w ramach IW INTERREG V A (2010-2017)</v>
      </c>
      <c r="C280" s="4539" t="s">
        <v>564</v>
      </c>
      <c r="D280" s="4519">
        <f>E283/E281%</f>
        <v>72.599261552497964</v>
      </c>
      <c r="E280" s="4520"/>
      <c r="F280" s="4521"/>
      <c r="G280" s="4520"/>
      <c r="H280" s="4522"/>
      <c r="I280" s="4522"/>
      <c r="J280" s="4522"/>
      <c r="K280" s="4521"/>
      <c r="L280" s="4521"/>
      <c r="M280" s="4521"/>
      <c r="N280" s="4521"/>
      <c r="O280" s="4521"/>
      <c r="P280" s="4521"/>
      <c r="Q280" s="4491" t="s">
        <v>586</v>
      </c>
      <c r="R280" s="4523"/>
    </row>
    <row r="281" spans="1:18" ht="13.5" customHeight="1">
      <c r="A281" s="4524"/>
      <c r="B281" s="4525" t="s">
        <v>268</v>
      </c>
      <c r="C281" s="4505"/>
      <c r="D281" s="4506"/>
      <c r="E281" s="4507">
        <f>G281+F281+H281+I281+J281+K281+L281+M281</f>
        <v>8417660</v>
      </c>
      <c r="F281" s="4508">
        <f>'Tab. 6A -Drogi'!M409</f>
        <v>395660</v>
      </c>
      <c r="G281" s="4508"/>
      <c r="H281" s="4508">
        <f>'Tab. 6A -Drogi'!O409</f>
        <v>0</v>
      </c>
      <c r="I281" s="4508">
        <f>'Tab. 6A -Drogi'!P409</f>
        <v>1344000</v>
      </c>
      <c r="J281" s="4508">
        <f>'Tab. 6A -Drogi'!Q409</f>
        <v>6678000</v>
      </c>
      <c r="K281" s="4508">
        <f>'Tab. 6A -Drogi'!R409</f>
        <v>0</v>
      </c>
      <c r="L281" s="4508">
        <f>'Tab. 6A -Drogi'!S409</f>
        <v>0</v>
      </c>
      <c r="M281" s="4508">
        <f>'Tab. 6A -Drogi'!T409</f>
        <v>0</v>
      </c>
      <c r="N281" s="4508">
        <f>'Tab. 6A -Drogi'!U409</f>
        <v>0</v>
      </c>
      <c r="O281" s="4508">
        <f>'Tab. 6A -Drogi'!V409</f>
        <v>0</v>
      </c>
      <c r="P281" s="4508">
        <f>'Tab. 6A -Drogi'!W409</f>
        <v>0</v>
      </c>
      <c r="Q281" s="4464"/>
      <c r="R281" s="4523"/>
    </row>
    <row r="282" spans="1:18" ht="24.75" customHeight="1">
      <c r="A282" s="4524"/>
      <c r="B282" s="4526" t="s">
        <v>584</v>
      </c>
      <c r="C282" s="4527"/>
      <c r="D282" s="4528"/>
      <c r="E282" s="4529">
        <f>G282+F282+H282+I282+J282+K282+L282+M282</f>
        <v>2306501</v>
      </c>
      <c r="F282" s="4476">
        <f>'Tab. 6A -Drogi'!M410</f>
        <v>395660</v>
      </c>
      <c r="G282" s="4476"/>
      <c r="H282" s="4476">
        <f>'Tab. 6A -Drogi'!O410</f>
        <v>0</v>
      </c>
      <c r="I282" s="4476">
        <f>'Tab. 6A -Drogi'!P410</f>
        <v>320141</v>
      </c>
      <c r="J282" s="4476">
        <f>'Tab. 6A -Drogi'!Q410</f>
        <v>1590700</v>
      </c>
      <c r="K282" s="4476">
        <f>'Tab. 6A -Drogi'!R410</f>
        <v>0</v>
      </c>
      <c r="L282" s="4476">
        <f>'Tab. 6A -Drogi'!S410</f>
        <v>0</v>
      </c>
      <c r="M282" s="4476">
        <f>'Tab. 6A -Drogi'!T410</f>
        <v>0</v>
      </c>
      <c r="N282" s="4476">
        <f>'Tab. 6A -Drogi'!U410</f>
        <v>0</v>
      </c>
      <c r="O282" s="4476">
        <f>'Tab. 6A -Drogi'!V410</f>
        <v>0</v>
      </c>
      <c r="P282" s="4476">
        <f>'Tab. 6A -Drogi'!W410</f>
        <v>0</v>
      </c>
      <c r="Q282" s="4464"/>
      <c r="R282" s="4523"/>
    </row>
    <row r="283" spans="1:18" ht="13.5" customHeight="1" thickBot="1">
      <c r="A283" s="4524"/>
      <c r="B283" s="4530" t="s">
        <v>270</v>
      </c>
      <c r="C283" s="4531"/>
      <c r="D283" s="4499"/>
      <c r="E283" s="4500">
        <f>G283+F283+H283+I283+J283+K283+L283+M283+N283+O283+P283</f>
        <v>6111159</v>
      </c>
      <c r="F283" s="4532">
        <f>'Tab. 6A -Drogi'!M413</f>
        <v>0</v>
      </c>
      <c r="G283" s="4532"/>
      <c r="H283" s="4532">
        <f>'Tab. 6A -Drogi'!O413</f>
        <v>0</v>
      </c>
      <c r="I283" s="4532">
        <f>'Tab. 6A -Drogi'!P413</f>
        <v>1023859</v>
      </c>
      <c r="J283" s="4532">
        <f>'Tab. 6A -Drogi'!Q413</f>
        <v>5087300</v>
      </c>
      <c r="K283" s="4532">
        <f>'Tab. 6A -Drogi'!R413</f>
        <v>0</v>
      </c>
      <c r="L283" s="4532">
        <f>'Tab. 6A -Drogi'!S413</f>
        <v>0</v>
      </c>
      <c r="M283" s="4532">
        <f>'Tab. 6A -Drogi'!T413</f>
        <v>0</v>
      </c>
      <c r="N283" s="4532">
        <f>'Tab. 6A -Drogi'!U413</f>
        <v>0</v>
      </c>
      <c r="O283" s="4532">
        <f>'Tab. 6A -Drogi'!V413</f>
        <v>0</v>
      </c>
      <c r="P283" s="4532">
        <f>'Tab. 6A -Drogi'!W413</f>
        <v>0</v>
      </c>
      <c r="Q283" s="4464"/>
      <c r="R283" s="4523"/>
    </row>
    <row r="284" spans="1:18" ht="15" customHeight="1" thickBot="1">
      <c r="A284" s="4533"/>
      <c r="B284" s="4534" t="s">
        <v>563</v>
      </c>
      <c r="C284" s="4535"/>
      <c r="D284" s="4536"/>
      <c r="E284" s="4537">
        <f>F284+H284+I284+J284+K284+L284+M284</f>
        <v>6111159</v>
      </c>
      <c r="F284" s="4538">
        <f>'Tab. 6A -Drogi'!M418</f>
        <v>0</v>
      </c>
      <c r="G284" s="4538"/>
      <c r="H284" s="4538">
        <f>'Tab. 6A -Drogi'!O418</f>
        <v>0</v>
      </c>
      <c r="I284" s="4538">
        <f>'Tab. 6A -Drogi'!P418</f>
        <v>0</v>
      </c>
      <c r="J284" s="4538">
        <f>'Tab. 6A -Drogi'!Q418</f>
        <v>3555530</v>
      </c>
      <c r="K284" s="4538">
        <f>'Tab. 6A -Drogi'!R418</f>
        <v>2555629</v>
      </c>
      <c r="L284" s="4538">
        <f>'Tab. 6A -Drogi'!S418</f>
        <v>0</v>
      </c>
      <c r="M284" s="4538">
        <f>'Tab. 6A -Drogi'!T418</f>
        <v>0</v>
      </c>
      <c r="N284" s="4538">
        <f>'Tab. 6A -Drogi'!U418</f>
        <v>0</v>
      </c>
      <c r="O284" s="4538">
        <f>'Tab. 6A -Drogi'!V418</f>
        <v>0</v>
      </c>
      <c r="P284" s="4538">
        <f>'Tab. 6A -Drogi'!W418</f>
        <v>0</v>
      </c>
      <c r="Q284" s="4482"/>
      <c r="R284" s="4523"/>
    </row>
    <row r="285" spans="1:18" ht="29.25" customHeight="1">
      <c r="A285" s="4516" t="s">
        <v>114</v>
      </c>
      <c r="B285" s="4541" t="str">
        <f>'Tab. 6A -Drogi'!B420</f>
        <v>Przebudowa i rozbudowa przejścia drogi woj. nr 125 przez m. Golice i m. Klępicz w ramach IW INTERREG V A (2016-2017)</v>
      </c>
      <c r="C285" s="4539" t="s">
        <v>564</v>
      </c>
      <c r="D285" s="4519">
        <f>E288/E286%</f>
        <v>76.18000238441293</v>
      </c>
      <c r="E285" s="4520"/>
      <c r="F285" s="4521"/>
      <c r="G285" s="4520"/>
      <c r="H285" s="4522"/>
      <c r="I285" s="4522"/>
      <c r="J285" s="4522"/>
      <c r="K285" s="4521"/>
      <c r="L285" s="4521"/>
      <c r="M285" s="4521"/>
      <c r="N285" s="4521"/>
      <c r="O285" s="4521"/>
      <c r="P285" s="4521"/>
      <c r="Q285" s="4491" t="s">
        <v>586</v>
      </c>
      <c r="R285" s="4523"/>
    </row>
    <row r="286" spans="1:18" ht="15" customHeight="1">
      <c r="A286" s="4524"/>
      <c r="B286" s="4525" t="s">
        <v>268</v>
      </c>
      <c r="C286" s="4505"/>
      <c r="D286" s="4506"/>
      <c r="E286" s="4507">
        <f>G286+F286+H286+I286+J286+K286+L286+M286</f>
        <v>9042058</v>
      </c>
      <c r="F286" s="4508">
        <f>'Tab. 6A -Drogi'!M421</f>
        <v>0</v>
      </c>
      <c r="G286" s="4508"/>
      <c r="H286" s="4508">
        <f>'Tab. 6A -Drogi'!O421</f>
        <v>0</v>
      </c>
      <c r="I286" s="4508">
        <f>'Tab. 6A -Drogi'!P421</f>
        <v>1260000</v>
      </c>
      <c r="J286" s="4508">
        <f>'Tab. 6A -Drogi'!Q421</f>
        <v>7782058</v>
      </c>
      <c r="K286" s="4508">
        <f>'Tab. 6A -Drogi'!R421</f>
        <v>0</v>
      </c>
      <c r="L286" s="4508">
        <f>'Tab. 6A -Drogi'!S421</f>
        <v>0</v>
      </c>
      <c r="M286" s="4508">
        <f>'Tab. 6A -Drogi'!T421</f>
        <v>0</v>
      </c>
      <c r="N286" s="4508">
        <f>'Tab. 6A -Drogi'!U421</f>
        <v>0</v>
      </c>
      <c r="O286" s="4508">
        <f>'Tab. 6A -Drogi'!V421</f>
        <v>0</v>
      </c>
      <c r="P286" s="4508">
        <f>'Tab. 6A -Drogi'!W421</f>
        <v>0</v>
      </c>
      <c r="Q286" s="4464"/>
      <c r="R286" s="4523"/>
    </row>
    <row r="287" spans="1:18" ht="15" customHeight="1">
      <c r="A287" s="4524"/>
      <c r="B287" s="4526" t="s">
        <v>584</v>
      </c>
      <c r="C287" s="4527"/>
      <c r="D287" s="4528"/>
      <c r="E287" s="4529">
        <f>G287+F287+H287+I287+J287+K287+L287+M287</f>
        <v>2153818</v>
      </c>
      <c r="F287" s="4476">
        <f>'Tab. 6A -Drogi'!M422</f>
        <v>0</v>
      </c>
      <c r="G287" s="4476"/>
      <c r="H287" s="4476">
        <f>'Tab. 6A -Drogi'!O422</f>
        <v>0</v>
      </c>
      <c r="I287" s="4476">
        <f>'Tab. 6A -Drogi'!P422</f>
        <v>300132</v>
      </c>
      <c r="J287" s="4476">
        <f>'Tab. 6A -Drogi'!Q422</f>
        <v>1853686</v>
      </c>
      <c r="K287" s="4476">
        <f>'Tab. 6A -Drogi'!R422</f>
        <v>0</v>
      </c>
      <c r="L287" s="4476">
        <f>'Tab. 6A -Drogi'!S422</f>
        <v>0</v>
      </c>
      <c r="M287" s="4476">
        <f>'Tab. 6A -Drogi'!T422</f>
        <v>0</v>
      </c>
      <c r="N287" s="4476">
        <f>'Tab. 6A -Drogi'!U422</f>
        <v>0</v>
      </c>
      <c r="O287" s="4476">
        <f>'Tab. 6A -Drogi'!V422</f>
        <v>0</v>
      </c>
      <c r="P287" s="4476">
        <f>'Tab. 6A -Drogi'!W422</f>
        <v>0</v>
      </c>
      <c r="Q287" s="4464"/>
      <c r="R287" s="4523"/>
    </row>
    <row r="288" spans="1:18" ht="15" customHeight="1" thickBot="1">
      <c r="A288" s="4524"/>
      <c r="B288" s="4530" t="s">
        <v>270</v>
      </c>
      <c r="C288" s="4531"/>
      <c r="D288" s="4499"/>
      <c r="E288" s="4500">
        <f>G288+F288+H288+I288+J288+K288+L288+M288+N288+O288+P288</f>
        <v>6888240</v>
      </c>
      <c r="F288" s="4532">
        <f>'Tab. 6A -Drogi'!M424</f>
        <v>0</v>
      </c>
      <c r="G288" s="4532"/>
      <c r="H288" s="4532">
        <f>'Tab. 6A -Drogi'!O424</f>
        <v>0</v>
      </c>
      <c r="I288" s="4532">
        <f>'Tab. 6A -Drogi'!P424</f>
        <v>959868</v>
      </c>
      <c r="J288" s="4532">
        <f>'Tab. 6A -Drogi'!Q424</f>
        <v>5928372</v>
      </c>
      <c r="K288" s="4532">
        <f>'Tab. 6A -Drogi'!R424</f>
        <v>0</v>
      </c>
      <c r="L288" s="4532">
        <f>'Tab. 6A -Drogi'!S424</f>
        <v>0</v>
      </c>
      <c r="M288" s="4532">
        <f>'Tab. 6A -Drogi'!T424</f>
        <v>0</v>
      </c>
      <c r="N288" s="4532">
        <f>'Tab. 6A -Drogi'!U424</f>
        <v>0</v>
      </c>
      <c r="O288" s="4532">
        <f>'Tab. 6A -Drogi'!V424</f>
        <v>0</v>
      </c>
      <c r="P288" s="4532">
        <f>'Tab. 6A -Drogi'!W424</f>
        <v>0</v>
      </c>
      <c r="Q288" s="4464"/>
      <c r="R288" s="4523"/>
    </row>
    <row r="289" spans="1:18" ht="15" customHeight="1" thickBot="1">
      <c r="A289" s="4533"/>
      <c r="B289" s="4534" t="s">
        <v>563</v>
      </c>
      <c r="C289" s="4535"/>
      <c r="D289" s="4536"/>
      <c r="E289" s="4537">
        <f>F289+H289+I289+J289+K289+L289+M289</f>
        <v>6888240</v>
      </c>
      <c r="F289" s="4538">
        <f>'Tab. 6A -Drogi'!M426</f>
        <v>0</v>
      </c>
      <c r="G289" s="4538"/>
      <c r="H289" s="4538">
        <f>'Tab. 6A -Drogi'!O426</f>
        <v>0</v>
      </c>
      <c r="I289" s="4538">
        <f>'Tab. 6A -Drogi'!P426</f>
        <v>0</v>
      </c>
      <c r="J289" s="4538">
        <f>'Tab. 6A -Drogi'!Q426</f>
        <v>3909880</v>
      </c>
      <c r="K289" s="4538">
        <f>'Tab. 6A -Drogi'!R426</f>
        <v>2978360</v>
      </c>
      <c r="L289" s="4538">
        <f>'Tab. 6A -Drogi'!S426</f>
        <v>0</v>
      </c>
      <c r="M289" s="4538">
        <f>'Tab. 6A -Drogi'!T426</f>
        <v>0</v>
      </c>
      <c r="N289" s="4538">
        <f>'Tab. 6A -Drogi'!U426</f>
        <v>0</v>
      </c>
      <c r="O289" s="4538">
        <f>'Tab. 6A -Drogi'!V426</f>
        <v>0</v>
      </c>
      <c r="P289" s="4538">
        <f>'Tab. 6A -Drogi'!W426</f>
        <v>0</v>
      </c>
      <c r="Q289" s="4482"/>
      <c r="R289" s="4523"/>
    </row>
    <row r="290" spans="1:18" ht="25.5" customHeight="1">
      <c r="A290" s="4516" t="s">
        <v>115</v>
      </c>
      <c r="B290" s="4541" t="str">
        <f>'Tab. 6A -Drogi'!B429</f>
        <v>Przebudowa i rozbudowa przejścia drogi woj. nr 114 przez m. Brzózki w ramach IW INTERREG V A (2016-2017)</v>
      </c>
      <c r="C290" s="4539" t="s">
        <v>564</v>
      </c>
      <c r="D290" s="4519">
        <f>E293/E291%</f>
        <v>76.180000000000007</v>
      </c>
      <c r="E290" s="4520"/>
      <c r="F290" s="4521"/>
      <c r="G290" s="4520"/>
      <c r="H290" s="4522"/>
      <c r="I290" s="4522"/>
      <c r="J290" s="4522"/>
      <c r="K290" s="4521"/>
      <c r="L290" s="4521"/>
      <c r="M290" s="4521"/>
      <c r="N290" s="4521"/>
      <c r="O290" s="4521"/>
      <c r="P290" s="4521"/>
      <c r="Q290" s="4491" t="s">
        <v>586</v>
      </c>
      <c r="R290" s="4523"/>
    </row>
    <row r="291" spans="1:18" ht="15" customHeight="1">
      <c r="A291" s="4524"/>
      <c r="B291" s="4525" t="s">
        <v>268</v>
      </c>
      <c r="C291" s="4505"/>
      <c r="D291" s="4506"/>
      <c r="E291" s="4507">
        <f>G291+F291+H291+I291+J291+K291+L291+M291</f>
        <v>4410000</v>
      </c>
      <c r="F291" s="4508">
        <f>'Tab. 6A -Drogi'!M430</f>
        <v>0</v>
      </c>
      <c r="G291" s="4508">
        <f>'Tab. 6A -Drogi'!N430</f>
        <v>0</v>
      </c>
      <c r="H291" s="4508">
        <f>'Tab. 6A -Drogi'!O430</f>
        <v>0</v>
      </c>
      <c r="I291" s="4508">
        <f>'Tab. 6A -Drogi'!P430</f>
        <v>1764000</v>
      </c>
      <c r="J291" s="4508">
        <f>'Tab. 6A -Drogi'!Q430</f>
        <v>2646000</v>
      </c>
      <c r="K291" s="4508">
        <f>'Tab. 6A -Drogi'!R430</f>
        <v>0</v>
      </c>
      <c r="L291" s="4508">
        <f>'Tab. 6A -Drogi'!S430</f>
        <v>0</v>
      </c>
      <c r="M291" s="4508">
        <f>'Tab. 6A -Drogi'!T430</f>
        <v>0</v>
      </c>
      <c r="N291" s="4508">
        <f>'Tab. 6A -Drogi'!U430</f>
        <v>0</v>
      </c>
      <c r="O291" s="4508">
        <f>'Tab. 6A -Drogi'!V430</f>
        <v>0</v>
      </c>
      <c r="P291" s="4508">
        <f>'Tab. 6A -Drogi'!W430</f>
        <v>0</v>
      </c>
      <c r="Q291" s="4464"/>
      <c r="R291" s="4523"/>
    </row>
    <row r="292" spans="1:18" ht="15" customHeight="1">
      <c r="A292" s="4524"/>
      <c r="B292" s="4526" t="s">
        <v>584</v>
      </c>
      <c r="C292" s="4527"/>
      <c r="D292" s="4528"/>
      <c r="E292" s="4529">
        <f>G292+F292+H292+I292+J292+K292+L292+M292</f>
        <v>1050462</v>
      </c>
      <c r="F292" s="4476">
        <f>'Tab. 6A -Drogi'!M431</f>
        <v>0</v>
      </c>
      <c r="G292" s="4476">
        <f>'Tab. 6A -Drogi'!N431</f>
        <v>0</v>
      </c>
      <c r="H292" s="4476">
        <f>'Tab. 6A -Drogi'!O431</f>
        <v>0</v>
      </c>
      <c r="I292" s="4476">
        <f>'Tab. 6A -Drogi'!P431</f>
        <v>420185</v>
      </c>
      <c r="J292" s="4476">
        <f>'Tab. 6A -Drogi'!Q431</f>
        <v>630277</v>
      </c>
      <c r="K292" s="4476">
        <f>'Tab. 6A -Drogi'!R431</f>
        <v>0</v>
      </c>
      <c r="L292" s="4476">
        <f>'Tab. 6A -Drogi'!S431</f>
        <v>0</v>
      </c>
      <c r="M292" s="4476">
        <f>'Tab. 6A -Drogi'!T431</f>
        <v>0</v>
      </c>
      <c r="N292" s="4476">
        <f>'Tab. 6A -Drogi'!U431</f>
        <v>0</v>
      </c>
      <c r="O292" s="4476">
        <f>'Tab. 6A -Drogi'!V431</f>
        <v>0</v>
      </c>
      <c r="P292" s="4476">
        <f>'Tab. 6A -Drogi'!W431</f>
        <v>0</v>
      </c>
      <c r="Q292" s="4464"/>
      <c r="R292" s="4523"/>
    </row>
    <row r="293" spans="1:18" ht="15" customHeight="1" thickBot="1">
      <c r="A293" s="4524"/>
      <c r="B293" s="4530" t="s">
        <v>270</v>
      </c>
      <c r="C293" s="4531"/>
      <c r="D293" s="4499"/>
      <c r="E293" s="4500">
        <f>G293+F293+H293+I293+J293+K293+L293+M293+N293+O293+P293</f>
        <v>3359538</v>
      </c>
      <c r="F293" s="4532">
        <f>'Tab. 6A -Drogi'!M433</f>
        <v>0</v>
      </c>
      <c r="G293" s="4532">
        <f>'Tab. 6A -Drogi'!N433</f>
        <v>0</v>
      </c>
      <c r="H293" s="4532">
        <f>'Tab. 6A -Drogi'!O433</f>
        <v>0</v>
      </c>
      <c r="I293" s="4532">
        <f>'Tab. 6A -Drogi'!P433</f>
        <v>1343815</v>
      </c>
      <c r="J293" s="4532">
        <f>'Tab. 6A -Drogi'!Q433</f>
        <v>2015723</v>
      </c>
      <c r="K293" s="4532">
        <f>'Tab. 6A -Drogi'!R433</f>
        <v>0</v>
      </c>
      <c r="L293" s="4532">
        <f>'Tab. 6A -Drogi'!S433</f>
        <v>0</v>
      </c>
      <c r="M293" s="4532">
        <f>'Tab. 6A -Drogi'!T433</f>
        <v>0</v>
      </c>
      <c r="N293" s="4532">
        <f>'Tab. 6A -Drogi'!U433</f>
        <v>0</v>
      </c>
      <c r="O293" s="4532">
        <f>'Tab. 6A -Drogi'!V433</f>
        <v>0</v>
      </c>
      <c r="P293" s="4532">
        <f>'Tab. 6A -Drogi'!W433</f>
        <v>0</v>
      </c>
      <c r="Q293" s="4464"/>
      <c r="R293" s="4523"/>
    </row>
    <row r="294" spans="1:18" ht="15" customHeight="1" thickBot="1">
      <c r="A294" s="4533"/>
      <c r="B294" s="4534" t="s">
        <v>563</v>
      </c>
      <c r="C294" s="4535"/>
      <c r="D294" s="4536"/>
      <c r="E294" s="4537">
        <f>F294+H294+I294+J294+K294+L294+M294</f>
        <v>3359538</v>
      </c>
      <c r="F294" s="4538">
        <f>'Tab. 6A -Drogi'!M436</f>
        <v>0</v>
      </c>
      <c r="G294" s="4538">
        <f>'Tab. 6A -Drogi'!N436</f>
        <v>0</v>
      </c>
      <c r="H294" s="4538">
        <f>'Tab. 6A -Drogi'!O436</f>
        <v>0</v>
      </c>
      <c r="I294" s="4538">
        <f>'Tab. 6A -Drogi'!P436</f>
        <v>0</v>
      </c>
      <c r="J294" s="4538">
        <f>'Tab. 6A -Drogi'!Q436</f>
        <v>2334228</v>
      </c>
      <c r="K294" s="4538">
        <f>'Tab. 6A -Drogi'!R436</f>
        <v>1025310</v>
      </c>
      <c r="L294" s="4538">
        <f>'Tab. 6A -Drogi'!S436</f>
        <v>0</v>
      </c>
      <c r="M294" s="4538">
        <f>'Tab. 6A -Drogi'!T436</f>
        <v>0</v>
      </c>
      <c r="N294" s="4538">
        <f>'Tab. 6A -Drogi'!U436</f>
        <v>0</v>
      </c>
      <c r="O294" s="4538">
        <f>'Tab. 6A -Drogi'!V436</f>
        <v>0</v>
      </c>
      <c r="P294" s="4538">
        <f>'Tab. 6A -Drogi'!W436</f>
        <v>0</v>
      </c>
      <c r="Q294" s="4482"/>
      <c r="R294" s="4523"/>
    </row>
    <row r="295" spans="1:18" ht="32.25" customHeight="1">
      <c r="A295" s="4516" t="s">
        <v>116</v>
      </c>
      <c r="B295" s="4541" t="str">
        <f>'Tab. 6A -Drogi'!B438</f>
        <v>Przebudowa i rozbudowa przejścia drogi woj. nr 122 przez m. Krzywin (etap II) w ramach IW INTERREG V A (2018-2019)</v>
      </c>
      <c r="C295" s="4539" t="s">
        <v>564</v>
      </c>
      <c r="D295" s="4519">
        <f>E298/E296%</f>
        <v>76.179988662131521</v>
      </c>
      <c r="E295" s="4520"/>
      <c r="F295" s="4521"/>
      <c r="G295" s="4520"/>
      <c r="H295" s="4522"/>
      <c r="I295" s="4522"/>
      <c r="J295" s="4522"/>
      <c r="K295" s="4521"/>
      <c r="L295" s="4521"/>
      <c r="M295" s="4521"/>
      <c r="N295" s="4521"/>
      <c r="O295" s="4521"/>
      <c r="P295" s="4521"/>
      <c r="Q295" s="4491" t="s">
        <v>586</v>
      </c>
      <c r="R295" s="4523"/>
    </row>
    <row r="296" spans="1:18" ht="15" customHeight="1">
      <c r="A296" s="4524"/>
      <c r="B296" s="4525" t="s">
        <v>268</v>
      </c>
      <c r="C296" s="4505"/>
      <c r="D296" s="4506"/>
      <c r="E296" s="4507">
        <f>G296+F296+H296+I296+J296+K296+L296+M296</f>
        <v>7056000</v>
      </c>
      <c r="F296" s="4508">
        <f>'Tab. 6A -Drogi'!M439</f>
        <v>0</v>
      </c>
      <c r="G296" s="4508">
        <f>'Tab. 6A -Drogi'!N439</f>
        <v>0</v>
      </c>
      <c r="H296" s="4508">
        <f>'Tab. 6A -Drogi'!O439</f>
        <v>0</v>
      </c>
      <c r="I296" s="4508">
        <f>'Tab. 6A -Drogi'!P439</f>
        <v>0</v>
      </c>
      <c r="J296" s="4508">
        <f>'Tab. 6A -Drogi'!Q439</f>
        <v>0</v>
      </c>
      <c r="K296" s="4508">
        <f>'Tab. 6A -Drogi'!R439</f>
        <v>2610720</v>
      </c>
      <c r="L296" s="4508">
        <f>'Tab. 6A -Drogi'!S439</f>
        <v>4445280</v>
      </c>
      <c r="M296" s="4508">
        <f>'Tab. 6A -Drogi'!T439</f>
        <v>0</v>
      </c>
      <c r="N296" s="4508">
        <f>'Tab. 6A -Drogi'!U439</f>
        <v>0</v>
      </c>
      <c r="O296" s="4508">
        <f>'Tab. 6A -Drogi'!V439</f>
        <v>0</v>
      </c>
      <c r="P296" s="4508">
        <f>'Tab. 6A -Drogi'!W439</f>
        <v>0</v>
      </c>
      <c r="Q296" s="4464"/>
      <c r="R296" s="4523"/>
    </row>
    <row r="297" spans="1:18" ht="15" customHeight="1">
      <c r="A297" s="4524"/>
      <c r="B297" s="4526" t="s">
        <v>584</v>
      </c>
      <c r="C297" s="4527"/>
      <c r="D297" s="4528"/>
      <c r="E297" s="4529">
        <f>G297+F297+H297+I297+J297+K297+L297+M297</f>
        <v>1680740</v>
      </c>
      <c r="F297" s="4476">
        <f>'Tab. 6A -Drogi'!M440</f>
        <v>0</v>
      </c>
      <c r="G297" s="4476">
        <f>'Tab. 6A -Drogi'!N440</f>
        <v>0</v>
      </c>
      <c r="H297" s="4476">
        <f>'Tab. 6A -Drogi'!O440</f>
        <v>0</v>
      </c>
      <c r="I297" s="4476">
        <f>'Tab. 6A -Drogi'!P440</f>
        <v>0</v>
      </c>
      <c r="J297" s="4476">
        <f>'Tab. 6A -Drogi'!Q440</f>
        <v>0</v>
      </c>
      <c r="K297" s="4476">
        <f>'Tab. 6A -Drogi'!R440</f>
        <v>621874</v>
      </c>
      <c r="L297" s="4476">
        <f>'Tab. 6A -Drogi'!S440</f>
        <v>1058866</v>
      </c>
      <c r="M297" s="4476">
        <f>'Tab. 6A -Drogi'!T440</f>
        <v>0</v>
      </c>
      <c r="N297" s="4476">
        <f>'Tab. 6A -Drogi'!U440</f>
        <v>0</v>
      </c>
      <c r="O297" s="4476">
        <f>'Tab. 6A -Drogi'!V440</f>
        <v>0</v>
      </c>
      <c r="P297" s="4476">
        <f>'Tab. 6A -Drogi'!W440</f>
        <v>0</v>
      </c>
      <c r="Q297" s="4464"/>
      <c r="R297" s="4523"/>
    </row>
    <row r="298" spans="1:18" ht="15" customHeight="1" thickBot="1">
      <c r="A298" s="4524"/>
      <c r="B298" s="4530" t="s">
        <v>270</v>
      </c>
      <c r="C298" s="4531"/>
      <c r="D298" s="4499"/>
      <c r="E298" s="4500">
        <f>G298+F298+H298+I298+J298+K298+L298+M298+N298+O298+P298</f>
        <v>5375260</v>
      </c>
      <c r="F298" s="4532">
        <f>'Tab. 6A -Drogi'!M442</f>
        <v>0</v>
      </c>
      <c r="G298" s="4532">
        <f>'Tab. 6A -Drogi'!N442</f>
        <v>0</v>
      </c>
      <c r="H298" s="4532">
        <f>'Tab. 6A -Drogi'!O442</f>
        <v>0</v>
      </c>
      <c r="I298" s="4532">
        <f>'Tab. 6A -Drogi'!P442</f>
        <v>0</v>
      </c>
      <c r="J298" s="4532">
        <f>'Tab. 6A -Drogi'!Q442</f>
        <v>0</v>
      </c>
      <c r="K298" s="4532">
        <f>'Tab. 6A -Drogi'!R442</f>
        <v>1988846</v>
      </c>
      <c r="L298" s="4532">
        <f>'Tab. 6A -Drogi'!S442</f>
        <v>3386414</v>
      </c>
      <c r="M298" s="4532">
        <f>'Tab. 6A -Drogi'!T442</f>
        <v>0</v>
      </c>
      <c r="N298" s="4532">
        <f>'Tab. 6A -Drogi'!U442</f>
        <v>0</v>
      </c>
      <c r="O298" s="4532">
        <f>'Tab. 6A -Drogi'!V442</f>
        <v>0</v>
      </c>
      <c r="P298" s="4532">
        <f>'Tab. 6A -Drogi'!W442</f>
        <v>0</v>
      </c>
      <c r="Q298" s="4464"/>
      <c r="R298" s="4523"/>
    </row>
    <row r="299" spans="1:18" ht="15" customHeight="1" thickBot="1">
      <c r="A299" s="4533"/>
      <c r="B299" s="4534" t="s">
        <v>563</v>
      </c>
      <c r="C299" s="4535"/>
      <c r="D299" s="4536"/>
      <c r="E299" s="4537">
        <f>F299+H299+I299+J299+K299+L299+M299</f>
        <v>5375260</v>
      </c>
      <c r="F299" s="4538">
        <f>'Tab. 6A -Drogi'!M445</f>
        <v>0</v>
      </c>
      <c r="G299" s="4538">
        <f>'Tab. 6A -Drogi'!N445</f>
        <v>0</v>
      </c>
      <c r="H299" s="4538">
        <f>'Tab. 6A -Drogi'!O445</f>
        <v>0</v>
      </c>
      <c r="I299" s="4538">
        <f>'Tab. 6A -Drogi'!P445</f>
        <v>0</v>
      </c>
      <c r="J299" s="4538">
        <f>'Tab. 6A -Drogi'!Q445</f>
        <v>0</v>
      </c>
      <c r="K299" s="4538">
        <f>'Tab. 6A -Drogi'!R445</f>
        <v>0</v>
      </c>
      <c r="L299" s="4538">
        <f>'Tab. 6A -Drogi'!S445</f>
        <v>3657763</v>
      </c>
      <c r="M299" s="4538">
        <f>'Tab. 6A -Drogi'!T445</f>
        <v>1717497</v>
      </c>
      <c r="N299" s="4538">
        <f>'Tab. 6A -Drogi'!U445</f>
        <v>0</v>
      </c>
      <c r="O299" s="4538">
        <f>'Tab. 6A -Drogi'!V445</f>
        <v>0</v>
      </c>
      <c r="P299" s="4538">
        <f>'Tab. 6A -Drogi'!W445</f>
        <v>0</v>
      </c>
      <c r="Q299" s="4482"/>
      <c r="R299" s="4523"/>
    </row>
    <row r="300" spans="1:18" ht="32.25" customHeight="1">
      <c r="A300" s="4516" t="s">
        <v>119</v>
      </c>
      <c r="B300" s="4541" t="str">
        <f>'Tab. 6A -Drogi'!B447</f>
        <v>Przebudowa i rozbudowa przejścia drogi woj. nr 125 przez m. Moryń i m. Bielin w ramach IW INTERREG V A (2018-2019)</v>
      </c>
      <c r="C300" s="4539" t="s">
        <v>564</v>
      </c>
      <c r="D300" s="4519">
        <f>E303/E301%</f>
        <v>76.180003871467292</v>
      </c>
      <c r="E300" s="4520"/>
      <c r="F300" s="4521"/>
      <c r="G300" s="4520"/>
      <c r="H300" s="4522"/>
      <c r="I300" s="4522"/>
      <c r="J300" s="4522"/>
      <c r="K300" s="4521"/>
      <c r="L300" s="4521"/>
      <c r="M300" s="4521"/>
      <c r="N300" s="4521"/>
      <c r="O300" s="4521"/>
      <c r="P300" s="4521"/>
      <c r="Q300" s="4491" t="s">
        <v>586</v>
      </c>
      <c r="R300" s="4523"/>
    </row>
    <row r="301" spans="1:18" ht="15" customHeight="1">
      <c r="A301" s="4524"/>
      <c r="B301" s="4525" t="s">
        <v>268</v>
      </c>
      <c r="C301" s="4505"/>
      <c r="D301" s="4506"/>
      <c r="E301" s="4507">
        <f>G301+F301+H301+I301+J301+K301+L301+M301</f>
        <v>5166000</v>
      </c>
      <c r="F301" s="4508">
        <f>'Tab. 6A -Drogi'!M448</f>
        <v>0</v>
      </c>
      <c r="G301" s="4508">
        <f>'Tab. 6A -Drogi'!N448</f>
        <v>0</v>
      </c>
      <c r="H301" s="4508">
        <f>'Tab. 6A -Drogi'!O448</f>
        <v>0</v>
      </c>
      <c r="I301" s="4508">
        <f>'Tab. 6A -Drogi'!P448</f>
        <v>0</v>
      </c>
      <c r="J301" s="4508">
        <f>'Tab. 6A -Drogi'!Q448</f>
        <v>0</v>
      </c>
      <c r="K301" s="4508">
        <f>'Tab. 6A -Drogi'!R448</f>
        <v>1911420</v>
      </c>
      <c r="L301" s="4508">
        <f>'Tab. 6A -Drogi'!S448</f>
        <v>3254580</v>
      </c>
      <c r="M301" s="4508">
        <f>'Tab. 6A -Drogi'!T448</f>
        <v>0</v>
      </c>
      <c r="N301" s="4508">
        <f>'Tab. 6A -Drogi'!U448</f>
        <v>0</v>
      </c>
      <c r="O301" s="4508">
        <f>'Tab. 6A -Drogi'!V448</f>
        <v>0</v>
      </c>
      <c r="P301" s="4508">
        <f>'Tab. 6A -Drogi'!W448</f>
        <v>0</v>
      </c>
      <c r="Q301" s="4464"/>
      <c r="R301" s="4523"/>
    </row>
    <row r="302" spans="1:18" ht="15" customHeight="1">
      <c r="A302" s="4524"/>
      <c r="B302" s="4526" t="s">
        <v>584</v>
      </c>
      <c r="C302" s="4527"/>
      <c r="D302" s="4528"/>
      <c r="E302" s="4529">
        <f>G302+F302+H302+I302+J302+K302+L302+M302</f>
        <v>1230541</v>
      </c>
      <c r="F302" s="4476">
        <f>'Tab. 6A -Drogi'!M449</f>
        <v>0</v>
      </c>
      <c r="G302" s="4476">
        <f>'Tab. 6A -Drogi'!N449</f>
        <v>0</v>
      </c>
      <c r="H302" s="4476">
        <f>'Tab. 6A -Drogi'!O449</f>
        <v>0</v>
      </c>
      <c r="I302" s="4476">
        <f>'Tab. 6A -Drogi'!P449</f>
        <v>0</v>
      </c>
      <c r="J302" s="4476">
        <f>'Tab. 6A -Drogi'!Q449</f>
        <v>0</v>
      </c>
      <c r="K302" s="4476">
        <f>'Tab. 6A -Drogi'!R449</f>
        <v>455300</v>
      </c>
      <c r="L302" s="4476">
        <f>'Tab. 6A -Drogi'!S449</f>
        <v>775241</v>
      </c>
      <c r="M302" s="4476">
        <f>'Tab. 6A -Drogi'!T449</f>
        <v>0</v>
      </c>
      <c r="N302" s="4476">
        <f>'Tab. 6A -Drogi'!U449</f>
        <v>0</v>
      </c>
      <c r="O302" s="4476">
        <f>'Tab. 6A -Drogi'!V449</f>
        <v>0</v>
      </c>
      <c r="P302" s="4476">
        <f>'Tab. 6A -Drogi'!W449</f>
        <v>0</v>
      </c>
      <c r="Q302" s="4464"/>
      <c r="R302" s="4523"/>
    </row>
    <row r="303" spans="1:18" ht="15" customHeight="1" thickBot="1">
      <c r="A303" s="4524"/>
      <c r="B303" s="4530" t="s">
        <v>270</v>
      </c>
      <c r="C303" s="4531"/>
      <c r="D303" s="4499"/>
      <c r="E303" s="4500">
        <f>G303+F303+H303+I303+J303+K303+L303+M303+N303+O303+P303</f>
        <v>3935459</v>
      </c>
      <c r="F303" s="4532">
        <f>'Tab. 6A -Drogi'!M451</f>
        <v>0</v>
      </c>
      <c r="G303" s="4532">
        <f>'Tab. 6A -Drogi'!N451</f>
        <v>0</v>
      </c>
      <c r="H303" s="4532">
        <f>'Tab. 6A -Drogi'!O451</f>
        <v>0</v>
      </c>
      <c r="I303" s="4532">
        <f>'Tab. 6A -Drogi'!P451</f>
        <v>0</v>
      </c>
      <c r="J303" s="4532">
        <f>'Tab. 6A -Drogi'!Q451</f>
        <v>0</v>
      </c>
      <c r="K303" s="4532">
        <f>'Tab. 6A -Drogi'!R451</f>
        <v>1456120</v>
      </c>
      <c r="L303" s="4532">
        <f>'Tab. 6A -Drogi'!S451</f>
        <v>2479339</v>
      </c>
      <c r="M303" s="4532">
        <f>'Tab. 6A -Drogi'!T451</f>
        <v>0</v>
      </c>
      <c r="N303" s="4532">
        <f>'Tab. 6A -Drogi'!U451</f>
        <v>0</v>
      </c>
      <c r="O303" s="4532">
        <f>'Tab. 6A -Drogi'!V451</f>
        <v>0</v>
      </c>
      <c r="P303" s="4532">
        <f>'Tab. 6A -Drogi'!W451</f>
        <v>0</v>
      </c>
      <c r="Q303" s="4464"/>
      <c r="R303" s="4523"/>
    </row>
    <row r="304" spans="1:18" ht="15" customHeight="1" thickBot="1">
      <c r="A304" s="4533"/>
      <c r="B304" s="4534" t="s">
        <v>563</v>
      </c>
      <c r="C304" s="4535"/>
      <c r="D304" s="4536"/>
      <c r="E304" s="4537">
        <f>F304+H304+I304+J304+K304+L304+M304</f>
        <v>3935459</v>
      </c>
      <c r="F304" s="4538">
        <f>'Tab. 6A -Drogi'!M454</f>
        <v>0</v>
      </c>
      <c r="G304" s="4538">
        <f>'Tab. 6A -Drogi'!N454</f>
        <v>0</v>
      </c>
      <c r="H304" s="4538">
        <f>'Tab. 6A -Drogi'!O454</f>
        <v>0</v>
      </c>
      <c r="I304" s="4538">
        <f>'Tab. 6A -Drogi'!P454</f>
        <v>0</v>
      </c>
      <c r="J304" s="4538">
        <f>'Tab. 6A -Drogi'!Q454</f>
        <v>0</v>
      </c>
      <c r="K304" s="4538">
        <f>'Tab. 6A -Drogi'!R454</f>
        <v>0</v>
      </c>
      <c r="L304" s="4538">
        <f>'Tab. 6A -Drogi'!S454</f>
        <v>2671398</v>
      </c>
      <c r="M304" s="4538">
        <f>'Tab. 6A -Drogi'!T454</f>
        <v>1264061</v>
      </c>
      <c r="N304" s="4538">
        <f>'Tab. 6A -Drogi'!U454</f>
        <v>0</v>
      </c>
      <c r="O304" s="4538">
        <f>'Tab. 6A -Drogi'!V454</f>
        <v>0</v>
      </c>
      <c r="P304" s="4538">
        <f>'Tab. 6A -Drogi'!W454</f>
        <v>0</v>
      </c>
      <c r="Q304" s="4482"/>
      <c r="R304" s="4523"/>
    </row>
    <row r="305" spans="1:18" ht="28.5" customHeight="1">
      <c r="A305" s="4516" t="s">
        <v>111</v>
      </c>
      <c r="B305" s="4541" t="str">
        <f>'Tab. 6H - Kultura fiz. i turyst'!B94</f>
        <v>Budowa sieci tras rowerowych Pomorza Zachodniego - Trasa Pojezierna w ramach Osi IV RPO (2016-2018)</v>
      </c>
      <c r="C305" s="4539" t="s">
        <v>564</v>
      </c>
      <c r="D305" s="4519">
        <f>E308/E306%</f>
        <v>82.975877598923503</v>
      </c>
      <c r="E305" s="4520"/>
      <c r="F305" s="4521"/>
      <c r="G305" s="4520"/>
      <c r="H305" s="4522"/>
      <c r="I305" s="4522"/>
      <c r="J305" s="4522"/>
      <c r="K305" s="4521"/>
      <c r="L305" s="4521"/>
      <c r="M305" s="4521"/>
      <c r="N305" s="4521"/>
      <c r="O305" s="4521"/>
      <c r="P305" s="4521"/>
      <c r="Q305" s="4491" t="s">
        <v>585</v>
      </c>
      <c r="R305" s="4523"/>
    </row>
    <row r="306" spans="1:18" ht="13.5" customHeight="1">
      <c r="A306" s="4524"/>
      <c r="B306" s="4525" t="s">
        <v>268</v>
      </c>
      <c r="C306" s="4505"/>
      <c r="D306" s="4506"/>
      <c r="E306" s="4507">
        <f>G306+F306+H306+I306+J306+K306+L306+M306</f>
        <v>46259201</v>
      </c>
      <c r="F306" s="4508">
        <f>'Tab. 6H - Kultura fiz. i turyst'!M95</f>
        <v>0</v>
      </c>
      <c r="G306" s="4508">
        <f>'Tab. 6H - Kultura fiz. i turyst'!N95</f>
        <v>0</v>
      </c>
      <c r="H306" s="4508">
        <f>'Tab. 6H - Kultura fiz. i turyst'!O95</f>
        <v>0</v>
      </c>
      <c r="I306" s="4508">
        <f>'Tab. 6H - Kultura fiz. i turyst'!P95</f>
        <v>1101580</v>
      </c>
      <c r="J306" s="4508">
        <f>'Tab. 6H - Kultura fiz. i turyst'!Q95</f>
        <v>18215116</v>
      </c>
      <c r="K306" s="4508">
        <f>'Tab. 6H - Kultura fiz. i turyst'!R95</f>
        <v>26942505</v>
      </c>
      <c r="L306" s="4508">
        <f>'Tab. 6H - Kultura fiz. i turyst'!S95</f>
        <v>0</v>
      </c>
      <c r="M306" s="4508">
        <f>'Tab. 6H - Kultura fiz. i turyst'!T95</f>
        <v>0</v>
      </c>
      <c r="N306" s="4508">
        <f>'Tab. 6H - Kultura fiz. i turyst'!U95</f>
        <v>0</v>
      </c>
      <c r="O306" s="4508">
        <f>'Tab. 6H - Kultura fiz. i turyst'!V95</f>
        <v>0</v>
      </c>
      <c r="P306" s="4508">
        <f>'Tab. 6H - Kultura fiz. i turyst'!W95</f>
        <v>0</v>
      </c>
      <c r="Q306" s="4464"/>
      <c r="R306" s="4523"/>
    </row>
    <row r="307" spans="1:18" ht="13.5" customHeight="1">
      <c r="A307" s="4524"/>
      <c r="B307" s="4526" t="s">
        <v>584</v>
      </c>
      <c r="C307" s="4527"/>
      <c r="D307" s="4528"/>
      <c r="E307" s="4529">
        <f>G307+F307+H307+I307+J307+K307+L307+M307</f>
        <v>7875223</v>
      </c>
      <c r="F307" s="4476">
        <f>'Tab. 6H - Kultura fiz. i turyst'!M96</f>
        <v>0</v>
      </c>
      <c r="G307" s="4476">
        <f>'Tab. 6H - Kultura fiz. i turyst'!N96</f>
        <v>0</v>
      </c>
      <c r="H307" s="4476">
        <f>'Tab. 6H - Kultura fiz. i turyst'!O96</f>
        <v>0</v>
      </c>
      <c r="I307" s="4476">
        <f>'Tab. 6H - Kultura fiz. i turyst'!P96</f>
        <v>1101580</v>
      </c>
      <c r="J307" s="4476">
        <f>'Tab. 6H - Kultura fiz. i turyst'!Q96</f>
        <v>2732267</v>
      </c>
      <c r="K307" s="4476">
        <f>'Tab. 6H - Kultura fiz. i turyst'!R96</f>
        <v>4041376</v>
      </c>
      <c r="L307" s="4476">
        <f>'Tab. 6H - Kultura fiz. i turyst'!S96</f>
        <v>0</v>
      </c>
      <c r="M307" s="4476">
        <f>'Tab. 6H - Kultura fiz. i turyst'!T96</f>
        <v>0</v>
      </c>
      <c r="N307" s="4476">
        <f>'Tab. 6H - Kultura fiz. i turyst'!U96</f>
        <v>0</v>
      </c>
      <c r="O307" s="4476">
        <f>'Tab. 6H - Kultura fiz. i turyst'!V96</f>
        <v>0</v>
      </c>
      <c r="P307" s="4476">
        <f>'Tab. 6H - Kultura fiz. i turyst'!W96</f>
        <v>0</v>
      </c>
      <c r="Q307" s="4464"/>
      <c r="R307" s="4523"/>
    </row>
    <row r="308" spans="1:18" ht="13.5" customHeight="1" thickBot="1">
      <c r="A308" s="4524"/>
      <c r="B308" s="4530" t="s">
        <v>270</v>
      </c>
      <c r="C308" s="4531"/>
      <c r="D308" s="4499"/>
      <c r="E308" s="4500">
        <f>G308+F308+H308+I308+J308+K308</f>
        <v>38383978</v>
      </c>
      <c r="F308" s="4532">
        <f>'Tab. 6H - Kultura fiz. i turyst'!M99</f>
        <v>0</v>
      </c>
      <c r="G308" s="4532">
        <f>'Tab. 6H - Kultura fiz. i turyst'!N99</f>
        <v>0</v>
      </c>
      <c r="H308" s="4532">
        <f>'Tab. 6H - Kultura fiz. i turyst'!O99</f>
        <v>0</v>
      </c>
      <c r="I308" s="4532">
        <f>'Tab. 6H - Kultura fiz. i turyst'!P99</f>
        <v>0</v>
      </c>
      <c r="J308" s="4532">
        <f>'Tab. 6H - Kultura fiz. i turyst'!Q99</f>
        <v>15482849</v>
      </c>
      <c r="K308" s="4532">
        <f>'Tab. 6H - Kultura fiz. i turyst'!R99</f>
        <v>22901129</v>
      </c>
      <c r="L308" s="4532">
        <f>'Tab. 6H - Kultura fiz. i turyst'!S99</f>
        <v>0</v>
      </c>
      <c r="M308" s="4532">
        <f>'Tab. 6H - Kultura fiz. i turyst'!T99</f>
        <v>0</v>
      </c>
      <c r="N308" s="4532">
        <f>'Tab. 6H - Kultura fiz. i turyst'!U99</f>
        <v>0</v>
      </c>
      <c r="O308" s="4532">
        <f>'Tab. 6H - Kultura fiz. i turyst'!V99</f>
        <v>0</v>
      </c>
      <c r="P308" s="4532">
        <f>'Tab. 6H - Kultura fiz. i turyst'!W99</f>
        <v>0</v>
      </c>
      <c r="Q308" s="4464"/>
      <c r="R308" s="4523"/>
    </row>
    <row r="309" spans="1:18" ht="13.5" customHeight="1" thickBot="1">
      <c r="A309" s="4533"/>
      <c r="B309" s="4534" t="s">
        <v>563</v>
      </c>
      <c r="C309" s="4535"/>
      <c r="D309" s="4536"/>
      <c r="E309" s="4537">
        <f>F309+H309+I309+J309+K309+L309+M309</f>
        <v>38383978</v>
      </c>
      <c r="F309" s="4538">
        <f>'Tab. 6H - Kultura fiz. i turyst'!M101</f>
        <v>0</v>
      </c>
      <c r="G309" s="4538">
        <f>'Tab. 6H - Kultura fiz. i turyst'!N101</f>
        <v>0</v>
      </c>
      <c r="H309" s="4538">
        <f>'Tab. 6H - Kultura fiz. i turyst'!O101</f>
        <v>0</v>
      </c>
      <c r="I309" s="4538">
        <f>'Tab. 6H - Kultura fiz. i turyst'!P101</f>
        <v>0</v>
      </c>
      <c r="J309" s="4538">
        <f>'Tab. 6H - Kultura fiz. i turyst'!Q101</f>
        <v>14000000</v>
      </c>
      <c r="K309" s="4538">
        <f>'Tab. 6H - Kultura fiz. i turyst'!R101</f>
        <v>23383978</v>
      </c>
      <c r="L309" s="4538">
        <f>'Tab. 6H - Kultura fiz. i turyst'!S101</f>
        <v>1000000</v>
      </c>
      <c r="M309" s="4538">
        <f>'Tab. 6H - Kultura fiz. i turyst'!T101</f>
        <v>0</v>
      </c>
      <c r="N309" s="4538">
        <f>'Tab. 6H - Kultura fiz. i turyst'!U101</f>
        <v>0</v>
      </c>
      <c r="O309" s="4538">
        <f>'Tab. 6H - Kultura fiz. i turyst'!V101</f>
        <v>0</v>
      </c>
      <c r="P309" s="4538">
        <f>'Tab. 6H - Kultura fiz. i turyst'!W101</f>
        <v>0</v>
      </c>
      <c r="Q309" s="4482"/>
      <c r="R309" s="4523"/>
    </row>
    <row r="310" spans="1:18" ht="27.75" customHeight="1">
      <c r="A310" s="4516" t="s">
        <v>112</v>
      </c>
      <c r="B310" s="4541" t="str">
        <f>'Tab. 6H - Kultura fiz. i turyst'!B103</f>
        <v>Budowa sieci tras rowerowych Pomorza Zachodniego - Trasa Nadmorska w ramach Osi IV RPO (2016-2018)</v>
      </c>
      <c r="C310" s="4539" t="s">
        <v>564</v>
      </c>
      <c r="D310" s="4519">
        <f>E313/E311%</f>
        <v>82.747102482226964</v>
      </c>
      <c r="E310" s="4520"/>
      <c r="F310" s="4521"/>
      <c r="G310" s="4520"/>
      <c r="H310" s="4522"/>
      <c r="I310" s="4522"/>
      <c r="J310" s="4522"/>
      <c r="K310" s="4521"/>
      <c r="L310" s="4521"/>
      <c r="M310" s="4521"/>
      <c r="N310" s="4521"/>
      <c r="O310" s="4521"/>
      <c r="P310" s="4521"/>
      <c r="Q310" s="4491" t="s">
        <v>585</v>
      </c>
      <c r="R310" s="4523"/>
    </row>
    <row r="311" spans="1:18" ht="13.5" customHeight="1">
      <c r="A311" s="4524"/>
      <c r="B311" s="4525" t="s">
        <v>268</v>
      </c>
      <c r="C311" s="4505"/>
      <c r="D311" s="4506"/>
      <c r="E311" s="4507">
        <f>G311+F311+H311+I311+J311+K311+L311+M311</f>
        <v>17188678</v>
      </c>
      <c r="F311" s="4508">
        <f>'Tab. 6H - Kultura fiz. i turyst'!M104</f>
        <v>0</v>
      </c>
      <c r="G311" s="4508">
        <f>'Tab. 6H - Kultura fiz. i turyst'!N104</f>
        <v>0</v>
      </c>
      <c r="H311" s="4508">
        <f>'Tab. 6H - Kultura fiz. i turyst'!O104</f>
        <v>0</v>
      </c>
      <c r="I311" s="4508">
        <f>'Tab. 6H - Kultura fiz. i turyst'!P104</f>
        <v>455580</v>
      </c>
      <c r="J311" s="4508">
        <f>'Tab. 6H - Kultura fiz. i turyst'!Q104</f>
        <v>6726772</v>
      </c>
      <c r="K311" s="4508">
        <f>'Tab. 6H - Kultura fiz. i turyst'!R104</f>
        <v>10006326</v>
      </c>
      <c r="L311" s="4508">
        <f>'Tab. 6H - Kultura fiz. i turyst'!S104</f>
        <v>0</v>
      </c>
      <c r="M311" s="4508">
        <f>'Tab. 6H - Kultura fiz. i turyst'!T104</f>
        <v>0</v>
      </c>
      <c r="N311" s="4508">
        <f>'Tab. 6H - Kultura fiz. i turyst'!U104</f>
        <v>0</v>
      </c>
      <c r="O311" s="4508">
        <f>'Tab. 6H - Kultura fiz. i turyst'!V104</f>
        <v>0</v>
      </c>
      <c r="P311" s="4508">
        <f>'Tab. 6H - Kultura fiz. i turyst'!W104</f>
        <v>0</v>
      </c>
      <c r="Q311" s="4464"/>
      <c r="R311" s="4523"/>
    </row>
    <row r="312" spans="1:18" ht="13.5" customHeight="1">
      <c r="A312" s="4524"/>
      <c r="B312" s="4526" t="s">
        <v>584</v>
      </c>
      <c r="C312" s="4527"/>
      <c r="D312" s="4528"/>
      <c r="E312" s="4529">
        <f>G312+F312+H312+I312+J312+K312+L312+M312</f>
        <v>2965545</v>
      </c>
      <c r="F312" s="4476">
        <f>'Tab. 6H - Kultura fiz. i turyst'!M105</f>
        <v>0</v>
      </c>
      <c r="G312" s="4476">
        <f>'Tab. 6H - Kultura fiz. i turyst'!N105</f>
        <v>0</v>
      </c>
      <c r="H312" s="4476">
        <f>'Tab. 6H - Kultura fiz. i turyst'!O105</f>
        <v>0</v>
      </c>
      <c r="I312" s="4476">
        <f>'Tab. 6H - Kultura fiz. i turyst'!P105</f>
        <v>455580</v>
      </c>
      <c r="J312" s="4476">
        <f>'Tab. 6H - Kultura fiz. i turyst'!Q105</f>
        <v>1009016</v>
      </c>
      <c r="K312" s="4476">
        <f>'Tab. 6H - Kultura fiz. i turyst'!R105</f>
        <v>1500949</v>
      </c>
      <c r="L312" s="4476">
        <f>'Tab. 6H - Kultura fiz. i turyst'!S105</f>
        <v>0</v>
      </c>
      <c r="M312" s="4476">
        <f>'Tab. 6H - Kultura fiz. i turyst'!T105</f>
        <v>0</v>
      </c>
      <c r="N312" s="4476">
        <f>'Tab. 6H - Kultura fiz. i turyst'!U105</f>
        <v>0</v>
      </c>
      <c r="O312" s="4476">
        <f>'Tab. 6H - Kultura fiz. i turyst'!V105</f>
        <v>0</v>
      </c>
      <c r="P312" s="4476">
        <f>'Tab. 6H - Kultura fiz. i turyst'!W105</f>
        <v>0</v>
      </c>
      <c r="Q312" s="4464"/>
      <c r="R312" s="4523"/>
    </row>
    <row r="313" spans="1:18" ht="13.5" customHeight="1" thickBot="1">
      <c r="A313" s="4524"/>
      <c r="B313" s="4530" t="s">
        <v>270</v>
      </c>
      <c r="C313" s="4531"/>
      <c r="D313" s="4499"/>
      <c r="E313" s="4500">
        <f>G313+F313+H313+I313+J313+K313</f>
        <v>14223133</v>
      </c>
      <c r="F313" s="4532">
        <f>'Tab. 6H - Kultura fiz. i turyst'!M108</f>
        <v>0</v>
      </c>
      <c r="G313" s="4532">
        <f>'Tab. 6H - Kultura fiz. i turyst'!N108</f>
        <v>0</v>
      </c>
      <c r="H313" s="4532">
        <f>'Tab. 6H - Kultura fiz. i turyst'!O108</f>
        <v>0</v>
      </c>
      <c r="I313" s="4532">
        <f>'Tab. 6H - Kultura fiz. i turyst'!P108</f>
        <v>0</v>
      </c>
      <c r="J313" s="4532">
        <f>'Tab. 6H - Kultura fiz. i turyst'!Q108</f>
        <v>5717756</v>
      </c>
      <c r="K313" s="4532">
        <f>'Tab. 6H - Kultura fiz. i turyst'!R108</f>
        <v>8505377</v>
      </c>
      <c r="L313" s="4532">
        <f>'Tab. 6H - Kultura fiz. i turyst'!S108</f>
        <v>0</v>
      </c>
      <c r="M313" s="4532">
        <f>'Tab. 6H - Kultura fiz. i turyst'!T108</f>
        <v>0</v>
      </c>
      <c r="N313" s="4532">
        <f>'Tab. 6H - Kultura fiz. i turyst'!U108</f>
        <v>0</v>
      </c>
      <c r="O313" s="4532">
        <f>'Tab. 6H - Kultura fiz. i turyst'!V108</f>
        <v>0</v>
      </c>
      <c r="P313" s="4532">
        <f>'Tab. 6H - Kultura fiz. i turyst'!W108</f>
        <v>0</v>
      </c>
      <c r="Q313" s="4464"/>
      <c r="R313" s="4523"/>
    </row>
    <row r="314" spans="1:18" ht="13.5" customHeight="1" thickBot="1">
      <c r="A314" s="4533"/>
      <c r="B314" s="4534" t="s">
        <v>563</v>
      </c>
      <c r="C314" s="4535"/>
      <c r="D314" s="4536"/>
      <c r="E314" s="4537">
        <f>F314+H314+I314+J314+K314+L314+M314</f>
        <v>14223133</v>
      </c>
      <c r="F314" s="4538">
        <f>'Tab. 6H - Kultura fiz. i turyst'!M110</f>
        <v>0</v>
      </c>
      <c r="G314" s="4538">
        <f>'Tab. 6H - Kultura fiz. i turyst'!N110</f>
        <v>0</v>
      </c>
      <c r="H314" s="4538">
        <f>'Tab. 6H - Kultura fiz. i turyst'!O110</f>
        <v>0</v>
      </c>
      <c r="I314" s="4538">
        <f>'Tab. 6H - Kultura fiz. i turyst'!P110</f>
        <v>0</v>
      </c>
      <c r="J314" s="4538">
        <f>'Tab. 6H - Kultura fiz. i turyst'!Q110</f>
        <v>5600000</v>
      </c>
      <c r="K314" s="4538">
        <f>'Tab. 6H - Kultura fiz. i turyst'!R110</f>
        <v>8123133</v>
      </c>
      <c r="L314" s="4538">
        <f>'Tab. 6H - Kultura fiz. i turyst'!S110</f>
        <v>500000</v>
      </c>
      <c r="M314" s="4538">
        <f>'Tab. 6H - Kultura fiz. i turyst'!T110</f>
        <v>0</v>
      </c>
      <c r="N314" s="4538">
        <f>'Tab. 6H - Kultura fiz. i turyst'!U110</f>
        <v>0</v>
      </c>
      <c r="O314" s="4538">
        <f>'Tab. 6H - Kultura fiz. i turyst'!V110</f>
        <v>0</v>
      </c>
      <c r="P314" s="4538">
        <f>'Tab. 6H - Kultura fiz. i turyst'!W110</f>
        <v>0</v>
      </c>
      <c r="Q314" s="4482"/>
      <c r="R314" s="4523"/>
    </row>
    <row r="315" spans="1:18" ht="39.75" customHeight="1">
      <c r="A315" s="4516" t="s">
        <v>114</v>
      </c>
      <c r="B315" s="4541" t="str">
        <f>'Tab. 6H - Kultura fiz. i turyst'!B112</f>
        <v>Szlaki rowerowe na wybranych odcinkach wałów przeciwpowodziowych w województwie zachodniopomorskim w ramach Osi IV RPO (2017-2018)</v>
      </c>
      <c r="C315" s="4539" t="s">
        <v>564</v>
      </c>
      <c r="D315" s="4519">
        <f>E318/E316%</f>
        <v>85.000001973047915</v>
      </c>
      <c r="E315" s="4520"/>
      <c r="F315" s="4521"/>
      <c r="G315" s="4520"/>
      <c r="H315" s="4522"/>
      <c r="I315" s="4522"/>
      <c r="J315" s="4522"/>
      <c r="K315" s="4521"/>
      <c r="L315" s="4521"/>
      <c r="M315" s="4521"/>
      <c r="N315" s="4521"/>
      <c r="O315" s="4521"/>
      <c r="P315" s="4521"/>
      <c r="Q315" s="4491" t="s">
        <v>586</v>
      </c>
      <c r="R315" s="4523"/>
    </row>
    <row r="316" spans="1:18" ht="13.5" customHeight="1">
      <c r="A316" s="4524"/>
      <c r="B316" s="4525" t="s">
        <v>268</v>
      </c>
      <c r="C316" s="4505"/>
      <c r="D316" s="4506"/>
      <c r="E316" s="4507">
        <f>G316+F316+H316+I316+J316+K316+L316+M316</f>
        <v>15204902</v>
      </c>
      <c r="F316" s="4508">
        <f>'Tab. 6H - Kultura fiz. i turyst'!M113</f>
        <v>0</v>
      </c>
      <c r="G316" s="4508">
        <f>'Tab. 6H - Kultura fiz. i turyst'!N113</f>
        <v>0</v>
      </c>
      <c r="H316" s="4508">
        <f>'Tab. 6H - Kultura fiz. i turyst'!O113</f>
        <v>0</v>
      </c>
      <c r="I316" s="4508">
        <f>'Tab. 6H - Kultura fiz. i turyst'!P113</f>
        <v>0</v>
      </c>
      <c r="J316" s="4508">
        <f>'Tab. 6H - Kultura fiz. i turyst'!Q113</f>
        <v>7602451</v>
      </c>
      <c r="K316" s="4508">
        <f>'Tab. 6H - Kultura fiz. i turyst'!R113</f>
        <v>7602451</v>
      </c>
      <c r="L316" s="4508">
        <f>'Tab. 6H - Kultura fiz. i turyst'!S113</f>
        <v>0</v>
      </c>
      <c r="M316" s="4508">
        <f>'Tab. 6H - Kultura fiz. i turyst'!T113</f>
        <v>0</v>
      </c>
      <c r="N316" s="4508">
        <f>'Tab. 6H - Kultura fiz. i turyst'!U113</f>
        <v>0</v>
      </c>
      <c r="O316" s="4508">
        <f>'Tab. 6H - Kultura fiz. i turyst'!V113</f>
        <v>0</v>
      </c>
      <c r="P316" s="4508">
        <f>'Tab. 6H - Kultura fiz. i turyst'!W113</f>
        <v>0</v>
      </c>
      <c r="Q316" s="4464"/>
      <c r="R316" s="4523"/>
    </row>
    <row r="317" spans="1:18" ht="13.5" customHeight="1">
      <c r="A317" s="4524"/>
      <c r="B317" s="4526" t="s">
        <v>584</v>
      </c>
      <c r="C317" s="4527"/>
      <c r="D317" s="4528"/>
      <c r="E317" s="4529">
        <f>G317+F317+H317+I317+J317+K317+L317+M317</f>
        <v>2280735</v>
      </c>
      <c r="F317" s="4476">
        <f>'Tab. 6H - Kultura fiz. i turyst'!M114</f>
        <v>0</v>
      </c>
      <c r="G317" s="4476">
        <f>'Tab. 6H - Kultura fiz. i turyst'!N114</f>
        <v>0</v>
      </c>
      <c r="H317" s="4476">
        <f>'Tab. 6H - Kultura fiz. i turyst'!O114</f>
        <v>0</v>
      </c>
      <c r="I317" s="4476">
        <f>'Tab. 6H - Kultura fiz. i turyst'!P114</f>
        <v>0</v>
      </c>
      <c r="J317" s="4476">
        <f>'Tab. 6H - Kultura fiz. i turyst'!Q114</f>
        <v>1140368</v>
      </c>
      <c r="K317" s="4476">
        <f>'Tab. 6H - Kultura fiz. i turyst'!R114</f>
        <v>1140367</v>
      </c>
      <c r="L317" s="4476">
        <f>'Tab. 6H - Kultura fiz. i turyst'!S114</f>
        <v>0</v>
      </c>
      <c r="M317" s="4476">
        <f>'Tab. 6H - Kultura fiz. i turyst'!T114</f>
        <v>0</v>
      </c>
      <c r="N317" s="4476">
        <f>'Tab. 6H - Kultura fiz. i turyst'!U114</f>
        <v>0</v>
      </c>
      <c r="O317" s="4476">
        <f>'Tab. 6H - Kultura fiz. i turyst'!V114</f>
        <v>0</v>
      </c>
      <c r="P317" s="4476">
        <f>'Tab. 6H - Kultura fiz. i turyst'!W114</f>
        <v>0</v>
      </c>
      <c r="Q317" s="4464"/>
      <c r="R317" s="4523"/>
    </row>
    <row r="318" spans="1:18" ht="13.5" customHeight="1" thickBot="1">
      <c r="A318" s="4524"/>
      <c r="B318" s="4530" t="s">
        <v>270</v>
      </c>
      <c r="C318" s="4531"/>
      <c r="D318" s="4499"/>
      <c r="E318" s="4500">
        <f>G318+F318+H318+I318+J318+K318</f>
        <v>12924167</v>
      </c>
      <c r="F318" s="4532">
        <f>'Tab. 6H - Kultura fiz. i turyst'!M116</f>
        <v>0</v>
      </c>
      <c r="G318" s="4532">
        <f>'Tab. 6H - Kultura fiz. i turyst'!N116</f>
        <v>0</v>
      </c>
      <c r="H318" s="4532">
        <f>'Tab. 6H - Kultura fiz. i turyst'!O116</f>
        <v>0</v>
      </c>
      <c r="I318" s="4532">
        <f>'Tab. 6H - Kultura fiz. i turyst'!P116</f>
        <v>0</v>
      </c>
      <c r="J318" s="4532">
        <f>'Tab. 6H - Kultura fiz. i turyst'!Q116</f>
        <v>6462083</v>
      </c>
      <c r="K318" s="4532">
        <f>'Tab. 6H - Kultura fiz. i turyst'!R116</f>
        <v>6462084</v>
      </c>
      <c r="L318" s="4532">
        <f>'Tab. 6H - Kultura fiz. i turyst'!S116</f>
        <v>0</v>
      </c>
      <c r="M318" s="4532">
        <f>'Tab. 6H - Kultura fiz. i turyst'!T116</f>
        <v>0</v>
      </c>
      <c r="N318" s="4532">
        <f>'Tab. 6H - Kultura fiz. i turyst'!U116</f>
        <v>0</v>
      </c>
      <c r="O318" s="4532">
        <f>'Tab. 6H - Kultura fiz. i turyst'!V116</f>
        <v>0</v>
      </c>
      <c r="P318" s="4532">
        <f>'Tab. 6H - Kultura fiz. i turyst'!W116</f>
        <v>0</v>
      </c>
      <c r="Q318" s="4464"/>
      <c r="R318" s="4523"/>
    </row>
    <row r="319" spans="1:18" ht="13.5" customHeight="1" thickBot="1">
      <c r="A319" s="4533"/>
      <c r="B319" s="4534" t="s">
        <v>563</v>
      </c>
      <c r="C319" s="4535"/>
      <c r="D319" s="4536"/>
      <c r="E319" s="4537">
        <f>F319+H319+I319+J319+K319+L319+M319</f>
        <v>12924167</v>
      </c>
      <c r="F319" s="4538">
        <f>'Tab. 6H - Kultura fiz. i turyst'!M119</f>
        <v>0</v>
      </c>
      <c r="G319" s="4538">
        <f>'Tab. 6H - Kultura fiz. i turyst'!N119</f>
        <v>0</v>
      </c>
      <c r="H319" s="4538">
        <f>'Tab. 6H - Kultura fiz. i turyst'!O119</f>
        <v>0</v>
      </c>
      <c r="I319" s="4538">
        <f>'Tab. 6H - Kultura fiz. i turyst'!P119</f>
        <v>0</v>
      </c>
      <c r="J319" s="4538">
        <f>'Tab. 6H - Kultura fiz. i turyst'!Q119</f>
        <v>6462083</v>
      </c>
      <c r="K319" s="4538">
        <f>'Tab. 6H - Kultura fiz. i turyst'!R119</f>
        <v>6462084</v>
      </c>
      <c r="L319" s="4538">
        <f>'Tab. 6H - Kultura fiz. i turyst'!S119</f>
        <v>0</v>
      </c>
      <c r="M319" s="4538">
        <f>'Tab. 6H - Kultura fiz. i turyst'!T119</f>
        <v>0</v>
      </c>
      <c r="N319" s="4538">
        <f>'Tab. 6H - Kultura fiz. i turyst'!U119</f>
        <v>0</v>
      </c>
      <c r="O319" s="4538">
        <f>'Tab. 6H - Kultura fiz. i turyst'!V119</f>
        <v>0</v>
      </c>
      <c r="P319" s="4538">
        <f>'Tab. 6H - Kultura fiz. i turyst'!W119</f>
        <v>0</v>
      </c>
      <c r="Q319" s="4482"/>
      <c r="R319" s="4523"/>
    </row>
    <row r="320" spans="1:18" ht="22.5" customHeight="1">
      <c r="A320" s="4516" t="s">
        <v>115</v>
      </c>
      <c r="B320" s="4541" t="s">
        <v>666</v>
      </c>
      <c r="C320" s="4539"/>
      <c r="D320" s="4519" t="e">
        <f>E323/E321%</f>
        <v>#DIV/0!</v>
      </c>
      <c r="E320" s="4520"/>
      <c r="F320" s="4521"/>
      <c r="G320" s="4520"/>
      <c r="H320" s="4522"/>
      <c r="I320" s="4522"/>
      <c r="J320" s="4522"/>
      <c r="K320" s="4521"/>
      <c r="L320" s="4521"/>
      <c r="M320" s="4521"/>
      <c r="N320" s="4521"/>
      <c r="O320" s="4521"/>
      <c r="P320" s="4521"/>
      <c r="Q320" s="4491" t="s">
        <v>588</v>
      </c>
      <c r="R320" s="4523"/>
    </row>
    <row r="321" spans="1:28" ht="13.5" customHeight="1">
      <c r="A321" s="4524"/>
      <c r="B321" s="4525" t="s">
        <v>268</v>
      </c>
      <c r="C321" s="4505"/>
      <c r="D321" s="4506"/>
      <c r="E321" s="4507">
        <f>G321+F321+H321+I321+J321+K321+L321+M321+N321+O321+P321</f>
        <v>0</v>
      </c>
      <c r="F321" s="4508"/>
      <c r="G321" s="4508"/>
      <c r="H321" s="4508"/>
      <c r="I321" s="4508"/>
      <c r="J321" s="4508"/>
      <c r="K321" s="4508"/>
      <c r="L321" s="4508"/>
      <c r="M321" s="4508"/>
      <c r="N321" s="4508"/>
      <c r="O321" s="4508"/>
      <c r="P321" s="4508"/>
      <c r="Q321" s="4464"/>
      <c r="R321" s="4523"/>
    </row>
    <row r="322" spans="1:28">
      <c r="A322" s="4524"/>
      <c r="B322" s="4585" t="s">
        <v>584</v>
      </c>
      <c r="C322" s="4527"/>
      <c r="D322" s="4528"/>
      <c r="E322" s="4529">
        <f>G322+F322+H322+I322+J322+K322+L322+M322+N322+O322+P322</f>
        <v>0</v>
      </c>
      <c r="F322" s="4476"/>
      <c r="G322" s="4476"/>
      <c r="H322" s="4476"/>
      <c r="I322" s="4476"/>
      <c r="J322" s="4476"/>
      <c r="K322" s="4476"/>
      <c r="L322" s="4476"/>
      <c r="M322" s="4476"/>
      <c r="N322" s="4476"/>
      <c r="O322" s="4476"/>
      <c r="P322" s="4476"/>
      <c r="Q322" s="4464"/>
      <c r="R322" s="4523"/>
    </row>
    <row r="323" spans="1:28" ht="16.5" customHeight="1" thickBot="1">
      <c r="A323" s="4524"/>
      <c r="B323" s="4530" t="s">
        <v>270</v>
      </c>
      <c r="C323" s="4531"/>
      <c r="D323" s="4499"/>
      <c r="E323" s="4500">
        <f>G323+F323+H323+I323+J323+K323+L323+M323+N323+O323+P323</f>
        <v>0</v>
      </c>
      <c r="F323" s="4532"/>
      <c r="G323" s="4532"/>
      <c r="H323" s="4532"/>
      <c r="I323" s="4532">
        <v>0</v>
      </c>
      <c r="J323" s="4532"/>
      <c r="K323" s="4532"/>
      <c r="L323" s="4532"/>
      <c r="M323" s="4532"/>
      <c r="N323" s="4532"/>
      <c r="O323" s="4532"/>
      <c r="P323" s="4532"/>
      <c r="Q323" s="4464"/>
      <c r="R323" s="4523"/>
    </row>
    <row r="324" spans="1:28" ht="13.5" customHeight="1" thickBot="1">
      <c r="A324" s="4533"/>
      <c r="B324" s="4534" t="s">
        <v>563</v>
      </c>
      <c r="C324" s="4535"/>
      <c r="D324" s="4536"/>
      <c r="E324" s="4537">
        <f>F324+H324+I324+J324+K324+L324+M324+N324+O324+P324</f>
        <v>0</v>
      </c>
      <c r="F324" s="4538"/>
      <c r="G324" s="4538"/>
      <c r="H324" s="4538"/>
      <c r="I324" s="4538">
        <v>0</v>
      </c>
      <c r="J324" s="4538"/>
      <c r="K324" s="4538"/>
      <c r="L324" s="4538"/>
      <c r="M324" s="4538"/>
      <c r="N324" s="4538"/>
      <c r="O324" s="4538"/>
      <c r="P324" s="4538"/>
      <c r="Q324" s="4482"/>
      <c r="R324" s="4523"/>
    </row>
    <row r="325" spans="1:28" ht="6.75" customHeight="1" thickBot="1">
      <c r="A325" s="4576"/>
      <c r="B325" s="4577"/>
      <c r="C325" s="4578"/>
      <c r="D325" s="4579"/>
      <c r="E325" s="4580"/>
      <c r="F325" s="4581"/>
      <c r="G325" s="4581"/>
      <c r="H325" s="4581"/>
      <c r="I325" s="4581"/>
      <c r="J325" s="4581"/>
      <c r="K325" s="4581"/>
      <c r="L325" s="4581"/>
      <c r="M325" s="4581"/>
      <c r="N325" s="4581"/>
      <c r="O325" s="4581"/>
      <c r="P325" s="4581"/>
      <c r="Q325" s="4523"/>
      <c r="R325" s="4523"/>
    </row>
    <row r="326" spans="1:28" ht="17.25" customHeight="1" thickBot="1">
      <c r="A326" s="4598" t="s">
        <v>591</v>
      </c>
      <c r="B326" s="4599" t="s">
        <v>571</v>
      </c>
      <c r="C326" s="4600"/>
      <c r="D326" s="4452"/>
      <c r="E326" s="4601"/>
      <c r="F326" s="4601"/>
      <c r="G326" s="4601"/>
      <c r="H326" s="4601"/>
      <c r="I326" s="4601"/>
      <c r="J326" s="4601"/>
      <c r="K326" s="4601"/>
      <c r="L326" s="4601"/>
      <c r="M326" s="4601"/>
      <c r="N326" s="4601"/>
      <c r="O326" s="4601"/>
      <c r="P326" s="4601"/>
      <c r="Q326" s="4583"/>
      <c r="R326" s="4523"/>
    </row>
    <row r="327" spans="1:28" ht="13.5" customHeight="1">
      <c r="A327" s="4524" t="s">
        <v>79</v>
      </c>
      <c r="B327" s="4602"/>
      <c r="C327" s="4603"/>
      <c r="D327" s="4604" t="e">
        <f>E330/E328%</f>
        <v>#DIV/0!</v>
      </c>
      <c r="E327" s="4605"/>
      <c r="F327" s="4606"/>
      <c r="G327" s="4605"/>
      <c r="H327" s="4607"/>
      <c r="I327" s="4607"/>
      <c r="J327" s="4607"/>
      <c r="K327" s="4606"/>
      <c r="L327" s="4606"/>
      <c r="M327" s="4606"/>
      <c r="N327" s="4606"/>
      <c r="O327" s="4606"/>
      <c r="P327" s="4606"/>
      <c r="Q327" s="4491" t="s">
        <v>569</v>
      </c>
      <c r="R327" s="4523"/>
    </row>
    <row r="328" spans="1:28" ht="13.5" customHeight="1">
      <c r="A328" s="4524"/>
      <c r="B328" s="4525" t="s">
        <v>268</v>
      </c>
      <c r="C328" s="4505"/>
      <c r="D328" s="4506"/>
      <c r="E328" s="4507">
        <f>G328+F328+H328+I328+J328+K328+L328+M328</f>
        <v>0</v>
      </c>
      <c r="F328" s="4508"/>
      <c r="G328" s="4508"/>
      <c r="H328" s="4508"/>
      <c r="I328" s="4508"/>
      <c r="J328" s="4508"/>
      <c r="K328" s="4508"/>
      <c r="L328" s="4508"/>
      <c r="M328" s="4508"/>
      <c r="N328" s="4508"/>
      <c r="O328" s="4508"/>
      <c r="P328" s="4508"/>
      <c r="Q328" s="4464"/>
      <c r="R328" s="4523"/>
    </row>
    <row r="329" spans="1:28" ht="17.25" customHeight="1">
      <c r="A329" s="4524"/>
      <c r="B329" s="4526" t="s">
        <v>568</v>
      </c>
      <c r="C329" s="4527"/>
      <c r="D329" s="4528"/>
      <c r="E329" s="4529">
        <f>G329+F329+H329+I329+J329+K329+L329+M329</f>
        <v>0</v>
      </c>
      <c r="F329" s="4476"/>
      <c r="G329" s="4476"/>
      <c r="H329" s="4476"/>
      <c r="I329" s="4476"/>
      <c r="J329" s="4476"/>
      <c r="K329" s="4476"/>
      <c r="L329" s="4476"/>
      <c r="M329" s="4476"/>
      <c r="N329" s="4476"/>
      <c r="O329" s="4476"/>
      <c r="P329" s="4476"/>
      <c r="Q329" s="4464"/>
      <c r="R329" s="4523"/>
    </row>
    <row r="330" spans="1:28" ht="13.5" customHeight="1" thickBot="1">
      <c r="A330" s="4524"/>
      <c r="B330" s="4530" t="s">
        <v>270</v>
      </c>
      <c r="C330" s="4531"/>
      <c r="D330" s="4499"/>
      <c r="E330" s="4500">
        <f>G330+F330+H330+I330+J330+K330</f>
        <v>0</v>
      </c>
      <c r="F330" s="4532"/>
      <c r="G330" s="4532"/>
      <c r="H330" s="4532"/>
      <c r="I330" s="4532"/>
      <c r="J330" s="4532"/>
      <c r="K330" s="4532"/>
      <c r="L330" s="4532"/>
      <c r="M330" s="4532"/>
      <c r="N330" s="4532"/>
      <c r="O330" s="4532"/>
      <c r="P330" s="4532"/>
      <c r="Q330" s="4464"/>
      <c r="R330" s="4523"/>
    </row>
    <row r="331" spans="1:28" ht="13.5" customHeight="1" thickBot="1">
      <c r="A331" s="4533"/>
      <c r="B331" s="4534" t="s">
        <v>563</v>
      </c>
      <c r="C331" s="4535"/>
      <c r="D331" s="4536"/>
      <c r="E331" s="4537">
        <f>F331+H331+I331+J331+K331+L331+M331</f>
        <v>0</v>
      </c>
      <c r="F331" s="4538"/>
      <c r="G331" s="4538"/>
      <c r="H331" s="4538"/>
      <c r="I331" s="4538"/>
      <c r="J331" s="4538"/>
      <c r="K331" s="4538"/>
      <c r="L331" s="4538"/>
      <c r="M331" s="4538"/>
      <c r="N331" s="4538"/>
      <c r="O331" s="4538"/>
      <c r="P331" s="4538"/>
      <c r="Q331" s="4482"/>
      <c r="R331" s="4523"/>
    </row>
    <row r="332" spans="1:28">
      <c r="A332" s="4576"/>
      <c r="B332" s="4577"/>
      <c r="C332" s="4578"/>
      <c r="D332" s="4579"/>
      <c r="E332" s="4580"/>
      <c r="F332" s="4581"/>
      <c r="G332" s="4581"/>
      <c r="H332" s="4581"/>
      <c r="I332" s="4581"/>
      <c r="J332" s="4581"/>
      <c r="K332" s="4581"/>
      <c r="L332" s="4581"/>
      <c r="M332" s="4581"/>
      <c r="N332" s="4581"/>
      <c r="O332" s="4581"/>
      <c r="P332" s="4581"/>
      <c r="Q332" s="4523"/>
      <c r="R332" s="4523"/>
    </row>
    <row r="333" spans="1:28" s="4615" customFormat="1" ht="18.75" customHeight="1">
      <c r="A333" s="4608"/>
      <c r="B333" s="4609" t="s">
        <v>603</v>
      </c>
      <c r="C333" s="4610"/>
      <c r="D333" s="4611"/>
      <c r="E333" s="4612"/>
      <c r="F333" s="4612"/>
      <c r="G333" s="4612"/>
      <c r="H333" s="4612"/>
      <c r="I333" s="4612">
        <f>I9+I212-'Tabela nr 6'!M12-I321-I207-I201-I82</f>
        <v>0</v>
      </c>
      <c r="J333" s="4612">
        <f>J9+J212-'Tabela nr 6'!N12-J321-J207-J201-J82</f>
        <v>0</v>
      </c>
      <c r="K333" s="4612">
        <f>K9+K212-'Tabela nr 6'!O12-K321-K207-K201-K82</f>
        <v>0</v>
      </c>
      <c r="L333" s="4612">
        <f>L9+L212-'Tabela nr 6'!P12-L321-L207-L201-L82</f>
        <v>0</v>
      </c>
      <c r="M333" s="4612">
        <f>M9+M212-'Tabela nr 6'!Q12-M321-M207-M201-M82</f>
        <v>0</v>
      </c>
      <c r="N333" s="4612">
        <f>N9+N212-'Tabela nr 6'!R12-N321-N207-N201-N82</f>
        <v>0</v>
      </c>
      <c r="O333" s="4612">
        <f>O9+O212-'Tabela nr 6'!S12-O321-O207-O201-O82</f>
        <v>0</v>
      </c>
      <c r="P333" s="4612">
        <f>P9+P212-'Tabela nr 6'!T12-P321-P207-P201-P82</f>
        <v>0</v>
      </c>
      <c r="Q333" s="4613"/>
      <c r="R333" s="4613"/>
      <c r="S333" s="4614"/>
      <c r="T333" s="4614"/>
      <c r="U333" s="4614"/>
      <c r="V333" s="4614"/>
      <c r="W333" s="4614"/>
      <c r="X333" s="4614"/>
      <c r="Y333" s="4614"/>
      <c r="Z333" s="4614"/>
      <c r="AA333" s="4614"/>
      <c r="AB333" s="4614"/>
    </row>
    <row r="334" spans="1:28" ht="7.5" customHeight="1">
      <c r="A334" s="4576"/>
      <c r="B334" s="4577"/>
      <c r="C334" s="4578"/>
      <c r="D334" s="4579"/>
      <c r="E334" s="4580"/>
      <c r="F334" s="4581"/>
      <c r="G334" s="4581"/>
      <c r="H334" s="4581"/>
      <c r="I334" s="4581"/>
      <c r="J334" s="4581"/>
      <c r="K334" s="4581"/>
      <c r="L334" s="4581"/>
      <c r="M334" s="4581"/>
      <c r="N334" s="4581"/>
      <c r="O334" s="4581"/>
      <c r="P334" s="4581"/>
      <c r="Q334" s="4523"/>
      <c r="R334" s="4523"/>
    </row>
    <row r="335" spans="1:28" ht="19.5" customHeight="1">
      <c r="A335" s="4576"/>
      <c r="B335" s="4616" t="s">
        <v>605</v>
      </c>
      <c r="C335" s="4617"/>
      <c r="D335" s="4579"/>
      <c r="E335" s="4580"/>
      <c r="F335" s="4581"/>
      <c r="G335" s="4581"/>
      <c r="H335" s="4581"/>
      <c r="I335" s="4581"/>
      <c r="J335" s="4581"/>
      <c r="K335" s="4581"/>
      <c r="L335" s="4581"/>
      <c r="M335" s="4581"/>
      <c r="N335" s="4581"/>
      <c r="O335" s="4581"/>
      <c r="P335" s="4581"/>
      <c r="Q335" s="4523"/>
      <c r="R335" s="4523"/>
    </row>
    <row r="336" spans="1:28" ht="7.5" customHeight="1">
      <c r="A336" s="4576"/>
      <c r="B336" s="4577"/>
      <c r="C336" s="4578"/>
      <c r="D336" s="4579"/>
      <c r="E336" s="4580"/>
      <c r="F336" s="4581"/>
      <c r="G336" s="4581"/>
      <c r="H336" s="4581"/>
      <c r="I336" s="4581"/>
      <c r="J336" s="4581"/>
      <c r="K336" s="4581"/>
      <c r="L336" s="4581"/>
      <c r="M336" s="4581"/>
      <c r="N336" s="4581"/>
      <c r="O336" s="4581"/>
      <c r="P336" s="4581"/>
      <c r="Q336" s="4523"/>
      <c r="R336" s="4523"/>
    </row>
    <row r="337" spans="1:18" ht="27.75" customHeight="1">
      <c r="A337" s="4576"/>
      <c r="B337" s="4618" t="s">
        <v>679</v>
      </c>
      <c r="C337" s="4619"/>
      <c r="D337" s="4620"/>
      <c r="E337" s="4621"/>
      <c r="F337" s="4621"/>
      <c r="G337" s="4621"/>
      <c r="H337" s="4621"/>
      <c r="I337" s="4622">
        <f>I339-I338</f>
        <v>78671680</v>
      </c>
      <c r="J337" s="4622">
        <f t="shared" ref="J337:L337" si="5">J339-J338</f>
        <v>11480543</v>
      </c>
      <c r="K337" s="4622">
        <f t="shared" si="5"/>
        <v>18125800</v>
      </c>
      <c r="L337" s="4622">
        <f t="shared" si="5"/>
        <v>30922356</v>
      </c>
      <c r="M337" s="4621"/>
      <c r="N337" s="4623"/>
      <c r="O337" s="4623"/>
      <c r="P337" s="4623"/>
      <c r="Q337" s="4523"/>
      <c r="R337" s="4523"/>
    </row>
    <row r="338" spans="1:18" ht="36.75" customHeight="1">
      <c r="A338" s="4576"/>
      <c r="B338" s="4624" t="s">
        <v>680</v>
      </c>
      <c r="C338" s="4625"/>
      <c r="D338" s="4626"/>
      <c r="E338" s="4627"/>
      <c r="F338" s="4628"/>
      <c r="G338" s="4628"/>
      <c r="H338" s="4628"/>
      <c r="I338" s="4629">
        <f>I219+I224+I229+I234+I239+I244+I249+I254+I259+I264+I269+I274+I279+I284+I289+I294+I299+I304+I309+I314+I319+I324</f>
        <v>50209797</v>
      </c>
      <c r="J338" s="4629">
        <f>J219+J224+J229+J234+J239+J244+J249+J254+J259+J264+J269+J274+J279+J284+J289+J294+J299+J304+J309+J314+J319+J324</f>
        <v>291137417</v>
      </c>
      <c r="K338" s="4629">
        <f>K219+K224+K229+K234+K239+K244+K249+K254+K259+K264+K269+K274+K279+K284+K289+K294+K299+K304+K309+K314+K319+K324</f>
        <v>180699831</v>
      </c>
      <c r="L338" s="4629">
        <f>L219+L224+L229+L234+L239+L244+L249+L254+L259+L264+L269+L274+L279+L284+L289+L294+L299+L304+L309+L314+L319+L324</f>
        <v>7829161</v>
      </c>
      <c r="M338" s="4629"/>
      <c r="N338" s="4630"/>
      <c r="O338" s="4630"/>
      <c r="P338" s="4630">
        <f>P219+P224+P229+P234+P239+P244+P249+P254+P259+P264+P269+P274+P279+P284+P289+P294+P299+P304+P309+P314+P319+P324</f>
        <v>0</v>
      </c>
      <c r="Q338" s="4523"/>
      <c r="R338" s="4523"/>
    </row>
    <row r="339" spans="1:18" ht="25.5" customHeight="1">
      <c r="A339" s="4576"/>
      <c r="B339" s="4624" t="s">
        <v>681</v>
      </c>
      <c r="C339" s="4625"/>
      <c r="D339" s="4626"/>
      <c r="E339" s="4627"/>
      <c r="F339" s="4628"/>
      <c r="G339" s="4628"/>
      <c r="H339" s="4628"/>
      <c r="I339" s="4629">
        <v>128881477</v>
      </c>
      <c r="J339" s="4629">
        <v>302617960</v>
      </c>
      <c r="K339" s="4629">
        <v>198825631</v>
      </c>
      <c r="L339" s="4629">
        <v>38751517</v>
      </c>
      <c r="M339" s="4629"/>
      <c r="N339" s="4630"/>
      <c r="O339" s="4630"/>
      <c r="P339" s="4630"/>
      <c r="Q339" s="4523"/>
      <c r="R339" s="4523"/>
    </row>
    <row r="340" spans="1:18" ht="7.5" customHeight="1">
      <c r="A340" s="4576"/>
      <c r="B340" s="4631"/>
      <c r="C340" s="4632"/>
      <c r="D340" s="4579"/>
      <c r="E340" s="4633"/>
      <c r="F340" s="4634"/>
      <c r="G340" s="4634"/>
      <c r="H340" s="4634"/>
      <c r="I340" s="4634"/>
      <c r="J340" s="4634"/>
      <c r="K340" s="4634"/>
      <c r="L340" s="4634"/>
      <c r="M340" s="4634"/>
      <c r="N340" s="4581"/>
      <c r="O340" s="4581"/>
      <c r="P340" s="4581"/>
      <c r="Q340" s="4523"/>
      <c r="R340" s="4523"/>
    </row>
    <row r="341" spans="1:18" ht="29.25" customHeight="1">
      <c r="A341" s="4576"/>
      <c r="B341" s="4618" t="s">
        <v>682</v>
      </c>
      <c r="C341" s="4619"/>
      <c r="D341" s="4620"/>
      <c r="E341" s="4621"/>
      <c r="F341" s="4621"/>
      <c r="G341" s="4621"/>
      <c r="H341" s="4621"/>
      <c r="I341" s="4622">
        <f>I342+I343+I344</f>
        <v>56726181</v>
      </c>
      <c r="J341" s="4622">
        <f t="shared" ref="J341:L341" si="6">J342+J343+J344</f>
        <v>66511411</v>
      </c>
      <c r="K341" s="4622">
        <f t="shared" si="6"/>
        <v>68519858</v>
      </c>
      <c r="L341" s="4622">
        <f t="shared" si="6"/>
        <v>61548356</v>
      </c>
      <c r="M341" s="4621"/>
      <c r="N341" s="4623"/>
      <c r="O341" s="4623"/>
      <c r="P341" s="4623"/>
      <c r="Q341" s="4523"/>
      <c r="R341" s="4523"/>
    </row>
    <row r="342" spans="1:18" ht="39.75" customHeight="1">
      <c r="A342" s="4576"/>
      <c r="B342" s="4624" t="s">
        <v>683</v>
      </c>
      <c r="C342" s="4625"/>
      <c r="D342" s="4626"/>
      <c r="E342" s="4627"/>
      <c r="F342" s="4628"/>
      <c r="G342" s="4628"/>
      <c r="H342" s="4628"/>
      <c r="I342" s="4629">
        <v>45379167</v>
      </c>
      <c r="J342" s="4629">
        <v>31754350</v>
      </c>
      <c r="K342" s="4629">
        <v>29225801</v>
      </c>
      <c r="L342" s="4629">
        <v>21904818</v>
      </c>
      <c r="M342" s="4628"/>
      <c r="N342" s="4630"/>
      <c r="O342" s="4630"/>
      <c r="P342" s="4630"/>
      <c r="Q342" s="4523"/>
      <c r="R342" s="4523"/>
    </row>
    <row r="343" spans="1:18" ht="27" customHeight="1">
      <c r="A343" s="4576"/>
      <c r="B343" s="4624" t="s">
        <v>643</v>
      </c>
      <c r="C343" s="4625"/>
      <c r="D343" s="4626"/>
      <c r="E343" s="4627"/>
      <c r="F343" s="4628"/>
      <c r="G343" s="4628"/>
      <c r="H343" s="4628"/>
      <c r="I343" s="4629">
        <f>'Tab. 6E - Administracja'!P108+'Tab. 6E - Administracja'!P98</f>
        <v>10487014</v>
      </c>
      <c r="J343" s="4629">
        <f>'Tab. 6E - Administracja'!Q108+'Tab. 6E - Administracja'!Q98</f>
        <v>17257061</v>
      </c>
      <c r="K343" s="4629">
        <f>'Tab. 6E - Administracja'!R108+'Tab. 6E - Administracja'!R98</f>
        <v>17474057</v>
      </c>
      <c r="L343" s="4629">
        <f>'Tab. 6E - Administracja'!S108+'Tab. 6E - Administracja'!S98</f>
        <v>17823538</v>
      </c>
      <c r="M343" s="4628"/>
      <c r="N343" s="4630"/>
      <c r="O343" s="4630"/>
      <c r="P343" s="4630"/>
      <c r="Q343" s="4523"/>
      <c r="R343" s="4523"/>
    </row>
    <row r="344" spans="1:18" ht="50.25" customHeight="1">
      <c r="B344" s="4624" t="s">
        <v>684</v>
      </c>
      <c r="C344" s="4625"/>
      <c r="D344" s="4626"/>
      <c r="E344" s="4627"/>
      <c r="F344" s="4628"/>
      <c r="G344" s="4628"/>
      <c r="H344" s="4628"/>
      <c r="I344" s="4629">
        <f>'[1]Zal. Nr_3_wydatki'!$S$430</f>
        <v>860000</v>
      </c>
      <c r="J344" s="4629">
        <f>'[1]Zal. Nr_3_wydatki'!$U$430</f>
        <v>17500000</v>
      </c>
      <c r="K344" s="4629">
        <f>'[1]Zal. Nr_3_wydatki'!$V$430</f>
        <v>21820000</v>
      </c>
      <c r="L344" s="4629">
        <f>'[1]Zal. Nr_3_wydatki'!$W$430</f>
        <v>21820000</v>
      </c>
      <c r="M344" s="4628"/>
      <c r="N344" s="4630"/>
      <c r="O344" s="4630"/>
      <c r="P344" s="4630"/>
    </row>
    <row r="345" spans="1:18" ht="13.5" customHeight="1">
      <c r="A345" s="4576"/>
      <c r="B345" s="4631"/>
      <c r="C345" s="4632"/>
      <c r="D345" s="4579"/>
      <c r="E345" s="4633"/>
      <c r="F345" s="4634"/>
      <c r="G345" s="4634"/>
      <c r="H345" s="4634"/>
      <c r="I345" s="4634"/>
      <c r="J345" s="4634"/>
      <c r="K345" s="4634"/>
      <c r="L345" s="4634"/>
      <c r="M345" s="4634"/>
      <c r="N345" s="4581"/>
      <c r="O345" s="4581"/>
      <c r="P345" s="4581"/>
      <c r="Q345" s="4523"/>
      <c r="R345" s="4523"/>
    </row>
    <row r="346" spans="1:18" ht="27" customHeight="1">
      <c r="A346" s="4576"/>
      <c r="B346" s="4618" t="s">
        <v>685</v>
      </c>
      <c r="C346" s="4619"/>
      <c r="D346" s="4620"/>
      <c r="E346" s="4621"/>
      <c r="F346" s="4621"/>
      <c r="G346" s="4621"/>
      <c r="H346" s="4621"/>
      <c r="I346" s="4622">
        <f>I348+I347</f>
        <v>41470551</v>
      </c>
      <c r="J346" s="4622">
        <f t="shared" ref="J346" si="7">J348+J347</f>
        <v>40126555</v>
      </c>
      <c r="K346" s="4622">
        <f t="shared" ref="K346" si="8">K348+K347</f>
        <v>37501560</v>
      </c>
      <c r="L346" s="4622">
        <f t="shared" ref="L346" si="9">L348+L347</f>
        <v>32637507</v>
      </c>
      <c r="M346" s="4621"/>
      <c r="N346" s="4623"/>
      <c r="O346" s="4623"/>
      <c r="P346" s="4623"/>
      <c r="Q346" s="4523"/>
      <c r="R346" s="4523"/>
    </row>
    <row r="347" spans="1:18" ht="28.5" customHeight="1">
      <c r="A347" s="4576"/>
      <c r="B347" s="4624" t="s">
        <v>644</v>
      </c>
      <c r="C347" s="4625"/>
      <c r="D347" s="4626"/>
      <c r="E347" s="4627"/>
      <c r="F347" s="4628"/>
      <c r="G347" s="4628"/>
      <c r="H347" s="4628"/>
      <c r="I347" s="4629">
        <f>'Tab. 6E - Administracja'!P108</f>
        <v>7543995</v>
      </c>
      <c r="J347" s="4629">
        <f>'Tab. 6E - Administracja'!Q108</f>
        <v>12949706</v>
      </c>
      <c r="K347" s="4629">
        <f>'Tab. 6E - Administracja'!R108</f>
        <v>13099775</v>
      </c>
      <c r="L347" s="4629">
        <f>'Tab. 6E - Administracja'!S108</f>
        <v>13361771</v>
      </c>
      <c r="M347" s="4628"/>
      <c r="N347" s="4630"/>
      <c r="O347" s="4630"/>
      <c r="P347" s="4630"/>
      <c r="Q347" s="4523"/>
      <c r="R347" s="4523"/>
    </row>
    <row r="348" spans="1:18" ht="38.25" customHeight="1">
      <c r="A348" s="4576"/>
      <c r="B348" s="4624" t="s">
        <v>686</v>
      </c>
      <c r="C348" s="4625"/>
      <c r="D348" s="4626"/>
      <c r="E348" s="4627"/>
      <c r="F348" s="4628"/>
      <c r="G348" s="4628"/>
      <c r="H348" s="4628"/>
      <c r="I348" s="4629">
        <v>33926556</v>
      </c>
      <c r="J348" s="4629">
        <v>27176849</v>
      </c>
      <c r="K348" s="4629">
        <v>24401785</v>
      </c>
      <c r="L348" s="4629">
        <v>19275736</v>
      </c>
      <c r="M348" s="4628"/>
      <c r="N348" s="4630"/>
      <c r="O348" s="4630"/>
      <c r="P348" s="4630"/>
      <c r="Q348" s="4523"/>
      <c r="R348" s="4523"/>
    </row>
    <row r="349" spans="1:18">
      <c r="A349" s="4576"/>
      <c r="B349" s="4624"/>
      <c r="C349" s="4625"/>
      <c r="D349" s="4626"/>
      <c r="E349" s="4627"/>
      <c r="F349" s="4628"/>
      <c r="G349" s="4628"/>
      <c r="H349" s="4628"/>
      <c r="I349" s="4629"/>
      <c r="J349" s="4629"/>
      <c r="K349" s="4629"/>
      <c r="L349" s="4629"/>
      <c r="M349" s="4628"/>
      <c r="N349" s="4630"/>
      <c r="O349" s="4630"/>
      <c r="P349" s="4630"/>
      <c r="Q349" s="4523"/>
      <c r="R349" s="4523"/>
    </row>
    <row r="350" spans="1:18" ht="33" customHeight="1">
      <c r="A350" s="4576"/>
      <c r="B350" s="4618" t="s">
        <v>687</v>
      </c>
      <c r="C350" s="4619"/>
      <c r="D350" s="4620"/>
      <c r="E350" s="4621"/>
      <c r="F350" s="4621"/>
      <c r="G350" s="4621"/>
      <c r="H350" s="4621"/>
      <c r="I350" s="4622">
        <f>I352+I351</f>
        <v>116943523</v>
      </c>
      <c r="J350" s="4622">
        <f t="shared" ref="J350:L350" si="10">J352+J351</f>
        <v>386253778</v>
      </c>
      <c r="K350" s="4622">
        <f t="shared" si="10"/>
        <v>245640920</v>
      </c>
      <c r="L350" s="4622">
        <f t="shared" si="10"/>
        <v>58404925</v>
      </c>
      <c r="M350" s="4621"/>
      <c r="N350" s="4623"/>
      <c r="O350" s="4623"/>
      <c r="P350" s="4623"/>
      <c r="Q350" s="4523"/>
      <c r="R350" s="4523"/>
    </row>
    <row r="351" spans="1:18" ht="41.25" customHeight="1">
      <c r="A351" s="4576"/>
      <c r="B351" s="4624" t="s">
        <v>688</v>
      </c>
      <c r="C351" s="4625"/>
      <c r="D351" s="4626"/>
      <c r="E351" s="4627"/>
      <c r="F351" s="4628"/>
      <c r="G351" s="4628"/>
      <c r="H351" s="4628"/>
      <c r="I351" s="4629">
        <v>114943523</v>
      </c>
      <c r="J351" s="4629">
        <v>366253778</v>
      </c>
      <c r="K351" s="4629">
        <v>225640920</v>
      </c>
      <c r="L351" s="4629">
        <v>41899925</v>
      </c>
      <c r="M351" s="4628"/>
      <c r="N351" s="4630"/>
      <c r="O351" s="4630"/>
      <c r="P351" s="4630"/>
      <c r="Q351" s="4523"/>
      <c r="R351" s="4523"/>
    </row>
    <row r="352" spans="1:18" ht="54" customHeight="1">
      <c r="A352" s="4576"/>
      <c r="B352" s="4624" t="s">
        <v>689</v>
      </c>
      <c r="C352" s="4625"/>
      <c r="D352" s="4626"/>
      <c r="E352" s="4627"/>
      <c r="F352" s="4628"/>
      <c r="G352" s="4628"/>
      <c r="H352" s="4628"/>
      <c r="I352" s="4629">
        <f>'[1]Zal. Nr_3_wydatki'!$S$431</f>
        <v>2000000</v>
      </c>
      <c r="J352" s="4629">
        <f>'[1]Zal. Nr_3_wydatki'!$U$431</f>
        <v>20000000</v>
      </c>
      <c r="K352" s="4629">
        <f>'[1]Zal. Nr_3_wydatki'!$V$431</f>
        <v>20000000</v>
      </c>
      <c r="L352" s="4629">
        <f>'[1]Zal. Nr_3_wydatki'!$W$431</f>
        <v>16505000</v>
      </c>
      <c r="M352" s="4628"/>
      <c r="N352" s="4630"/>
      <c r="O352" s="4630"/>
      <c r="P352" s="4630"/>
      <c r="Q352" s="4523"/>
      <c r="R352" s="4523"/>
    </row>
    <row r="353" spans="1:18" ht="13.5" customHeight="1">
      <c r="A353" s="4576"/>
      <c r="B353" s="4624"/>
      <c r="C353" s="4632"/>
      <c r="D353" s="4579"/>
      <c r="E353" s="4633"/>
      <c r="F353" s="4634"/>
      <c r="G353" s="4634"/>
      <c r="H353" s="4634"/>
      <c r="I353" s="4634"/>
      <c r="J353" s="4634"/>
      <c r="K353" s="4634"/>
      <c r="L353" s="4634"/>
      <c r="M353" s="4634"/>
      <c r="N353" s="4581"/>
      <c r="O353" s="4581"/>
      <c r="P353" s="4581"/>
      <c r="Q353" s="4523"/>
      <c r="R353" s="4523"/>
    </row>
    <row r="354" spans="1:18" ht="40.5" customHeight="1">
      <c r="A354" s="4576"/>
      <c r="B354" s="4618" t="s">
        <v>690</v>
      </c>
      <c r="C354" s="4619"/>
      <c r="D354" s="4620"/>
      <c r="E354" s="4621"/>
      <c r="F354" s="4621"/>
      <c r="G354" s="4621"/>
      <c r="H354" s="4621"/>
      <c r="I354" s="4622">
        <f>I356-I355</f>
        <v>37884697</v>
      </c>
      <c r="J354" s="4622">
        <f t="shared" ref="J354:L354" si="11">J356-J355</f>
        <v>11529360</v>
      </c>
      <c r="K354" s="4622">
        <f t="shared" si="11"/>
        <v>19906273</v>
      </c>
      <c r="L354" s="4622">
        <f t="shared" si="11"/>
        <v>30190827</v>
      </c>
      <c r="M354" s="4621"/>
      <c r="N354" s="4623"/>
      <c r="O354" s="4623"/>
      <c r="P354" s="4623"/>
      <c r="Q354" s="4523"/>
      <c r="R354" s="4523"/>
    </row>
    <row r="355" spans="1:18" ht="36.75" customHeight="1">
      <c r="A355" s="4576"/>
      <c r="B355" s="4624" t="s">
        <v>691</v>
      </c>
      <c r="C355" s="4625"/>
      <c r="D355" s="4626"/>
      <c r="E355" s="4627"/>
      <c r="F355" s="4628"/>
      <c r="G355" s="4628"/>
      <c r="H355" s="4628"/>
      <c r="I355" s="4629">
        <f>I218+I223+I228+I233+I238+I243+I248+I253+I258+I263+I268+I273+I278+I283+I288+I293+I298+I303+I308+I313+I318+I323</f>
        <v>63287027</v>
      </c>
      <c r="J355" s="4629">
        <f>J218+J223+J228+J233+J238+J243+J248+J253+J258+J263+J268+J273+J278+J283+J288+J293+J298+J303+J308+J313+J318+J323</f>
        <v>291275885</v>
      </c>
      <c r="K355" s="4629">
        <f>K218+K223+K228+K233+K238+K243+K248+K253+K258+K263+K268+K273+K278+K283+K288+K293+K298+K303+K308+K313+K318+K323</f>
        <v>166648769</v>
      </c>
      <c r="L355" s="4629">
        <f>L218+L223+L228+L233+L238+L243+L248+L253+L258+L263+L268+L273+L278+L283+L288+L293+L298+L303+L308+L313+L318+L323</f>
        <v>5865753</v>
      </c>
      <c r="M355" s="4628"/>
      <c r="N355" s="4630"/>
      <c r="O355" s="4630"/>
      <c r="P355" s="4630"/>
      <c r="Q355" s="4523"/>
      <c r="R355" s="4523"/>
    </row>
    <row r="356" spans="1:18" ht="25.5" customHeight="1">
      <c r="A356" s="4576"/>
      <c r="B356" s="4624" t="s">
        <v>692</v>
      </c>
      <c r="C356" s="4625"/>
      <c r="D356" s="4626"/>
      <c r="E356" s="4627"/>
      <c r="F356" s="4628"/>
      <c r="G356" s="4628"/>
      <c r="H356" s="4628"/>
      <c r="I356" s="4629">
        <v>101171724</v>
      </c>
      <c r="J356" s="4629">
        <v>302805245</v>
      </c>
      <c r="K356" s="4629">
        <v>186555042</v>
      </c>
      <c r="L356" s="4629">
        <v>36056580</v>
      </c>
      <c r="M356" s="4628"/>
      <c r="N356" s="4630"/>
      <c r="O356" s="4630"/>
      <c r="P356" s="4630"/>
      <c r="Q356" s="4523"/>
      <c r="R356" s="4523"/>
    </row>
    <row r="357" spans="1:18" ht="13.5" customHeight="1">
      <c r="A357" s="4576"/>
      <c r="B357" s="4631"/>
      <c r="C357" s="4632"/>
      <c r="D357" s="4579"/>
      <c r="E357" s="4633"/>
      <c r="F357" s="4634"/>
      <c r="G357" s="4634"/>
      <c r="H357" s="4634"/>
      <c r="I357" s="4634"/>
      <c r="J357" s="4634"/>
      <c r="K357" s="4634"/>
      <c r="L357" s="4634"/>
      <c r="M357" s="4634"/>
      <c r="N357" s="4581"/>
      <c r="O357" s="4581"/>
      <c r="P357" s="4581"/>
      <c r="Q357" s="4523"/>
      <c r="R357" s="4523"/>
    </row>
    <row r="358" spans="1:18" ht="27.75" customHeight="1">
      <c r="A358" s="4576"/>
      <c r="B358" s="4618" t="s">
        <v>693</v>
      </c>
      <c r="C358" s="4619"/>
      <c r="D358" s="4620"/>
      <c r="E358" s="4621"/>
      <c r="F358" s="4621"/>
      <c r="G358" s="4621"/>
      <c r="H358" s="4621"/>
      <c r="I358" s="4622">
        <f>I359+I360</f>
        <v>28759458</v>
      </c>
      <c r="J358" s="4622">
        <f t="shared" ref="J358:L358" si="12">J359+J360</f>
        <v>109833689</v>
      </c>
      <c r="K358" s="4622">
        <f t="shared" si="12"/>
        <v>90104176</v>
      </c>
      <c r="L358" s="4622">
        <f t="shared" si="12"/>
        <v>51259194</v>
      </c>
      <c r="M358" s="4621"/>
      <c r="N358" s="4623"/>
      <c r="O358" s="4623"/>
      <c r="P358" s="4623"/>
      <c r="Q358" s="4523"/>
      <c r="R358" s="4523"/>
    </row>
    <row r="359" spans="1:18" ht="27" customHeight="1">
      <c r="A359" s="4576"/>
      <c r="B359" s="4624" t="s">
        <v>694</v>
      </c>
      <c r="C359" s="4625"/>
      <c r="D359" s="4626"/>
      <c r="E359" s="4627"/>
      <c r="F359" s="4628"/>
      <c r="G359" s="4628"/>
      <c r="H359" s="4628"/>
      <c r="I359" s="4629">
        <f>73485+10771190+2039337+10072427</f>
        <v>22956439</v>
      </c>
      <c r="J359" s="4629">
        <f>69883+4507918+58421618+5026915</f>
        <v>68026334</v>
      </c>
      <c r="K359" s="4629">
        <f>4824016+37647290+1438588</f>
        <v>43909894</v>
      </c>
      <c r="L359" s="4629">
        <f>2629082+5162307+681038</f>
        <v>8472427</v>
      </c>
      <c r="M359" s="4628"/>
      <c r="N359" s="4630"/>
      <c r="O359" s="4630"/>
      <c r="P359" s="4630"/>
      <c r="Q359" s="4523"/>
      <c r="R359" s="4523"/>
    </row>
    <row r="360" spans="1:18" ht="48" customHeight="1">
      <c r="A360" s="4576"/>
      <c r="B360" s="4624" t="s">
        <v>654</v>
      </c>
      <c r="C360" s="4625"/>
      <c r="D360" s="4626"/>
      <c r="E360" s="4627"/>
      <c r="F360" s="4628"/>
      <c r="G360" s="4628"/>
      <c r="H360" s="4628"/>
      <c r="I360" s="4629">
        <f>860000+2000000+'Tab. 6E - Administracja'!P98</f>
        <v>5803019</v>
      </c>
      <c r="J360" s="4629">
        <f>37500000+'Tab. 6E - Administracja'!Q98</f>
        <v>41807355</v>
      </c>
      <c r="K360" s="4629">
        <f>41820000+'Tab. 6E - Administracja'!R98</f>
        <v>46194282</v>
      </c>
      <c r="L360" s="4629">
        <f>38325000+'Tab. 6E - Administracja'!S98</f>
        <v>42786767</v>
      </c>
      <c r="M360" s="4628"/>
      <c r="N360" s="4630"/>
      <c r="O360" s="4630"/>
      <c r="P360" s="4630"/>
      <c r="Q360" s="4523"/>
      <c r="R360" s="4523"/>
    </row>
    <row r="361" spans="1:18" ht="13.5" customHeight="1">
      <c r="A361" s="4576"/>
      <c r="B361" s="4631"/>
      <c r="C361" s="4632"/>
      <c r="D361" s="4579"/>
      <c r="E361" s="4633"/>
      <c r="F361" s="4634"/>
      <c r="G361" s="4634"/>
      <c r="H361" s="4634"/>
      <c r="I361" s="4634"/>
      <c r="J361" s="4634"/>
      <c r="K361" s="4634"/>
      <c r="L361" s="4634"/>
      <c r="M361" s="4634"/>
      <c r="N361" s="4581"/>
      <c r="O361" s="4581"/>
      <c r="P361" s="4581"/>
      <c r="Q361" s="4523"/>
      <c r="R361" s="4523"/>
    </row>
    <row r="362" spans="1:18" ht="84" customHeight="1">
      <c r="A362" s="4576"/>
      <c r="B362" s="4618" t="s">
        <v>695</v>
      </c>
      <c r="C362" s="4619"/>
      <c r="D362" s="4620"/>
      <c r="E362" s="4621"/>
      <c r="F362" s="4621"/>
      <c r="G362" s="4621"/>
      <c r="H362" s="4621"/>
      <c r="I362" s="4622">
        <f>I363-I364</f>
        <v>21202546</v>
      </c>
      <c r="J362" s="4622">
        <f t="shared" ref="J362:L362" si="13">J363-J364</f>
        <v>51412071</v>
      </c>
      <c r="K362" s="4622">
        <f t="shared" si="13"/>
        <v>52734186</v>
      </c>
      <c r="L362" s="4622">
        <f t="shared" si="13"/>
        <v>49425087</v>
      </c>
      <c r="M362" s="4621"/>
      <c r="N362" s="4623"/>
      <c r="O362" s="4623"/>
      <c r="P362" s="4623"/>
      <c r="Q362" s="4523"/>
      <c r="R362" s="4523"/>
    </row>
    <row r="363" spans="1:18" ht="18" customHeight="1">
      <c r="A363" s="4576"/>
      <c r="B363" s="4635" t="s">
        <v>655</v>
      </c>
      <c r="C363" s="4625"/>
      <c r="D363" s="4626"/>
      <c r="E363" s="4627"/>
      <c r="F363" s="4628"/>
      <c r="G363" s="4628"/>
      <c r="H363" s="4628"/>
      <c r="I363" s="4629">
        <f>I358</f>
        <v>28759458</v>
      </c>
      <c r="J363" s="4629">
        <f>J358</f>
        <v>109833689</v>
      </c>
      <c r="K363" s="4629">
        <f>K358</f>
        <v>90104176</v>
      </c>
      <c r="L363" s="4629">
        <f>L358</f>
        <v>51259194</v>
      </c>
      <c r="M363" s="4628"/>
      <c r="N363" s="4630"/>
      <c r="O363" s="4630"/>
      <c r="P363" s="4630"/>
      <c r="Q363" s="4523"/>
      <c r="R363" s="4523"/>
    </row>
    <row r="364" spans="1:18" ht="24.75" customHeight="1">
      <c r="A364" s="4576"/>
      <c r="B364" s="4635" t="s">
        <v>656</v>
      </c>
      <c r="C364" s="4625"/>
      <c r="D364" s="4626"/>
      <c r="E364" s="4627"/>
      <c r="F364" s="4628"/>
      <c r="G364" s="4628"/>
      <c r="H364" s="4628"/>
      <c r="I364" s="4629">
        <f>I217+I222+I227+I232+I237+I242+I247+I252+I257+I262+I267+I272+I277+I282+I287+I292+I297+I302+I307+I312+I317+I322</f>
        <v>7556912</v>
      </c>
      <c r="J364" s="4629">
        <f>J217+J222+J227+J232+J237+J242+J247+J252+J257+J262+J267+J272+J277+J282+J287+J292+J297+J302+J307+J312+J317+J322</f>
        <v>58421618</v>
      </c>
      <c r="K364" s="4629">
        <f>K217+K222+K227+K232+K237+K242+K247+K252+K257+K262+K267+K272+K277+K282+K287+K292+K297+K302+K307+K312+K317+K322</f>
        <v>37369990</v>
      </c>
      <c r="L364" s="4629">
        <f>L217+L222+L227+L232+L237+L242+L247+L252+L257+L262+L267+L272+L277+L282+L287+L292+L297+L302+L307+L312+L317+L322</f>
        <v>1834107</v>
      </c>
      <c r="M364" s="4628"/>
      <c r="N364" s="4630"/>
      <c r="O364" s="4630"/>
      <c r="P364" s="4630"/>
      <c r="Q364" s="4523"/>
      <c r="R364" s="4523"/>
    </row>
    <row r="365" spans="1:18" ht="13.5" customHeight="1">
      <c r="A365" s="4576"/>
      <c r="B365" s="4631"/>
      <c r="C365" s="4632"/>
      <c r="D365" s="4579"/>
      <c r="E365" s="4633"/>
      <c r="F365" s="4634"/>
      <c r="G365" s="4634"/>
      <c r="H365" s="4634"/>
      <c r="I365" s="4634"/>
      <c r="J365" s="4634"/>
      <c r="K365" s="4634"/>
      <c r="L365" s="4634"/>
      <c r="M365" s="4634"/>
      <c r="N365" s="4581"/>
      <c r="O365" s="4581"/>
      <c r="P365" s="4581"/>
      <c r="Q365" s="4523"/>
      <c r="R365" s="4523"/>
    </row>
    <row r="366" spans="1:18" ht="38.25" customHeight="1">
      <c r="A366" s="4576"/>
      <c r="B366" s="4618" t="s">
        <v>696</v>
      </c>
      <c r="C366" s="4619"/>
      <c r="D366" s="4620"/>
      <c r="E366" s="4621"/>
      <c r="F366" s="4621"/>
      <c r="G366" s="4621"/>
      <c r="H366" s="4621"/>
      <c r="I366" s="4622">
        <f>I367-I368</f>
        <v>24607406</v>
      </c>
      <c r="J366" s="4622">
        <f t="shared" ref="J366" si="14">J367-J368</f>
        <v>100516211</v>
      </c>
      <c r="K366" s="4622">
        <f t="shared" ref="K366" si="15">K367-K368</f>
        <v>83681089</v>
      </c>
      <c r="L366" s="4622">
        <f t="shared" ref="L366" si="16">L367-L368</f>
        <v>50578156</v>
      </c>
      <c r="M366" s="4621"/>
      <c r="N366" s="4623"/>
      <c r="O366" s="4623"/>
      <c r="P366" s="4623"/>
      <c r="Q366" s="4523"/>
      <c r="R366" s="4523"/>
    </row>
    <row r="367" spans="1:18" ht="16.5" customHeight="1">
      <c r="A367" s="4576"/>
      <c r="B367" s="4635" t="s">
        <v>655</v>
      </c>
      <c r="C367" s="4625"/>
      <c r="D367" s="4626"/>
      <c r="E367" s="4627"/>
      <c r="F367" s="4628"/>
      <c r="G367" s="4628"/>
      <c r="H367" s="4628"/>
      <c r="I367" s="4629">
        <f>I358</f>
        <v>28759458</v>
      </c>
      <c r="J367" s="4629">
        <f>J358</f>
        <v>109833689</v>
      </c>
      <c r="K367" s="4629">
        <f>K358</f>
        <v>90104176</v>
      </c>
      <c r="L367" s="4629">
        <f>L358</f>
        <v>51259194</v>
      </c>
      <c r="M367" s="4628"/>
      <c r="N367" s="4630"/>
      <c r="O367" s="4630"/>
      <c r="P367" s="4630"/>
      <c r="Q367" s="4523"/>
      <c r="R367" s="4523"/>
    </row>
    <row r="368" spans="1:18" ht="17.25" customHeight="1">
      <c r="A368" s="4576"/>
      <c r="B368" s="4635" t="s">
        <v>596</v>
      </c>
      <c r="C368" s="4625"/>
      <c r="D368" s="4626"/>
      <c r="E368" s="4627"/>
      <c r="F368" s="4628"/>
      <c r="G368" s="4628"/>
      <c r="H368" s="4628"/>
      <c r="I368" s="4629">
        <f>I71+I76+I195+I257+I262+I322</f>
        <v>4152052</v>
      </c>
      <c r="J368" s="4629">
        <f>J71+J76+J195+J257+J262+J322</f>
        <v>9317478</v>
      </c>
      <c r="K368" s="4629">
        <f>K71+K76+K195+K257+K262+K322</f>
        <v>6423087</v>
      </c>
      <c r="L368" s="4629">
        <f>L71+L76+L195+L257+L262+L322</f>
        <v>681038</v>
      </c>
      <c r="M368" s="4628"/>
      <c r="N368" s="4630"/>
      <c r="O368" s="4630"/>
      <c r="P368" s="4630"/>
      <c r="Q368" s="4523"/>
      <c r="R368" s="4523"/>
    </row>
    <row r="369" spans="1:18" ht="13.5" customHeight="1">
      <c r="A369" s="4576"/>
      <c r="B369" s="4631"/>
      <c r="C369" s="4632"/>
      <c r="D369" s="4579"/>
      <c r="E369" s="4633"/>
      <c r="F369" s="4634"/>
      <c r="G369" s="4634"/>
      <c r="H369" s="4634"/>
      <c r="I369" s="4634"/>
      <c r="J369" s="4634"/>
      <c r="K369" s="4634"/>
      <c r="L369" s="4634"/>
      <c r="M369" s="4634"/>
      <c r="N369" s="4581"/>
      <c r="O369" s="4581"/>
      <c r="P369" s="4581"/>
      <c r="Q369" s="4523"/>
      <c r="R369" s="4523"/>
    </row>
    <row r="370" spans="1:18" ht="27.75" customHeight="1">
      <c r="A370" s="4576"/>
      <c r="B370" s="4618" t="s">
        <v>697</v>
      </c>
      <c r="C370" s="4619"/>
      <c r="D370" s="4620"/>
      <c r="E370" s="4621"/>
      <c r="F370" s="4621"/>
      <c r="G370" s="4621"/>
      <c r="H370" s="4621"/>
      <c r="I370" s="4622">
        <f>I371-I372</f>
        <v>19089724</v>
      </c>
      <c r="J370" s="4622">
        <f t="shared" ref="J370" si="17">J371-J372</f>
        <v>46315273</v>
      </c>
      <c r="K370" s="4622">
        <f t="shared" ref="K370" si="18">K371-K372</f>
        <v>51295598</v>
      </c>
      <c r="L370" s="4622">
        <f t="shared" ref="L370" si="19">L371-L372</f>
        <v>48744049</v>
      </c>
      <c r="M370" s="4621"/>
      <c r="N370" s="4623"/>
      <c r="O370" s="4623"/>
      <c r="P370" s="4623"/>
      <c r="Q370" s="4523"/>
      <c r="R370" s="4523"/>
    </row>
    <row r="371" spans="1:18" ht="18.75" customHeight="1">
      <c r="A371" s="4576"/>
      <c r="B371" s="4635" t="s">
        <v>660</v>
      </c>
      <c r="C371" s="4625"/>
      <c r="D371" s="4626"/>
      <c r="E371" s="4627"/>
      <c r="F371" s="4628"/>
      <c r="G371" s="4628"/>
      <c r="H371" s="4628"/>
      <c r="I371" s="4629">
        <f>I366</f>
        <v>24607406</v>
      </c>
      <c r="J371" s="4629">
        <f t="shared" ref="J371:L371" si="20">J366</f>
        <v>100516211</v>
      </c>
      <c r="K371" s="4629">
        <f t="shared" si="20"/>
        <v>83681089</v>
      </c>
      <c r="L371" s="4629">
        <f t="shared" si="20"/>
        <v>50578156</v>
      </c>
      <c r="M371" s="4628"/>
      <c r="N371" s="4630"/>
      <c r="O371" s="4630"/>
      <c r="P371" s="4630"/>
      <c r="Q371" s="4523"/>
      <c r="R371" s="4523"/>
    </row>
    <row r="372" spans="1:18" ht="23.25" customHeight="1">
      <c r="A372" s="4576"/>
      <c r="B372" s="4635" t="s">
        <v>661</v>
      </c>
      <c r="C372" s="4625"/>
      <c r="D372" s="4626"/>
      <c r="E372" s="4627"/>
      <c r="F372" s="4628"/>
      <c r="G372" s="4628"/>
      <c r="H372" s="4628"/>
      <c r="I372" s="4629">
        <f>I217+I222+I227+I232+I237+I242+I247+I252+I267+I272+I277+I282+I287+I292+I297+I302+I307+I312+I317</f>
        <v>5517682</v>
      </c>
      <c r="J372" s="4629">
        <f>J217+J222+J227+J232+J237+J242+J247+J252+J267+J272+J277+J282+J287+J292+J297+J302+J307+J312+J317</f>
        <v>54200938</v>
      </c>
      <c r="K372" s="4629">
        <f>K217+K222+K227+K232+K237+K242+K247+K252+K267+K272+K277+K282+K287+K292+K297+K302+K307+K312+K317</f>
        <v>32385491</v>
      </c>
      <c r="L372" s="4629">
        <f>L217+L222+L227+L232+L237+L242+L247+L252+L267+L272+L277+L282+L287+L292+L297+L302+L307+L312+L317</f>
        <v>1834107</v>
      </c>
      <c r="M372" s="4628"/>
      <c r="N372" s="4630"/>
      <c r="O372" s="4630"/>
      <c r="P372" s="4630"/>
      <c r="Q372" s="4523"/>
      <c r="R372" s="4523"/>
    </row>
    <row r="373" spans="1:18" ht="110.25" customHeight="1">
      <c r="A373" s="4576"/>
      <c r="B373" s="4618" t="s">
        <v>698</v>
      </c>
      <c r="C373" s="4619"/>
      <c r="D373" s="4620"/>
      <c r="E373" s="4621"/>
      <c r="F373" s="4621"/>
      <c r="G373" s="4621"/>
      <c r="H373" s="4622">
        <f>SUM(H374:H394)</f>
        <v>38038</v>
      </c>
      <c r="I373" s="4622">
        <f>SUM(I374:I394)</f>
        <v>23594960</v>
      </c>
      <c r="J373" s="4622">
        <f>SUM(J374:J394)</f>
        <v>7602451</v>
      </c>
      <c r="K373" s="4622">
        <f>SUM(K374:K394)</f>
        <v>4522140</v>
      </c>
      <c r="L373" s="4622"/>
      <c r="M373" s="4621"/>
      <c r="N373" s="4623"/>
      <c r="O373" s="4623"/>
      <c r="P373" s="4623"/>
      <c r="Q373" s="4523"/>
      <c r="R373" s="4523"/>
    </row>
    <row r="374" spans="1:18" ht="38.25" customHeight="1">
      <c r="A374" s="4576"/>
      <c r="B374" s="4636" t="s">
        <v>635</v>
      </c>
      <c r="C374" s="4637"/>
      <c r="D374" s="4626"/>
      <c r="E374" s="4638"/>
      <c r="F374" s="4630"/>
      <c r="G374" s="4630"/>
      <c r="H374" s="4639">
        <f>+'Tab. 6E - Administracja'!O61</f>
        <v>38038</v>
      </c>
      <c r="I374" s="4639">
        <f>+'Tab. 6E - Administracja'!P61</f>
        <v>0</v>
      </c>
      <c r="J374" s="4639"/>
      <c r="K374" s="4639"/>
      <c r="L374" s="4639"/>
      <c r="M374" s="4639"/>
      <c r="N374" s="4639"/>
      <c r="O374" s="4639"/>
      <c r="P374" s="4639"/>
      <c r="Q374" s="4523"/>
      <c r="R374" s="4523"/>
    </row>
    <row r="375" spans="1:18" ht="26.25" customHeight="1">
      <c r="A375" s="4576"/>
      <c r="B375" s="4636" t="s">
        <v>384</v>
      </c>
      <c r="C375" s="4637"/>
      <c r="D375" s="4626"/>
      <c r="E375" s="4638"/>
      <c r="F375" s="4630"/>
      <c r="G375" s="4630"/>
      <c r="H375" s="4639">
        <f>+'Tab. 6E - Administracja'!O121</f>
        <v>0</v>
      </c>
      <c r="I375" s="4639"/>
      <c r="J375" s="4639"/>
      <c r="K375" s="4639"/>
      <c r="L375" s="4639"/>
      <c r="M375" s="4639"/>
      <c r="N375" s="4639"/>
      <c r="O375" s="4639"/>
      <c r="P375" s="4639"/>
      <c r="Q375" s="4523"/>
      <c r="R375" s="4523"/>
    </row>
    <row r="376" spans="1:18" ht="27.75" customHeight="1">
      <c r="A376" s="4576"/>
      <c r="B376" s="4636" t="s">
        <v>642</v>
      </c>
      <c r="C376" s="4637"/>
      <c r="D376" s="4626"/>
      <c r="E376" s="4638"/>
      <c r="F376" s="4630"/>
      <c r="G376" s="4630"/>
      <c r="H376" s="4639"/>
      <c r="I376" s="4639">
        <f>+'Tab. 6A -Drogi'!P264</f>
        <v>6000000</v>
      </c>
      <c r="J376" s="4639"/>
      <c r="K376" s="4639"/>
      <c r="L376" s="4639"/>
      <c r="M376" s="4639"/>
      <c r="N376" s="4639"/>
      <c r="O376" s="4639"/>
      <c r="P376" s="4639"/>
      <c r="Q376" s="4523"/>
      <c r="R376" s="4523"/>
    </row>
    <row r="377" spans="1:18" ht="22.5" customHeight="1">
      <c r="B377" s="4636" t="s">
        <v>636</v>
      </c>
      <c r="C377" s="4640"/>
      <c r="D377" s="4641"/>
      <c r="E377" s="4640"/>
      <c r="F377" s="4640"/>
      <c r="G377" s="4640"/>
      <c r="H377" s="4639"/>
      <c r="I377" s="4639">
        <f>+'Tab. 6A -Drogi'!P328</f>
        <v>3900000</v>
      </c>
      <c r="J377" s="4639"/>
      <c r="K377" s="4639"/>
      <c r="L377" s="4640"/>
      <c r="M377" s="4640"/>
      <c r="N377" s="4640"/>
      <c r="O377" s="4640"/>
      <c r="P377" s="4640"/>
    </row>
    <row r="378" spans="1:18" ht="24">
      <c r="B378" s="4636" t="s">
        <v>637</v>
      </c>
      <c r="C378" s="4640"/>
      <c r="D378" s="4641"/>
      <c r="E378" s="4640"/>
      <c r="F378" s="4640"/>
      <c r="G378" s="4640"/>
      <c r="H378" s="4639"/>
      <c r="I378" s="4639">
        <f>+'Tab. 6A -Drogi'!P400</f>
        <v>1680000</v>
      </c>
      <c r="J378" s="4639"/>
      <c r="K378" s="4639"/>
      <c r="L378" s="4640"/>
      <c r="M378" s="4640"/>
      <c r="N378" s="4640"/>
      <c r="O378" s="4640"/>
      <c r="P378" s="4640"/>
    </row>
    <row r="379" spans="1:18" ht="18" customHeight="1">
      <c r="B379" s="4636" t="s">
        <v>638</v>
      </c>
      <c r="C379" s="4640"/>
      <c r="D379" s="4641"/>
      <c r="E379" s="4640"/>
      <c r="F379" s="4640"/>
      <c r="G379" s="4640"/>
      <c r="H379" s="4639"/>
      <c r="I379" s="4639">
        <f>+'Tab. 6E - Administracja'!P134</f>
        <v>1543800</v>
      </c>
      <c r="J379" s="4639"/>
      <c r="K379" s="4639"/>
      <c r="L379" s="4640"/>
      <c r="M379" s="4640"/>
      <c r="N379" s="4640"/>
      <c r="O379" s="4640"/>
      <c r="P379" s="4640"/>
    </row>
    <row r="380" spans="1:18" ht="24">
      <c r="B380" s="4636" t="s">
        <v>626</v>
      </c>
      <c r="C380" s="4640"/>
      <c r="D380" s="4641"/>
      <c r="E380" s="4640"/>
      <c r="F380" s="4640"/>
      <c r="G380" s="4640"/>
      <c r="H380" s="4639"/>
      <c r="I380" s="4639">
        <f>+'Tab. 6A -Drogi'!P276</f>
        <v>1000000</v>
      </c>
      <c r="J380" s="4639"/>
      <c r="K380" s="4639"/>
      <c r="L380" s="4640"/>
      <c r="M380" s="4640"/>
      <c r="N380" s="4640"/>
      <c r="O380" s="4640"/>
      <c r="P380" s="4640"/>
    </row>
    <row r="381" spans="1:18" ht="24">
      <c r="B381" s="4636" t="s">
        <v>627</v>
      </c>
      <c r="C381" s="4640"/>
      <c r="D381" s="4641"/>
      <c r="E381" s="4640"/>
      <c r="F381" s="4640"/>
      <c r="G381" s="4640"/>
      <c r="H381" s="4639"/>
      <c r="I381" s="4639">
        <f>+'Tab. 6A -Drogi'!P288</f>
        <v>100000</v>
      </c>
      <c r="J381" s="4639"/>
      <c r="K381" s="4639"/>
      <c r="L381" s="4640"/>
      <c r="M381" s="4640"/>
      <c r="N381" s="4640"/>
      <c r="O381" s="4640"/>
      <c r="P381" s="4640"/>
    </row>
    <row r="382" spans="1:18" ht="24">
      <c r="B382" s="4636" t="s">
        <v>628</v>
      </c>
      <c r="C382" s="4640"/>
      <c r="D382" s="4641"/>
      <c r="E382" s="4640"/>
      <c r="F382" s="4640"/>
      <c r="G382" s="4640"/>
      <c r="H382" s="4639"/>
      <c r="I382" s="4639">
        <f>+'Tab. 6A -Drogi'!P300</f>
        <v>100000</v>
      </c>
      <c r="J382" s="4639"/>
      <c r="K382" s="4639"/>
      <c r="L382" s="4640"/>
      <c r="M382" s="4640"/>
      <c r="N382" s="4640"/>
      <c r="O382" s="4640"/>
      <c r="P382" s="4640"/>
    </row>
    <row r="383" spans="1:18" ht="36">
      <c r="B383" s="4636" t="s">
        <v>629</v>
      </c>
      <c r="C383" s="4640"/>
      <c r="D383" s="4641"/>
      <c r="E383" s="4640"/>
      <c r="F383" s="4640"/>
      <c r="G383" s="4640"/>
      <c r="H383" s="4639"/>
      <c r="I383" s="4639">
        <f>+'Tab. 6A -Drogi'!P312</f>
        <v>300000</v>
      </c>
      <c r="J383" s="4639"/>
      <c r="K383" s="4639"/>
      <c r="L383" s="4640"/>
      <c r="M383" s="4640"/>
      <c r="N383" s="4640"/>
      <c r="O383" s="4640"/>
      <c r="P383" s="4640"/>
    </row>
    <row r="384" spans="1:18" ht="24">
      <c r="B384" s="4636" t="s">
        <v>479</v>
      </c>
      <c r="C384" s="4640"/>
      <c r="D384" s="4641"/>
      <c r="E384" s="4640"/>
      <c r="F384" s="4640"/>
      <c r="G384" s="4640"/>
      <c r="H384" s="4639"/>
      <c r="I384" s="4639">
        <f>+'Tab. 6A -Drogi'!P421</f>
        <v>1260000</v>
      </c>
      <c r="J384" s="4639"/>
      <c r="K384" s="4639"/>
      <c r="L384" s="4640"/>
      <c r="M384" s="4640"/>
      <c r="N384" s="4640"/>
      <c r="O384" s="4640"/>
      <c r="P384" s="4640"/>
    </row>
    <row r="385" spans="2:16" ht="24">
      <c r="B385" s="4636" t="s">
        <v>485</v>
      </c>
      <c r="C385" s="4640"/>
      <c r="D385" s="4641"/>
      <c r="E385" s="4640"/>
      <c r="F385" s="4640"/>
      <c r="G385" s="4640"/>
      <c r="H385" s="4639"/>
      <c r="I385" s="4639">
        <f>+'Tab. 6A -Drogi'!P649</f>
        <v>4390000</v>
      </c>
      <c r="J385" s="4639"/>
      <c r="K385" s="4639"/>
      <c r="L385" s="4640"/>
      <c r="M385" s="4640"/>
      <c r="N385" s="4640"/>
      <c r="O385" s="4640"/>
      <c r="P385" s="4640"/>
    </row>
    <row r="386" spans="2:16" ht="36">
      <c r="B386" s="4636" t="s">
        <v>630</v>
      </c>
      <c r="C386" s="4640"/>
      <c r="D386" s="4641"/>
      <c r="E386" s="4640"/>
      <c r="F386" s="4640"/>
      <c r="G386" s="4640"/>
      <c r="H386" s="4639"/>
      <c r="I386" s="4639"/>
      <c r="J386" s="4639"/>
      <c r="K386" s="4639"/>
      <c r="L386" s="4640"/>
      <c r="M386" s="4640"/>
      <c r="N386" s="4640"/>
      <c r="O386" s="4640"/>
      <c r="P386" s="4640"/>
    </row>
    <row r="387" spans="2:16" ht="36">
      <c r="B387" s="4636" t="s">
        <v>631</v>
      </c>
      <c r="C387" s="4640"/>
      <c r="D387" s="4641"/>
      <c r="E387" s="4640"/>
      <c r="F387" s="4640"/>
      <c r="G387" s="4640"/>
      <c r="H387" s="4639"/>
      <c r="I387" s="4639"/>
      <c r="J387" s="4639"/>
      <c r="K387" s="4639"/>
      <c r="L387" s="4640"/>
      <c r="M387" s="4640"/>
      <c r="N387" s="4640"/>
      <c r="O387" s="4640"/>
      <c r="P387" s="4640"/>
    </row>
    <row r="388" spans="2:16" ht="24">
      <c r="B388" s="4636" t="s">
        <v>480</v>
      </c>
      <c r="C388" s="4640"/>
      <c r="D388" s="4641"/>
      <c r="E388" s="4640"/>
      <c r="F388" s="4640"/>
      <c r="G388" s="4640"/>
      <c r="H388" s="4639"/>
      <c r="I388" s="4639">
        <f>+'Tab. 6A -Drogi'!P430</f>
        <v>1764000</v>
      </c>
      <c r="J388" s="4639"/>
      <c r="K388" s="4639"/>
      <c r="L388" s="4640"/>
      <c r="M388" s="4640"/>
      <c r="N388" s="4640"/>
      <c r="O388" s="4640"/>
      <c r="P388" s="4640"/>
    </row>
    <row r="389" spans="2:16" ht="24">
      <c r="B389" s="4636" t="s">
        <v>481</v>
      </c>
      <c r="C389" s="4640"/>
      <c r="D389" s="4641"/>
      <c r="E389" s="4640"/>
      <c r="F389" s="4640"/>
      <c r="G389" s="4640"/>
      <c r="H389" s="4639"/>
      <c r="I389" s="4639"/>
      <c r="J389" s="4639"/>
      <c r="K389" s="4639">
        <f>+'Tab. 6A -Drogi'!R439</f>
        <v>2610720</v>
      </c>
      <c r="L389" s="4640"/>
      <c r="M389" s="4640"/>
      <c r="N389" s="4640"/>
      <c r="O389" s="4640"/>
      <c r="P389" s="4640"/>
    </row>
    <row r="390" spans="2:16" ht="24">
      <c r="B390" s="4636" t="s">
        <v>482</v>
      </c>
      <c r="C390" s="4640"/>
      <c r="D390" s="4641"/>
      <c r="E390" s="4640"/>
      <c r="F390" s="4640"/>
      <c r="G390" s="4640"/>
      <c r="H390" s="4642"/>
      <c r="I390" s="4642"/>
      <c r="J390" s="4642"/>
      <c r="K390" s="4639">
        <f>+'Tab. 6A -Drogi'!R448</f>
        <v>1911420</v>
      </c>
      <c r="L390" s="4640"/>
      <c r="M390" s="4640"/>
      <c r="N390" s="4640"/>
      <c r="O390" s="4640"/>
      <c r="P390" s="4640"/>
    </row>
    <row r="391" spans="2:16" ht="27.75" customHeight="1">
      <c r="B391" s="4636" t="s">
        <v>632</v>
      </c>
      <c r="C391" s="4640"/>
      <c r="D391" s="4641"/>
      <c r="E391" s="4640"/>
      <c r="F391" s="4640"/>
      <c r="G391" s="4640"/>
      <c r="H391" s="4642"/>
      <c r="I391" s="4639"/>
      <c r="J391" s="4642"/>
      <c r="K391" s="4639"/>
      <c r="L391" s="4640"/>
      <c r="M391" s="4640"/>
      <c r="N391" s="4640"/>
      <c r="O391" s="4640"/>
      <c r="P391" s="4640"/>
    </row>
    <row r="392" spans="2:16" ht="24">
      <c r="B392" s="4636" t="s">
        <v>633</v>
      </c>
      <c r="C392" s="4640"/>
      <c r="D392" s="4641"/>
      <c r="E392" s="4640"/>
      <c r="F392" s="4640"/>
      <c r="G392" s="4640"/>
      <c r="H392" s="4642"/>
      <c r="I392" s="4639">
        <f>+'Tab. 6H - Kultura fiz. i turyst'!P95</f>
        <v>1101580</v>
      </c>
      <c r="J392" s="4639"/>
      <c r="K392" s="4639"/>
      <c r="L392" s="4640"/>
      <c r="M392" s="4640"/>
      <c r="N392" s="4640"/>
      <c r="O392" s="4640"/>
      <c r="P392" s="4640"/>
    </row>
    <row r="393" spans="2:16" ht="24">
      <c r="B393" s="4636" t="s">
        <v>634</v>
      </c>
      <c r="C393" s="4640"/>
      <c r="D393" s="4641"/>
      <c r="E393" s="4640"/>
      <c r="F393" s="4640"/>
      <c r="G393" s="4640"/>
      <c r="H393" s="4642"/>
      <c r="I393" s="4639">
        <f>+'Tab. 6H - Kultura fiz. i turyst'!P104</f>
        <v>455580</v>
      </c>
      <c r="J393" s="4639"/>
      <c r="K393" s="4639"/>
      <c r="L393" s="4640"/>
      <c r="M393" s="4640"/>
      <c r="N393" s="4640"/>
      <c r="O393" s="4640"/>
      <c r="P393" s="4640"/>
    </row>
    <row r="394" spans="2:16" ht="36">
      <c r="B394" s="4636" t="s">
        <v>533</v>
      </c>
      <c r="C394" s="4640"/>
      <c r="D394" s="4641"/>
      <c r="E394" s="4640"/>
      <c r="F394" s="4640"/>
      <c r="G394" s="4640"/>
      <c r="H394" s="4642"/>
      <c r="I394" s="4639">
        <f>+'Tab. 6H - Kultura fiz. i turyst'!P113</f>
        <v>0</v>
      </c>
      <c r="J394" s="4639">
        <f>+'Tab. 6H - Kultura fiz. i turyst'!Q113</f>
        <v>7602451</v>
      </c>
      <c r="K394" s="4639"/>
      <c r="L394" s="4640"/>
      <c r="M394" s="4640"/>
      <c r="N394" s="4640"/>
      <c r="O394" s="4640"/>
      <c r="P394" s="4640"/>
    </row>
  </sheetData>
  <mergeCells count="135">
    <mergeCell ref="A1:Q1"/>
    <mergeCell ref="A4:A7"/>
    <mergeCell ref="B4:B7"/>
    <mergeCell ref="C4:C7"/>
    <mergeCell ref="D4:D7"/>
    <mergeCell ref="E4:E7"/>
    <mergeCell ref="F4:F7"/>
    <mergeCell ref="Q4:Q7"/>
    <mergeCell ref="H4:H6"/>
    <mergeCell ref="G4:G6"/>
    <mergeCell ref="Q245:Q249"/>
    <mergeCell ref="Q250:Q254"/>
    <mergeCell ref="Q255:Q259"/>
    <mergeCell ref="Q260:Q264"/>
    <mergeCell ref="A255:A259"/>
    <mergeCell ref="A260:A264"/>
    <mergeCell ref="R4:R7"/>
    <mergeCell ref="Q11:Q14"/>
    <mergeCell ref="R11:R14"/>
    <mergeCell ref="Q15:Q18"/>
    <mergeCell ref="R15:R18"/>
    <mergeCell ref="A27:A31"/>
    <mergeCell ref="Q27:Q31"/>
    <mergeCell ref="R19:R22"/>
    <mergeCell ref="Q19:Q22"/>
    <mergeCell ref="Q23:Q26"/>
    <mergeCell ref="R23:R26"/>
    <mergeCell ref="A37:A41"/>
    <mergeCell ref="A215:A219"/>
    <mergeCell ref="A220:A224"/>
    <mergeCell ref="A225:A229"/>
    <mergeCell ref="A230:A234"/>
    <mergeCell ref="A235:A239"/>
    <mergeCell ref="A240:A244"/>
    <mergeCell ref="A245:A249"/>
    <mergeCell ref="A250:A254"/>
    <mergeCell ref="A200:A204"/>
    <mergeCell ref="A180:A184"/>
    <mergeCell ref="A185:A189"/>
    <mergeCell ref="A165:A169"/>
    <mergeCell ref="A170:A174"/>
    <mergeCell ref="A175:A179"/>
    <mergeCell ref="A155:A159"/>
    <mergeCell ref="A87:A91"/>
    <mergeCell ref="A92:A96"/>
    <mergeCell ref="A97:A101"/>
    <mergeCell ref="R215:R218"/>
    <mergeCell ref="Q215:Q219"/>
    <mergeCell ref="Q220:Q224"/>
    <mergeCell ref="Q225:Q229"/>
    <mergeCell ref="Q230:Q234"/>
    <mergeCell ref="Q235:Q239"/>
    <mergeCell ref="Q240:Q244"/>
    <mergeCell ref="Q81:Q85"/>
    <mergeCell ref="Q200:Q204"/>
    <mergeCell ref="Q180:Q184"/>
    <mergeCell ref="Q185:Q189"/>
    <mergeCell ref="Q165:Q169"/>
    <mergeCell ref="Q170:Q174"/>
    <mergeCell ref="Q175:Q179"/>
    <mergeCell ref="Q155:Q159"/>
    <mergeCell ref="Q87:Q91"/>
    <mergeCell ref="Q92:Q96"/>
    <mergeCell ref="A265:A269"/>
    <mergeCell ref="Q265:Q269"/>
    <mergeCell ref="A270:A274"/>
    <mergeCell ref="I4:P6"/>
    <mergeCell ref="A120:A124"/>
    <mergeCell ref="Q120:Q124"/>
    <mergeCell ref="Q270:Q274"/>
    <mergeCell ref="A42:A46"/>
    <mergeCell ref="Q42:Q46"/>
    <mergeCell ref="A47:A51"/>
    <mergeCell ref="Q47:Q51"/>
    <mergeCell ref="A52:A56"/>
    <mergeCell ref="Q52:Q56"/>
    <mergeCell ref="A57:A61"/>
    <mergeCell ref="Q57:Q61"/>
    <mergeCell ref="Q37:Q41"/>
    <mergeCell ref="A62:A66"/>
    <mergeCell ref="Q62:Q66"/>
    <mergeCell ref="A69:A73"/>
    <mergeCell ref="Q69:Q73"/>
    <mergeCell ref="Q115:Q119"/>
    <mergeCell ref="A206:A210"/>
    <mergeCell ref="Q206:Q210"/>
    <mergeCell ref="A81:A85"/>
    <mergeCell ref="A327:A331"/>
    <mergeCell ref="Q327:Q331"/>
    <mergeCell ref="A110:A114"/>
    <mergeCell ref="Q110:Q114"/>
    <mergeCell ref="A125:A129"/>
    <mergeCell ref="Q125:Q129"/>
    <mergeCell ref="A193:A197"/>
    <mergeCell ref="Q193:Q197"/>
    <mergeCell ref="A130:A134"/>
    <mergeCell ref="Q130:Q134"/>
    <mergeCell ref="A135:A139"/>
    <mergeCell ref="Q135:Q139"/>
    <mergeCell ref="A140:A144"/>
    <mergeCell ref="Q140:Q144"/>
    <mergeCell ref="A145:A149"/>
    <mergeCell ref="A150:A154"/>
    <mergeCell ref="Q150:Q154"/>
    <mergeCell ref="A275:A279"/>
    <mergeCell ref="Q275:Q279"/>
    <mergeCell ref="A160:A164"/>
    <mergeCell ref="Q160:Q164"/>
    <mergeCell ref="A295:A299"/>
    <mergeCell ref="Q295:Q299"/>
    <mergeCell ref="A300:A304"/>
    <mergeCell ref="A32:A36"/>
    <mergeCell ref="Q32:Q36"/>
    <mergeCell ref="Q97:Q101"/>
    <mergeCell ref="A102:A106"/>
    <mergeCell ref="Q102:Q106"/>
    <mergeCell ref="Q300:Q304"/>
    <mergeCell ref="A320:A324"/>
    <mergeCell ref="Q320:Q324"/>
    <mergeCell ref="A280:A284"/>
    <mergeCell ref="Q280:Q284"/>
    <mergeCell ref="A285:A289"/>
    <mergeCell ref="Q285:Q289"/>
    <mergeCell ref="A290:A294"/>
    <mergeCell ref="Q290:Q294"/>
    <mergeCell ref="A305:A309"/>
    <mergeCell ref="Q305:Q309"/>
    <mergeCell ref="A310:A314"/>
    <mergeCell ref="Q310:Q314"/>
    <mergeCell ref="A315:A319"/>
    <mergeCell ref="Q315:Q319"/>
    <mergeCell ref="A74:A78"/>
    <mergeCell ref="Q74:Q78"/>
    <mergeCell ref="Q145:Q149"/>
    <mergeCell ref="A115:A119"/>
  </mergeCells>
  <pageMargins left="0.19685039370078741" right="0.11811023622047245" top="0.27559055118110237" bottom="0.23622047244094491" header="0.19685039370078741" footer="0.15748031496062992"/>
  <pageSetup paperSize="9" scale="64" orientation="landscape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665"/>
  <sheetViews>
    <sheetView showGridLines="0" view="pageBreakPreview" zoomScale="106" zoomScaleNormal="100" zoomScaleSheetLayoutView="106" workbookViewId="0">
      <pane xSplit="4" ySplit="8" topLeftCell="E27" activePane="bottomRight" state="frozen"/>
      <selection activeCell="U30" sqref="U30"/>
      <selection pane="topRight" activeCell="U30" sqref="U30"/>
      <selection pane="bottomLeft" activeCell="U30" sqref="U30"/>
      <selection pane="bottomRight" activeCell="B399" sqref="B399"/>
    </sheetView>
  </sheetViews>
  <sheetFormatPr defaultColWidth="9.140625" defaultRowHeight="12.75"/>
  <cols>
    <col min="1" max="1" width="3.42578125" style="1283" customWidth="1"/>
    <col min="2" max="2" width="58.7109375" style="1283" customWidth="1"/>
    <col min="3" max="3" width="11" style="1283" customWidth="1"/>
    <col min="4" max="4" width="12.42578125" style="1283" customWidth="1"/>
    <col min="5" max="5" width="11.85546875" style="1283" hidden="1" customWidth="1"/>
    <col min="6" max="8" width="11.7109375" style="1283" hidden="1" customWidth="1"/>
    <col min="9" max="9" width="11.140625" style="1283" hidden="1" customWidth="1"/>
    <col min="10" max="10" width="11.42578125" style="1283" hidden="1" customWidth="1"/>
    <col min="11" max="11" width="11" style="1283" hidden="1" customWidth="1"/>
    <col min="12" max="12" width="12.28515625" style="1283" hidden="1" customWidth="1"/>
    <col min="13" max="13" width="12.28515625" style="1283" customWidth="1"/>
    <col min="14" max="14" width="4.42578125" style="1283" hidden="1" customWidth="1"/>
    <col min="15" max="15" width="11.7109375" style="1283" customWidth="1"/>
    <col min="16" max="16" width="11.28515625" style="1283" customWidth="1"/>
    <col min="17" max="17" width="10.7109375" style="1283" customWidth="1"/>
    <col min="18" max="18" width="10.85546875" style="1283" customWidth="1"/>
    <col min="19" max="19" width="11.28515625" style="1283" customWidth="1"/>
    <col min="20" max="20" width="9.7109375" style="1283" customWidth="1"/>
    <col min="21" max="21" width="7.42578125" style="1283" customWidth="1"/>
    <col min="22" max="23" width="7" style="1283" customWidth="1"/>
    <col min="24" max="24" width="12.7109375" style="1283" customWidth="1"/>
    <col min="25" max="25" width="12" style="1283" customWidth="1"/>
    <col min="26" max="26" width="12.42578125" style="1283" customWidth="1"/>
    <col min="27" max="27" width="16" style="1283" customWidth="1"/>
    <col min="28" max="28" width="10" style="1283" customWidth="1"/>
    <col min="29" max="29" width="16.42578125" style="1283" customWidth="1"/>
    <col min="30" max="16384" width="9.140625" style="1283"/>
  </cols>
  <sheetData>
    <row r="1" spans="1:29" ht="15.75" customHeight="1">
      <c r="O1" s="324"/>
      <c r="P1" s="324"/>
      <c r="Q1" s="324"/>
      <c r="R1" s="324"/>
      <c r="S1" s="324"/>
      <c r="T1" s="323" t="s">
        <v>86</v>
      </c>
      <c r="U1" s="323"/>
      <c r="V1" s="323"/>
      <c r="W1" s="323"/>
      <c r="X1" s="325"/>
      <c r="Y1" s="326"/>
    </row>
    <row r="2" spans="1:29" ht="15" customHeight="1"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  <c r="Q2" s="843"/>
      <c r="R2" s="843"/>
      <c r="S2" s="843"/>
      <c r="T2" s="843"/>
      <c r="U2" s="843"/>
      <c r="V2" s="843"/>
      <c r="W2" s="843"/>
      <c r="X2" s="843"/>
      <c r="Y2" s="326"/>
    </row>
    <row r="3" spans="1:29" ht="9" customHeight="1"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5"/>
      <c r="Y3" s="326"/>
    </row>
    <row r="4" spans="1:29" ht="40.5" customHeight="1" thickBot="1">
      <c r="A4" s="3053" t="s">
        <v>321</v>
      </c>
      <c r="B4" s="3053"/>
      <c r="C4" s="3053"/>
      <c r="D4" s="3053"/>
      <c r="E4" s="3053"/>
      <c r="F4" s="3053"/>
      <c r="G4" s="3053"/>
      <c r="H4" s="3053"/>
      <c r="I4" s="3053"/>
      <c r="J4" s="3053"/>
      <c r="K4" s="3053"/>
      <c r="L4" s="3053"/>
      <c r="M4" s="3053"/>
      <c r="N4" s="3053"/>
      <c r="O4" s="3053"/>
      <c r="P4" s="3053"/>
      <c r="Q4" s="3053"/>
      <c r="R4" s="3053"/>
      <c r="S4" s="3053"/>
      <c r="T4" s="3053"/>
      <c r="U4" s="3053"/>
      <c r="V4" s="3053"/>
      <c r="W4" s="3053"/>
      <c r="X4" s="3053"/>
      <c r="Y4" s="3053"/>
    </row>
    <row r="5" spans="1:29" ht="17.25" customHeight="1">
      <c r="A5" s="328"/>
      <c r="B5" s="329"/>
      <c r="C5" s="3054" t="s">
        <v>87</v>
      </c>
      <c r="D5" s="3057" t="s">
        <v>88</v>
      </c>
      <c r="E5" s="1249"/>
      <c r="F5" s="1250"/>
      <c r="G5" s="1250"/>
      <c r="H5" s="1250"/>
      <c r="I5" s="1250"/>
      <c r="J5" s="1250"/>
      <c r="K5" s="1250"/>
      <c r="L5" s="1250"/>
      <c r="M5" s="3072" t="s">
        <v>399</v>
      </c>
      <c r="N5" s="1250"/>
      <c r="O5" s="3074" t="s">
        <v>415</v>
      </c>
      <c r="P5" s="3076" t="s">
        <v>410</v>
      </c>
      <c r="Q5" s="3077"/>
      <c r="R5" s="3077"/>
      <c r="S5" s="3077"/>
      <c r="T5" s="3077"/>
      <c r="U5" s="3077"/>
      <c r="V5" s="3077"/>
      <c r="W5" s="3078"/>
      <c r="X5" s="3066" t="s">
        <v>376</v>
      </c>
      <c r="Y5" s="3060" t="s">
        <v>89</v>
      </c>
    </row>
    <row r="6" spans="1:29" ht="53.25" customHeight="1">
      <c r="A6" s="2648" t="s">
        <v>90</v>
      </c>
      <c r="B6" s="2661" t="s">
        <v>91</v>
      </c>
      <c r="C6" s="3055"/>
      <c r="D6" s="3058"/>
      <c r="E6" s="940"/>
      <c r="F6" s="941"/>
      <c r="G6" s="941"/>
      <c r="H6" s="941"/>
      <c r="I6" s="941"/>
      <c r="J6" s="941"/>
      <c r="K6" s="941"/>
      <c r="L6" s="941"/>
      <c r="M6" s="3073"/>
      <c r="N6" s="941"/>
      <c r="O6" s="3075"/>
      <c r="P6" s="3079"/>
      <c r="Q6" s="3080"/>
      <c r="R6" s="3080"/>
      <c r="S6" s="3080"/>
      <c r="T6" s="3080"/>
      <c r="U6" s="3080"/>
      <c r="V6" s="3080"/>
      <c r="W6" s="3081"/>
      <c r="X6" s="3067"/>
      <c r="Y6" s="3061"/>
      <c r="Z6" s="843"/>
    </row>
    <row r="7" spans="1:29" ht="41.25" customHeight="1" thickBot="1">
      <c r="A7" s="331"/>
      <c r="B7" s="332"/>
      <c r="C7" s="3056"/>
      <c r="D7" s="3059"/>
      <c r="E7" s="2666" t="s">
        <v>6</v>
      </c>
      <c r="F7" s="333" t="s">
        <v>7</v>
      </c>
      <c r="G7" s="333" t="s">
        <v>8</v>
      </c>
      <c r="H7" s="333" t="s">
        <v>9</v>
      </c>
      <c r="I7" s="2649" t="s">
        <v>10</v>
      </c>
      <c r="J7" s="2649" t="s">
        <v>11</v>
      </c>
      <c r="K7" s="2649">
        <v>2012</v>
      </c>
      <c r="L7" s="2649">
        <v>2013</v>
      </c>
      <c r="M7" s="1211" t="s">
        <v>371</v>
      </c>
      <c r="N7" s="932" t="s">
        <v>14</v>
      </c>
      <c r="O7" s="932" t="s">
        <v>15</v>
      </c>
      <c r="P7" s="932" t="s">
        <v>16</v>
      </c>
      <c r="Q7" s="932" t="s">
        <v>17</v>
      </c>
      <c r="R7" s="932" t="s">
        <v>18</v>
      </c>
      <c r="S7" s="932" t="s">
        <v>290</v>
      </c>
      <c r="T7" s="932" t="s">
        <v>295</v>
      </c>
      <c r="U7" s="932" t="s">
        <v>373</v>
      </c>
      <c r="V7" s="932" t="s">
        <v>374</v>
      </c>
      <c r="W7" s="932" t="s">
        <v>372</v>
      </c>
      <c r="X7" s="3068"/>
      <c r="Y7" s="3062"/>
      <c r="Z7" s="843"/>
      <c r="AA7" s="843"/>
    </row>
    <row r="8" spans="1:29" s="985" customFormat="1" ht="12.75" customHeight="1" thickBot="1">
      <c r="A8" s="334">
        <v>1</v>
      </c>
      <c r="B8" s="335">
        <v>2</v>
      </c>
      <c r="C8" s="336">
        <v>3</v>
      </c>
      <c r="D8" s="337">
        <v>4</v>
      </c>
      <c r="E8" s="338"/>
      <c r="F8" s="339"/>
      <c r="G8" s="339"/>
      <c r="H8" s="339"/>
      <c r="I8" s="340"/>
      <c r="J8" s="340"/>
      <c r="K8" s="340"/>
      <c r="L8" s="341"/>
      <c r="M8" s="341">
        <v>5</v>
      </c>
      <c r="N8" s="341" t="s">
        <v>375</v>
      </c>
      <c r="O8" s="341">
        <v>6</v>
      </c>
      <c r="P8" s="341">
        <v>7</v>
      </c>
      <c r="Q8" s="341">
        <v>8</v>
      </c>
      <c r="R8" s="342">
        <v>9</v>
      </c>
      <c r="S8" s="342">
        <v>10</v>
      </c>
      <c r="T8" s="342">
        <v>11</v>
      </c>
      <c r="U8" s="342">
        <v>12</v>
      </c>
      <c r="V8" s="342">
        <v>13</v>
      </c>
      <c r="W8" s="342">
        <v>14</v>
      </c>
      <c r="X8" s="343">
        <v>15</v>
      </c>
      <c r="Y8" s="344">
        <v>16</v>
      </c>
      <c r="Z8" s="984"/>
      <c r="AA8" s="984"/>
    </row>
    <row r="9" spans="1:29" ht="14.25" customHeight="1">
      <c r="A9" s="3063" t="s">
        <v>84</v>
      </c>
      <c r="B9" s="789" t="s">
        <v>92</v>
      </c>
      <c r="C9" s="790"/>
      <c r="D9" s="791">
        <f>+D10+D11</f>
        <v>1061358434</v>
      </c>
      <c r="E9" s="791">
        <f t="shared" ref="E9:R9" si="0">+E10+E11</f>
        <v>442753</v>
      </c>
      <c r="F9" s="791">
        <f t="shared" si="0"/>
        <v>49287</v>
      </c>
      <c r="G9" s="791">
        <f t="shared" si="0"/>
        <v>129117</v>
      </c>
      <c r="H9" s="791">
        <f t="shared" si="0"/>
        <v>8829</v>
      </c>
      <c r="I9" s="791">
        <f t="shared" si="0"/>
        <v>2635841</v>
      </c>
      <c r="J9" s="791">
        <f t="shared" si="0"/>
        <v>28817903</v>
      </c>
      <c r="K9" s="791">
        <f t="shared" si="0"/>
        <v>56908556</v>
      </c>
      <c r="L9" s="791">
        <f t="shared" si="0"/>
        <v>105417008</v>
      </c>
      <c r="M9" s="791">
        <f t="shared" ref="M9" si="1">+M10+M11</f>
        <v>366005766</v>
      </c>
      <c r="N9" s="791">
        <f t="shared" si="0"/>
        <v>171783705</v>
      </c>
      <c r="O9" s="791">
        <f t="shared" si="0"/>
        <v>108817630</v>
      </c>
      <c r="P9" s="791">
        <f t="shared" si="0"/>
        <v>101810861</v>
      </c>
      <c r="Q9" s="791">
        <f t="shared" si="0"/>
        <v>317419870</v>
      </c>
      <c r="R9" s="791">
        <f t="shared" si="0"/>
        <v>159582862</v>
      </c>
      <c r="S9" s="791">
        <f t="shared" ref="S9:T9" si="2">+S10+S11</f>
        <v>7721445</v>
      </c>
      <c r="T9" s="791">
        <f t="shared" si="2"/>
        <v>0</v>
      </c>
      <c r="U9" s="791">
        <f t="shared" ref="U9:W9" si="3">+U10+U11</f>
        <v>0</v>
      </c>
      <c r="V9" s="791">
        <f t="shared" si="3"/>
        <v>0</v>
      </c>
      <c r="W9" s="791">
        <f t="shared" si="3"/>
        <v>0</v>
      </c>
      <c r="X9" s="345">
        <f>+X10+X11</f>
        <v>586535038</v>
      </c>
      <c r="Y9" s="1289"/>
      <c r="Z9" s="843">
        <f>+O9+P9</f>
        <v>210628491</v>
      </c>
    </row>
    <row r="10" spans="1:29" ht="14.25" customHeight="1">
      <c r="A10" s="3064"/>
      <c r="B10" s="792" t="s">
        <v>93</v>
      </c>
      <c r="C10" s="793"/>
      <c r="D10" s="794">
        <f>+D506+D524+D457</f>
        <v>587420</v>
      </c>
      <c r="E10" s="794">
        <f t="shared" ref="E10:W10" si="4">+E506+E524+E457</f>
        <v>0</v>
      </c>
      <c r="F10" s="794">
        <f t="shared" si="4"/>
        <v>0</v>
      </c>
      <c r="G10" s="794">
        <f t="shared" si="4"/>
        <v>0</v>
      </c>
      <c r="H10" s="794">
        <f t="shared" si="4"/>
        <v>0</v>
      </c>
      <c r="I10" s="794">
        <f t="shared" si="4"/>
        <v>0</v>
      </c>
      <c r="J10" s="794">
        <f t="shared" si="4"/>
        <v>0</v>
      </c>
      <c r="K10" s="794">
        <f t="shared" si="4"/>
        <v>0</v>
      </c>
      <c r="L10" s="794">
        <f t="shared" si="4"/>
        <v>0</v>
      </c>
      <c r="M10" s="794">
        <f t="shared" si="4"/>
        <v>6326</v>
      </c>
      <c r="N10" s="794">
        <f t="shared" si="4"/>
        <v>6326</v>
      </c>
      <c r="O10" s="794">
        <f t="shared" si="4"/>
        <v>128872</v>
      </c>
      <c r="P10" s="794">
        <f t="shared" si="4"/>
        <v>48546</v>
      </c>
      <c r="Q10" s="794">
        <f t="shared" si="4"/>
        <v>266706</v>
      </c>
      <c r="R10" s="794">
        <f t="shared" si="4"/>
        <v>115385</v>
      </c>
      <c r="S10" s="794">
        <f>+S506+S524+S457</f>
        <v>21585</v>
      </c>
      <c r="T10" s="794">
        <f t="shared" si="4"/>
        <v>0</v>
      </c>
      <c r="U10" s="794">
        <f t="shared" si="4"/>
        <v>0</v>
      </c>
      <c r="V10" s="794">
        <f t="shared" si="4"/>
        <v>0</v>
      </c>
      <c r="W10" s="794">
        <f t="shared" si="4"/>
        <v>0</v>
      </c>
      <c r="X10" s="1290">
        <f>SUM(P10:W10)</f>
        <v>452222</v>
      </c>
      <c r="Y10" s="812"/>
    </row>
    <row r="11" spans="1:29" ht="14.25" customHeight="1" thickBot="1">
      <c r="A11" s="3064"/>
      <c r="B11" s="795" t="s">
        <v>21</v>
      </c>
      <c r="C11" s="796"/>
      <c r="D11" s="797">
        <f>+D54+D224+D68+D82+D248+D98+D112+D264+D364+D328+D124+D133+D340+D145+D157+D168+D177+D189+D198+D239+D207+D390+D488+D352+D214+D400+D276+D288+D300+D312+D409+D421+D430+D439+D448+D324</f>
        <v>1060771014</v>
      </c>
      <c r="E11" s="797">
        <f t="shared" ref="E11:W11" si="5">+E54+E224+E68+E82+E248+E98+E112+E264+E364+E328+E124+E133+E340+E145+E157+E168+E177+E189+E198+E239+E207+E390+E488+E352+E214+E400+E276+E288+E300+E312+E409+E421+E430+E439+E448+E324</f>
        <v>442753</v>
      </c>
      <c r="F11" s="797">
        <f t="shared" si="5"/>
        <v>49287</v>
      </c>
      <c r="G11" s="797">
        <f t="shared" si="5"/>
        <v>129117</v>
      </c>
      <c r="H11" s="797">
        <f t="shared" si="5"/>
        <v>8829</v>
      </c>
      <c r="I11" s="797">
        <f t="shared" si="5"/>
        <v>2635841</v>
      </c>
      <c r="J11" s="797">
        <f t="shared" si="5"/>
        <v>28817903</v>
      </c>
      <c r="K11" s="797">
        <f t="shared" si="5"/>
        <v>56908556</v>
      </c>
      <c r="L11" s="797">
        <f t="shared" si="5"/>
        <v>105417008</v>
      </c>
      <c r="M11" s="797">
        <f t="shared" si="5"/>
        <v>365999440</v>
      </c>
      <c r="N11" s="797">
        <f t="shared" si="5"/>
        <v>171777379</v>
      </c>
      <c r="O11" s="797">
        <f t="shared" si="5"/>
        <v>108688758</v>
      </c>
      <c r="P11" s="797">
        <f t="shared" si="5"/>
        <v>101762315</v>
      </c>
      <c r="Q11" s="797">
        <f t="shared" si="5"/>
        <v>317153164</v>
      </c>
      <c r="R11" s="797">
        <f t="shared" si="5"/>
        <v>159467477</v>
      </c>
      <c r="S11" s="797">
        <f t="shared" si="5"/>
        <v>7699860</v>
      </c>
      <c r="T11" s="797">
        <f t="shared" si="5"/>
        <v>0</v>
      </c>
      <c r="U11" s="797">
        <f t="shared" si="5"/>
        <v>0</v>
      </c>
      <c r="V11" s="797">
        <f t="shared" si="5"/>
        <v>0</v>
      </c>
      <c r="W11" s="797">
        <f t="shared" si="5"/>
        <v>0</v>
      </c>
      <c r="X11" s="678">
        <f>SUM(P11:W11)</f>
        <v>586082816</v>
      </c>
      <c r="Y11" s="812"/>
    </row>
    <row r="12" spans="1:29" ht="13.5" customHeight="1">
      <c r="A12" s="3064"/>
      <c r="B12" s="348" t="s">
        <v>22</v>
      </c>
      <c r="C12" s="349"/>
      <c r="D12" s="350">
        <f>+D13+D19</f>
        <v>1061358434</v>
      </c>
      <c r="E12" s="350">
        <f t="shared" ref="E12:P12" si="6">+E13+E19</f>
        <v>442753</v>
      </c>
      <c r="F12" s="350">
        <f t="shared" si="6"/>
        <v>49287</v>
      </c>
      <c r="G12" s="350">
        <f t="shared" si="6"/>
        <v>129117</v>
      </c>
      <c r="H12" s="350">
        <f t="shared" si="6"/>
        <v>8829</v>
      </c>
      <c r="I12" s="350">
        <f t="shared" si="6"/>
        <v>2635841</v>
      </c>
      <c r="J12" s="350">
        <f t="shared" si="6"/>
        <v>28817903</v>
      </c>
      <c r="K12" s="350">
        <f t="shared" si="6"/>
        <v>56908556</v>
      </c>
      <c r="L12" s="350">
        <f t="shared" si="6"/>
        <v>105417008</v>
      </c>
      <c r="M12" s="350">
        <f>+M13+M19</f>
        <v>366005766</v>
      </c>
      <c r="N12" s="350">
        <f t="shared" si="6"/>
        <v>171783705</v>
      </c>
      <c r="O12" s="350">
        <f>+O13+O19</f>
        <v>108817630</v>
      </c>
      <c r="P12" s="350">
        <f t="shared" si="6"/>
        <v>101810861</v>
      </c>
      <c r="Q12" s="350">
        <f>+Q13+Q19</f>
        <v>317419870</v>
      </c>
      <c r="R12" s="350">
        <f>+R13+R19</f>
        <v>159582862</v>
      </c>
      <c r="S12" s="350">
        <f t="shared" ref="S12:T12" si="7">+S13+S19</f>
        <v>7721445</v>
      </c>
      <c r="T12" s="350">
        <f t="shared" si="7"/>
        <v>0</v>
      </c>
      <c r="U12" s="350">
        <f t="shared" ref="U12:W12" si="8">+U13+U19</f>
        <v>0</v>
      </c>
      <c r="V12" s="350">
        <f t="shared" si="8"/>
        <v>0</v>
      </c>
      <c r="W12" s="350">
        <f t="shared" si="8"/>
        <v>0</v>
      </c>
      <c r="X12" s="351">
        <f>+X13+X19</f>
        <v>586535038</v>
      </c>
      <c r="Y12" s="346"/>
      <c r="Z12" s="772"/>
      <c r="AA12" s="843"/>
      <c r="AC12" s="843"/>
    </row>
    <row r="13" spans="1:29" s="773" customFormat="1">
      <c r="A13" s="3064"/>
      <c r="B13" s="352" t="s">
        <v>23</v>
      </c>
      <c r="C13" s="353"/>
      <c r="D13" s="354">
        <f>+D14+D15+D16+D17+D18</f>
        <v>176746042</v>
      </c>
      <c r="E13" s="354">
        <f t="shared" ref="E13:P13" si="9">+E14+E15+E16+E17+E18</f>
        <v>234085</v>
      </c>
      <c r="F13" s="354">
        <f t="shared" si="9"/>
        <v>49287</v>
      </c>
      <c r="G13" s="354">
        <f t="shared" si="9"/>
        <v>128606</v>
      </c>
      <c r="H13" s="354">
        <f t="shared" si="9"/>
        <v>83</v>
      </c>
      <c r="I13" s="354">
        <f t="shared" si="9"/>
        <v>1314056</v>
      </c>
      <c r="J13" s="354">
        <f t="shared" si="9"/>
        <v>15206845</v>
      </c>
      <c r="K13" s="354">
        <f t="shared" si="9"/>
        <v>12716657</v>
      </c>
      <c r="L13" s="354">
        <f t="shared" si="9"/>
        <v>17103387</v>
      </c>
      <c r="M13" s="354">
        <f t="shared" ref="M13" si="10">+M14+M15+M16+M17+M18</f>
        <v>70433323</v>
      </c>
      <c r="N13" s="354">
        <f t="shared" si="9"/>
        <v>23858293</v>
      </c>
      <c r="O13" s="354">
        <f>+O14+O15+O16+O17+O18</f>
        <v>13143226</v>
      </c>
      <c r="P13" s="354">
        <f t="shared" si="9"/>
        <v>7047570</v>
      </c>
      <c r="Q13" s="354">
        <f>+Q14+Q15+Q16+Q17+Q18</f>
        <v>53579973</v>
      </c>
      <c r="R13" s="354">
        <f>+R14+R15+R16+R17+R18</f>
        <v>30704606</v>
      </c>
      <c r="S13" s="354">
        <f t="shared" ref="S13:T13" si="11">+S14+S15+S16+S17+S18</f>
        <v>1837344</v>
      </c>
      <c r="T13" s="354">
        <f t="shared" si="11"/>
        <v>0</v>
      </c>
      <c r="U13" s="354">
        <f t="shared" ref="U13:W13" si="12">+U14+U15+U16+U17+U18</f>
        <v>0</v>
      </c>
      <c r="V13" s="354">
        <f t="shared" si="12"/>
        <v>0</v>
      </c>
      <c r="W13" s="354">
        <f t="shared" si="12"/>
        <v>0</v>
      </c>
      <c r="X13" s="355">
        <f>SUM(X14:X18)</f>
        <v>93169493</v>
      </c>
      <c r="Y13" s="356"/>
      <c r="Z13" s="986"/>
      <c r="AA13" s="772"/>
    </row>
    <row r="14" spans="1:29">
      <c r="A14" s="3064"/>
      <c r="B14" s="357" t="s">
        <v>24</v>
      </c>
      <c r="C14" s="358"/>
      <c r="D14" s="359">
        <f>+D38+D380+D474+D517</f>
        <v>85253273</v>
      </c>
      <c r="E14" s="359">
        <f>+E38+E380+E474+E517</f>
        <v>217891</v>
      </c>
      <c r="F14" s="359">
        <f>+F38+F380+F474</f>
        <v>49287</v>
      </c>
      <c r="G14" s="359">
        <f>+G38+G380+G474</f>
        <v>128606</v>
      </c>
      <c r="H14" s="359">
        <f>+H38+H380+H474</f>
        <v>0</v>
      </c>
      <c r="I14" s="359">
        <f>+I38+I380+I474+I517</f>
        <v>1115098</v>
      </c>
      <c r="J14" s="359">
        <f>+J38+J380+J474</f>
        <v>1543634</v>
      </c>
      <c r="K14" s="359">
        <f>+K38+K380+K474</f>
        <v>4489061</v>
      </c>
      <c r="L14" s="359">
        <f>+L38+L380+L474</f>
        <v>4668336</v>
      </c>
      <c r="M14" s="359">
        <f>+M38+M380+M474</f>
        <v>20249726</v>
      </c>
      <c r="N14" s="359">
        <f t="shared" ref="N14:W14" si="13">+N38+N380+N474+N517</f>
        <v>8215706</v>
      </c>
      <c r="O14" s="359">
        <f t="shared" si="13"/>
        <v>2700195</v>
      </c>
      <c r="P14" s="359">
        <f>+P38+P380+P474+P517</f>
        <v>6047570</v>
      </c>
      <c r="Q14" s="359">
        <f t="shared" si="13"/>
        <v>32133117</v>
      </c>
      <c r="R14" s="359">
        <f t="shared" si="13"/>
        <v>22285321</v>
      </c>
      <c r="S14" s="359">
        <f t="shared" si="13"/>
        <v>1837344</v>
      </c>
      <c r="T14" s="359">
        <f t="shared" si="13"/>
        <v>0</v>
      </c>
      <c r="U14" s="359">
        <f t="shared" si="13"/>
        <v>0</v>
      </c>
      <c r="V14" s="359">
        <f t="shared" si="13"/>
        <v>0</v>
      </c>
      <c r="W14" s="359">
        <f t="shared" si="13"/>
        <v>0</v>
      </c>
      <c r="X14" s="360">
        <f>SUM(P14:T14)</f>
        <v>62303352</v>
      </c>
      <c r="Y14" s="346"/>
      <c r="Z14" s="843"/>
      <c r="AA14" s="843"/>
      <c r="AC14" s="843"/>
    </row>
    <row r="15" spans="1:29" ht="12" customHeight="1">
      <c r="A15" s="3064"/>
      <c r="B15" s="361" t="s">
        <v>94</v>
      </c>
      <c r="C15" s="362"/>
      <c r="D15" s="359">
        <f>+D475</f>
        <v>14575000</v>
      </c>
      <c r="E15" s="359">
        <f t="shared" ref="E15:P15" si="14">+E475</f>
        <v>0</v>
      </c>
      <c r="F15" s="359">
        <f t="shared" si="14"/>
        <v>0</v>
      </c>
      <c r="G15" s="359">
        <f t="shared" si="14"/>
        <v>0</v>
      </c>
      <c r="H15" s="359">
        <f t="shared" si="14"/>
        <v>0</v>
      </c>
      <c r="I15" s="359">
        <f t="shared" si="14"/>
        <v>0</v>
      </c>
      <c r="J15" s="359">
        <f t="shared" si="14"/>
        <v>0</v>
      </c>
      <c r="K15" s="359">
        <f t="shared" si="14"/>
        <v>0</v>
      </c>
      <c r="L15" s="359">
        <f t="shared" si="14"/>
        <v>0</v>
      </c>
      <c r="M15" s="359">
        <f t="shared" ref="M15" si="15">+M475</f>
        <v>7293750</v>
      </c>
      <c r="N15" s="359">
        <f t="shared" si="14"/>
        <v>7293750</v>
      </c>
      <c r="O15" s="359">
        <f>+O475</f>
        <v>7281250</v>
      </c>
      <c r="P15" s="359">
        <f t="shared" si="14"/>
        <v>0</v>
      </c>
      <c r="Q15" s="359">
        <f>+Q475</f>
        <v>0</v>
      </c>
      <c r="R15" s="359">
        <f>+R475</f>
        <v>0</v>
      </c>
      <c r="S15" s="359">
        <f t="shared" ref="S15:T15" si="16">+S475</f>
        <v>0</v>
      </c>
      <c r="T15" s="359">
        <f t="shared" si="16"/>
        <v>0</v>
      </c>
      <c r="U15" s="359">
        <f t="shared" ref="U15:W15" si="17">+U475</f>
        <v>0</v>
      </c>
      <c r="V15" s="359">
        <f t="shared" si="17"/>
        <v>0</v>
      </c>
      <c r="W15" s="359">
        <f t="shared" si="17"/>
        <v>0</v>
      </c>
      <c r="X15" s="360">
        <f>SUM(P15:T15)</f>
        <v>0</v>
      </c>
      <c r="Y15" s="363"/>
      <c r="Z15" s="843"/>
    </row>
    <row r="16" spans="1:29" ht="13.5" customHeight="1">
      <c r="A16" s="3064"/>
      <c r="B16" s="357" t="s">
        <v>27</v>
      </c>
      <c r="C16" s="358"/>
      <c r="D16" s="359">
        <f t="shared" ref="D16:W16" si="18">+D39+D381</f>
        <v>10071467</v>
      </c>
      <c r="E16" s="359">
        <f t="shared" si="18"/>
        <v>0</v>
      </c>
      <c r="F16" s="359">
        <f t="shared" si="18"/>
        <v>0</v>
      </c>
      <c r="G16" s="359">
        <f t="shared" si="18"/>
        <v>0</v>
      </c>
      <c r="H16" s="359">
        <f t="shared" si="18"/>
        <v>0</v>
      </c>
      <c r="I16" s="359">
        <f t="shared" si="18"/>
        <v>0</v>
      </c>
      <c r="J16" s="359">
        <f t="shared" si="18"/>
        <v>2000000</v>
      </c>
      <c r="K16" s="359">
        <f t="shared" si="18"/>
        <v>5537342</v>
      </c>
      <c r="L16" s="359">
        <f t="shared" si="18"/>
        <v>34125</v>
      </c>
      <c r="M16" s="359">
        <f t="shared" si="18"/>
        <v>8571467</v>
      </c>
      <c r="N16" s="359">
        <f t="shared" si="18"/>
        <v>1000000</v>
      </c>
      <c r="O16" s="359">
        <f t="shared" si="18"/>
        <v>0</v>
      </c>
      <c r="P16" s="359">
        <f t="shared" si="18"/>
        <v>1000000</v>
      </c>
      <c r="Q16" s="359">
        <f t="shared" si="18"/>
        <v>500000</v>
      </c>
      <c r="R16" s="359">
        <f t="shared" si="18"/>
        <v>0</v>
      </c>
      <c r="S16" s="359">
        <f t="shared" si="18"/>
        <v>0</v>
      </c>
      <c r="T16" s="359">
        <f t="shared" si="18"/>
        <v>0</v>
      </c>
      <c r="U16" s="359">
        <f t="shared" si="18"/>
        <v>0</v>
      </c>
      <c r="V16" s="359">
        <f t="shared" si="18"/>
        <v>0</v>
      </c>
      <c r="W16" s="359">
        <f t="shared" si="18"/>
        <v>0</v>
      </c>
      <c r="X16" s="360">
        <f>SUM(P16:T16)</f>
        <v>1500000</v>
      </c>
      <c r="Y16" s="363"/>
      <c r="Z16" s="843"/>
    </row>
    <row r="17" spans="1:29" ht="13.5" customHeight="1">
      <c r="A17" s="3064"/>
      <c r="B17" s="357" t="s">
        <v>68</v>
      </c>
      <c r="C17" s="358"/>
      <c r="D17" s="359">
        <f t="shared" ref="D17:W17" si="19">+D476+D41</f>
        <v>48721141</v>
      </c>
      <c r="E17" s="359">
        <f t="shared" si="19"/>
        <v>0</v>
      </c>
      <c r="F17" s="359">
        <f t="shared" si="19"/>
        <v>0</v>
      </c>
      <c r="G17" s="359">
        <f t="shared" si="19"/>
        <v>0</v>
      </c>
      <c r="H17" s="359">
        <f t="shared" si="19"/>
        <v>0</v>
      </c>
      <c r="I17" s="359">
        <f t="shared" si="19"/>
        <v>0</v>
      </c>
      <c r="J17" s="359">
        <f t="shared" si="19"/>
        <v>0</v>
      </c>
      <c r="K17" s="359">
        <f t="shared" si="19"/>
        <v>0</v>
      </c>
      <c r="L17" s="359">
        <f t="shared" si="19"/>
        <v>10440000</v>
      </c>
      <c r="M17" s="359">
        <f t="shared" si="19"/>
        <v>16196250</v>
      </c>
      <c r="N17" s="359">
        <f t="shared" si="19"/>
        <v>5756250</v>
      </c>
      <c r="O17" s="359">
        <f t="shared" si="19"/>
        <v>3158750</v>
      </c>
      <c r="P17" s="359">
        <f t="shared" si="19"/>
        <v>0</v>
      </c>
      <c r="Q17" s="359">
        <f t="shared" si="19"/>
        <v>20946856</v>
      </c>
      <c r="R17" s="359">
        <f t="shared" si="19"/>
        <v>8419285</v>
      </c>
      <c r="S17" s="359">
        <f t="shared" si="19"/>
        <v>0</v>
      </c>
      <c r="T17" s="359">
        <f t="shared" si="19"/>
        <v>0</v>
      </c>
      <c r="U17" s="359">
        <f t="shared" si="19"/>
        <v>0</v>
      </c>
      <c r="V17" s="359">
        <f t="shared" si="19"/>
        <v>0</v>
      </c>
      <c r="W17" s="359">
        <f t="shared" si="19"/>
        <v>0</v>
      </c>
      <c r="X17" s="360">
        <f>SUM(P17:W17)</f>
        <v>29366141</v>
      </c>
      <c r="Y17" s="363"/>
      <c r="Z17" s="843"/>
    </row>
    <row r="18" spans="1:29" ht="12" customHeight="1">
      <c r="A18" s="3064"/>
      <c r="B18" s="357" t="s">
        <v>29</v>
      </c>
      <c r="C18" s="358"/>
      <c r="D18" s="359">
        <f>+D40</f>
        <v>18125161</v>
      </c>
      <c r="E18" s="359">
        <f t="shared" ref="E18:P18" si="20">+E40</f>
        <v>16194</v>
      </c>
      <c r="F18" s="359">
        <f t="shared" si="20"/>
        <v>0</v>
      </c>
      <c r="G18" s="359">
        <f t="shared" si="20"/>
        <v>0</v>
      </c>
      <c r="H18" s="359">
        <f t="shared" si="20"/>
        <v>83</v>
      </c>
      <c r="I18" s="359">
        <f t="shared" si="20"/>
        <v>198958</v>
      </c>
      <c r="J18" s="359">
        <f t="shared" si="20"/>
        <v>11663211</v>
      </c>
      <c r="K18" s="359">
        <f t="shared" si="20"/>
        <v>2690254</v>
      </c>
      <c r="L18" s="359">
        <f t="shared" si="20"/>
        <v>1960926</v>
      </c>
      <c r="M18" s="359">
        <f t="shared" ref="M18" si="21">+M40</f>
        <v>18122130</v>
      </c>
      <c r="N18" s="359">
        <f t="shared" si="20"/>
        <v>1592587</v>
      </c>
      <c r="O18" s="359">
        <f t="shared" si="20"/>
        <v>3031</v>
      </c>
      <c r="P18" s="359">
        <f t="shared" si="20"/>
        <v>0</v>
      </c>
      <c r="Q18" s="359">
        <f>+Q40</f>
        <v>0</v>
      </c>
      <c r="R18" s="359">
        <f>+R40</f>
        <v>0</v>
      </c>
      <c r="S18" s="359">
        <f t="shared" ref="S18:T18" si="22">+S40</f>
        <v>0</v>
      </c>
      <c r="T18" s="359">
        <f t="shared" si="22"/>
        <v>0</v>
      </c>
      <c r="U18" s="359">
        <f t="shared" ref="U18:W18" si="23">+U40</f>
        <v>0</v>
      </c>
      <c r="V18" s="359">
        <f t="shared" si="23"/>
        <v>0</v>
      </c>
      <c r="W18" s="359">
        <f t="shared" si="23"/>
        <v>0</v>
      </c>
      <c r="X18" s="360">
        <f>SUM(P18:T18)</f>
        <v>0</v>
      </c>
      <c r="Y18" s="363"/>
      <c r="Z18" s="843"/>
    </row>
    <row r="19" spans="1:29" s="773" customFormat="1" ht="13.5" customHeight="1">
      <c r="A19" s="3064"/>
      <c r="B19" s="352" t="s">
        <v>30</v>
      </c>
      <c r="C19" s="364"/>
      <c r="D19" s="354">
        <f>+D20+D21+D22</f>
        <v>884612392</v>
      </c>
      <c r="E19" s="354">
        <f t="shared" ref="E19:T19" si="24">+E20+E21+E22</f>
        <v>208668</v>
      </c>
      <c r="F19" s="354">
        <f t="shared" si="24"/>
        <v>0</v>
      </c>
      <c r="G19" s="354">
        <f t="shared" si="24"/>
        <v>511</v>
      </c>
      <c r="H19" s="354">
        <f t="shared" si="24"/>
        <v>8746</v>
      </c>
      <c r="I19" s="354">
        <f t="shared" si="24"/>
        <v>1321785</v>
      </c>
      <c r="J19" s="354">
        <f t="shared" si="24"/>
        <v>13611058</v>
      </c>
      <c r="K19" s="354">
        <f t="shared" si="24"/>
        <v>44191899</v>
      </c>
      <c r="L19" s="354">
        <f t="shared" si="24"/>
        <v>88313621</v>
      </c>
      <c r="M19" s="354">
        <f t="shared" si="24"/>
        <v>295572443</v>
      </c>
      <c r="N19" s="354">
        <f t="shared" si="24"/>
        <v>147925412</v>
      </c>
      <c r="O19" s="354">
        <f t="shared" si="24"/>
        <v>95674404</v>
      </c>
      <c r="P19" s="354">
        <f t="shared" si="24"/>
        <v>94763291</v>
      </c>
      <c r="Q19" s="354">
        <f t="shared" si="24"/>
        <v>263839897</v>
      </c>
      <c r="R19" s="354">
        <f t="shared" si="24"/>
        <v>128878256</v>
      </c>
      <c r="S19" s="354">
        <f t="shared" si="24"/>
        <v>5884101</v>
      </c>
      <c r="T19" s="354">
        <f t="shared" si="24"/>
        <v>0</v>
      </c>
      <c r="U19" s="354">
        <f t="shared" ref="U19:W19" si="25">+U20+U21+U22</f>
        <v>0</v>
      </c>
      <c r="V19" s="354">
        <f t="shared" si="25"/>
        <v>0</v>
      </c>
      <c r="W19" s="354">
        <f t="shared" si="25"/>
        <v>0</v>
      </c>
      <c r="X19" s="365">
        <f>+X20+X21+X22</f>
        <v>493365545</v>
      </c>
      <c r="Y19" s="366"/>
      <c r="Z19" s="986"/>
      <c r="AA19" s="772"/>
    </row>
    <row r="20" spans="1:29" ht="13.5" customHeight="1">
      <c r="A20" s="3064"/>
      <c r="B20" s="371" t="s">
        <v>32</v>
      </c>
      <c r="C20" s="372"/>
      <c r="D20" s="359">
        <f t="shared" ref="D20:W20" si="26">+D383+D519</f>
        <v>32901103</v>
      </c>
      <c r="E20" s="359">
        <f t="shared" si="26"/>
        <v>0</v>
      </c>
      <c r="F20" s="359">
        <f t="shared" si="26"/>
        <v>0</v>
      </c>
      <c r="G20" s="359">
        <f t="shared" si="26"/>
        <v>0</v>
      </c>
      <c r="H20" s="359">
        <f t="shared" si="26"/>
        <v>0</v>
      </c>
      <c r="I20" s="359">
        <f t="shared" si="26"/>
        <v>0</v>
      </c>
      <c r="J20" s="359">
        <f t="shared" si="26"/>
        <v>0</v>
      </c>
      <c r="K20" s="359">
        <f t="shared" si="26"/>
        <v>0</v>
      </c>
      <c r="L20" s="359">
        <f t="shared" si="26"/>
        <v>0</v>
      </c>
      <c r="M20" s="359">
        <f t="shared" si="26"/>
        <v>0</v>
      </c>
      <c r="N20" s="359">
        <f t="shared" si="26"/>
        <v>0</v>
      </c>
      <c r="O20" s="359">
        <f t="shared" si="26"/>
        <v>0</v>
      </c>
      <c r="P20" s="359">
        <f t="shared" si="26"/>
        <v>4639488</v>
      </c>
      <c r="Q20" s="359">
        <f t="shared" si="26"/>
        <v>18834471</v>
      </c>
      <c r="R20" s="359">
        <f t="shared" si="26"/>
        <v>3543043</v>
      </c>
      <c r="S20" s="359">
        <f t="shared" si="26"/>
        <v>5884101</v>
      </c>
      <c r="T20" s="359">
        <f t="shared" si="26"/>
        <v>0</v>
      </c>
      <c r="U20" s="359">
        <f t="shared" si="26"/>
        <v>0</v>
      </c>
      <c r="V20" s="359">
        <f t="shared" si="26"/>
        <v>0</v>
      </c>
      <c r="W20" s="359">
        <f t="shared" si="26"/>
        <v>0</v>
      </c>
      <c r="X20" s="360">
        <f>SUM(P20:T20)</f>
        <v>32901103</v>
      </c>
      <c r="Y20" s="363"/>
      <c r="Z20" s="843"/>
    </row>
    <row r="21" spans="1:29" ht="13.5" customHeight="1">
      <c r="A21" s="3064"/>
      <c r="B21" s="373" t="s">
        <v>33</v>
      </c>
      <c r="C21" s="372"/>
      <c r="D21" s="359">
        <f t="shared" ref="D21:W21" si="27">+D43+D478</f>
        <v>851711289</v>
      </c>
      <c r="E21" s="359">
        <f t="shared" si="27"/>
        <v>208668</v>
      </c>
      <c r="F21" s="359">
        <f t="shared" si="27"/>
        <v>0</v>
      </c>
      <c r="G21" s="359">
        <f t="shared" si="27"/>
        <v>511</v>
      </c>
      <c r="H21" s="359">
        <f t="shared" si="27"/>
        <v>8746</v>
      </c>
      <c r="I21" s="359">
        <f t="shared" si="27"/>
        <v>1321785</v>
      </c>
      <c r="J21" s="359">
        <f t="shared" si="27"/>
        <v>13611058</v>
      </c>
      <c r="K21" s="359">
        <f t="shared" si="27"/>
        <v>44191899</v>
      </c>
      <c r="L21" s="359">
        <f t="shared" si="27"/>
        <v>88313621</v>
      </c>
      <c r="M21" s="359">
        <f t="shared" si="27"/>
        <v>295572443</v>
      </c>
      <c r="N21" s="359">
        <f t="shared" si="27"/>
        <v>147925412</v>
      </c>
      <c r="O21" s="359">
        <f t="shared" si="27"/>
        <v>95674404</v>
      </c>
      <c r="P21" s="359">
        <f t="shared" si="27"/>
        <v>90123803</v>
      </c>
      <c r="Q21" s="359">
        <f t="shared" si="27"/>
        <v>245005426</v>
      </c>
      <c r="R21" s="359">
        <f t="shared" si="27"/>
        <v>125335213</v>
      </c>
      <c r="S21" s="359">
        <f t="shared" si="27"/>
        <v>0</v>
      </c>
      <c r="T21" s="359">
        <f t="shared" si="27"/>
        <v>0</v>
      </c>
      <c r="U21" s="359">
        <f t="shared" si="27"/>
        <v>0</v>
      </c>
      <c r="V21" s="359">
        <f t="shared" si="27"/>
        <v>0</v>
      </c>
      <c r="W21" s="359">
        <f t="shared" si="27"/>
        <v>0</v>
      </c>
      <c r="X21" s="360">
        <f>SUM(P21:T21)</f>
        <v>460464442</v>
      </c>
      <c r="Y21" s="346"/>
      <c r="Z21" s="843"/>
      <c r="AA21" s="843">
        <f>+N21+O21+P21+Q21</f>
        <v>578729045</v>
      </c>
    </row>
    <row r="22" spans="1:29" hidden="1">
      <c r="A22" s="3064"/>
      <c r="B22" s="373" t="s">
        <v>95</v>
      </c>
      <c r="C22" s="372"/>
      <c r="D22" s="359">
        <f>+D479</f>
        <v>0</v>
      </c>
      <c r="E22" s="359">
        <f t="shared" ref="E22:P22" si="28">+E479</f>
        <v>0</v>
      </c>
      <c r="F22" s="359">
        <f t="shared" si="28"/>
        <v>0</v>
      </c>
      <c r="G22" s="359">
        <f t="shared" si="28"/>
        <v>0</v>
      </c>
      <c r="H22" s="359">
        <f t="shared" si="28"/>
        <v>0</v>
      </c>
      <c r="I22" s="359">
        <f t="shared" si="28"/>
        <v>0</v>
      </c>
      <c r="J22" s="359">
        <f t="shared" si="28"/>
        <v>0</v>
      </c>
      <c r="K22" s="359">
        <f t="shared" si="28"/>
        <v>0</v>
      </c>
      <c r="L22" s="359">
        <f t="shared" si="28"/>
        <v>0</v>
      </c>
      <c r="M22" s="359">
        <f t="shared" ref="M22" si="29">+M479</f>
        <v>0</v>
      </c>
      <c r="N22" s="359">
        <f t="shared" si="28"/>
        <v>0</v>
      </c>
      <c r="O22" s="359">
        <f t="shared" si="28"/>
        <v>0</v>
      </c>
      <c r="P22" s="359">
        <f t="shared" si="28"/>
        <v>0</v>
      </c>
      <c r="Q22" s="359">
        <f>+Q479</f>
        <v>0</v>
      </c>
      <c r="R22" s="359">
        <f>+R479</f>
        <v>0</v>
      </c>
      <c r="S22" s="359">
        <f t="shared" ref="S22:T22" si="30">+S479</f>
        <v>0</v>
      </c>
      <c r="T22" s="359">
        <f t="shared" si="30"/>
        <v>0</v>
      </c>
      <c r="U22" s="359">
        <f t="shared" ref="U22:W22" si="31">+U479</f>
        <v>0</v>
      </c>
      <c r="V22" s="359">
        <f t="shared" si="31"/>
        <v>0</v>
      </c>
      <c r="W22" s="359">
        <f t="shared" si="31"/>
        <v>0</v>
      </c>
      <c r="X22" s="360">
        <f>SUM(P22:T22)</f>
        <v>0</v>
      </c>
      <c r="Y22" s="346"/>
      <c r="Z22" s="843"/>
      <c r="AA22" s="843"/>
    </row>
    <row r="23" spans="1:29" ht="13.5" customHeight="1">
      <c r="A23" s="3064"/>
      <c r="B23" s="374" t="s">
        <v>34</v>
      </c>
      <c r="C23" s="375"/>
      <c r="D23" s="376">
        <f>+D24+D30</f>
        <v>976946642</v>
      </c>
      <c r="E23" s="376">
        <f t="shared" ref="E23:P23" si="32">+E24+E30</f>
        <v>0</v>
      </c>
      <c r="F23" s="376">
        <f t="shared" si="32"/>
        <v>0</v>
      </c>
      <c r="G23" s="376">
        <f t="shared" si="32"/>
        <v>0</v>
      </c>
      <c r="H23" s="376">
        <f t="shared" si="32"/>
        <v>0</v>
      </c>
      <c r="I23" s="376">
        <f t="shared" si="32"/>
        <v>0</v>
      </c>
      <c r="J23" s="376">
        <f>+J24+J30</f>
        <v>21290149</v>
      </c>
      <c r="K23" s="376">
        <f t="shared" si="32"/>
        <v>55410028</v>
      </c>
      <c r="L23" s="376">
        <f t="shared" si="32"/>
        <v>75860253</v>
      </c>
      <c r="M23" s="376">
        <f t="shared" ref="M23" si="33">+M24+M30</f>
        <v>308947000</v>
      </c>
      <c r="N23" s="376">
        <f t="shared" si="32"/>
        <v>156386570</v>
      </c>
      <c r="O23" s="376">
        <f t="shared" si="32"/>
        <v>111886934</v>
      </c>
      <c r="P23" s="376">
        <f t="shared" si="32"/>
        <v>121273060</v>
      </c>
      <c r="Q23" s="376">
        <f>+Q24+Q30</f>
        <v>274015251</v>
      </c>
      <c r="R23" s="376">
        <f>+R24+R30</f>
        <v>151283903</v>
      </c>
      <c r="S23" s="376">
        <f t="shared" ref="S23:T23" si="34">+S24+S30</f>
        <v>6558936</v>
      </c>
      <c r="T23" s="376">
        <f t="shared" si="34"/>
        <v>2981558</v>
      </c>
      <c r="U23" s="376">
        <f t="shared" ref="U23:W23" si="35">+U24+U30</f>
        <v>0</v>
      </c>
      <c r="V23" s="376">
        <f t="shared" si="35"/>
        <v>0</v>
      </c>
      <c r="W23" s="376">
        <f t="shared" si="35"/>
        <v>0</v>
      </c>
      <c r="X23" s="3069" t="s">
        <v>35</v>
      </c>
      <c r="Y23" s="346"/>
      <c r="Z23" s="843">
        <f>D90+D105+D118+D151+D162+D173+D183+D194+D231+D244+D256+D270+D282+D294+D306+D318+D334+D346+D358+D371+D405+D415+D426+D435+D444+D453+D468+D496+D511</f>
        <v>976946642</v>
      </c>
      <c r="AC23" s="772"/>
    </row>
    <row r="24" spans="1:29" ht="12" customHeight="1">
      <c r="A24" s="3064"/>
      <c r="B24" s="377" t="s">
        <v>36</v>
      </c>
      <c r="C24" s="378"/>
      <c r="D24" s="379">
        <f>+D25+D26+D27+D28+D29</f>
        <v>92334250</v>
      </c>
      <c r="E24" s="379">
        <f t="shared" ref="E24:P24" si="36">+E25+E26+E27+E28+E29</f>
        <v>0</v>
      </c>
      <c r="F24" s="379">
        <f t="shared" si="36"/>
        <v>0</v>
      </c>
      <c r="G24" s="379">
        <f t="shared" si="36"/>
        <v>0</v>
      </c>
      <c r="H24" s="379">
        <f t="shared" si="36"/>
        <v>0</v>
      </c>
      <c r="I24" s="379">
        <f t="shared" si="36"/>
        <v>0</v>
      </c>
      <c r="J24" s="379">
        <f t="shared" si="36"/>
        <v>14905187</v>
      </c>
      <c r="K24" s="379">
        <f t="shared" si="36"/>
        <v>16299610</v>
      </c>
      <c r="L24" s="379">
        <f>+L25+L26+L27+L28+L29</f>
        <v>11116244</v>
      </c>
      <c r="M24" s="379">
        <f>+M25+M26+M27+M28+M29</f>
        <v>57598121</v>
      </c>
      <c r="N24" s="379">
        <f t="shared" si="36"/>
        <v>15277080</v>
      </c>
      <c r="O24" s="379">
        <f t="shared" si="36"/>
        <v>7978274</v>
      </c>
      <c r="P24" s="379">
        <f t="shared" si="36"/>
        <v>9419285</v>
      </c>
      <c r="Q24" s="379">
        <f>+Q25+Q26+Q27+Q28+Q29</f>
        <v>8919285</v>
      </c>
      <c r="R24" s="379">
        <f>+R25+R26+R27+R28+R29</f>
        <v>8419285</v>
      </c>
      <c r="S24" s="379">
        <f t="shared" ref="S24:T24" si="37">+S25+S26+S27+S28+S29</f>
        <v>0</v>
      </c>
      <c r="T24" s="379">
        <f t="shared" si="37"/>
        <v>0</v>
      </c>
      <c r="U24" s="379">
        <f t="shared" ref="U24:W24" si="38">+U25+U26+U27+U28+U29</f>
        <v>0</v>
      </c>
      <c r="V24" s="379">
        <f t="shared" si="38"/>
        <v>0</v>
      </c>
      <c r="W24" s="379">
        <f t="shared" si="38"/>
        <v>0</v>
      </c>
      <c r="X24" s="3070"/>
      <c r="Y24" s="346"/>
    </row>
    <row r="25" spans="1:29">
      <c r="A25" s="3064"/>
      <c r="B25" s="361" t="s">
        <v>94</v>
      </c>
      <c r="C25" s="380"/>
      <c r="D25" s="369">
        <f>+D482</f>
        <v>14575000</v>
      </c>
      <c r="E25" s="369">
        <f t="shared" ref="E25:P25" si="39">+E482</f>
        <v>0</v>
      </c>
      <c r="F25" s="369">
        <f t="shared" si="39"/>
        <v>0</v>
      </c>
      <c r="G25" s="369">
        <f t="shared" si="39"/>
        <v>0</v>
      </c>
      <c r="H25" s="369">
        <f t="shared" si="39"/>
        <v>0</v>
      </c>
      <c r="I25" s="369">
        <f t="shared" si="39"/>
        <v>0</v>
      </c>
      <c r="J25" s="369">
        <f t="shared" si="39"/>
        <v>0</v>
      </c>
      <c r="K25" s="369">
        <f t="shared" si="39"/>
        <v>0</v>
      </c>
      <c r="L25" s="369">
        <f t="shared" si="39"/>
        <v>0</v>
      </c>
      <c r="M25" s="369">
        <f t="shared" ref="M25" si="40">+M482</f>
        <v>7293750</v>
      </c>
      <c r="N25" s="369">
        <f t="shared" si="39"/>
        <v>7293750</v>
      </c>
      <c r="O25" s="369">
        <f t="shared" si="39"/>
        <v>7281250</v>
      </c>
      <c r="P25" s="369">
        <f t="shared" si="39"/>
        <v>0</v>
      </c>
      <c r="Q25" s="369">
        <f>+Q482</f>
        <v>0</v>
      </c>
      <c r="R25" s="369">
        <f>+R482</f>
        <v>0</v>
      </c>
      <c r="S25" s="369">
        <f t="shared" ref="S25:T25" si="41">+S482</f>
        <v>0</v>
      </c>
      <c r="T25" s="369">
        <f t="shared" si="41"/>
        <v>0</v>
      </c>
      <c r="U25" s="369">
        <f t="shared" ref="U25:W25" si="42">+U482</f>
        <v>0</v>
      </c>
      <c r="V25" s="369">
        <f t="shared" si="42"/>
        <v>0</v>
      </c>
      <c r="W25" s="369">
        <f t="shared" si="42"/>
        <v>0</v>
      </c>
      <c r="X25" s="3070"/>
      <c r="Y25" s="363"/>
    </row>
    <row r="26" spans="1:29">
      <c r="A26" s="3064"/>
      <c r="B26" s="381" t="s">
        <v>27</v>
      </c>
      <c r="C26" s="382"/>
      <c r="D26" s="359">
        <f t="shared" ref="D26:W26" si="43">+D46+D381</f>
        <v>10071467</v>
      </c>
      <c r="E26" s="359">
        <f t="shared" si="43"/>
        <v>0</v>
      </c>
      <c r="F26" s="359">
        <f t="shared" si="43"/>
        <v>0</v>
      </c>
      <c r="G26" s="359">
        <f t="shared" si="43"/>
        <v>0</v>
      </c>
      <c r="H26" s="359">
        <f t="shared" si="43"/>
        <v>0</v>
      </c>
      <c r="I26" s="359">
        <f t="shared" si="43"/>
        <v>0</v>
      </c>
      <c r="J26" s="359">
        <f t="shared" si="43"/>
        <v>2000000</v>
      </c>
      <c r="K26" s="359">
        <f t="shared" si="43"/>
        <v>3547478</v>
      </c>
      <c r="L26" s="359">
        <f t="shared" si="43"/>
        <v>2023989</v>
      </c>
      <c r="M26" s="359">
        <f t="shared" si="43"/>
        <v>8571467</v>
      </c>
      <c r="N26" s="359">
        <f t="shared" si="43"/>
        <v>1000000</v>
      </c>
      <c r="O26" s="359">
        <f t="shared" si="43"/>
        <v>0</v>
      </c>
      <c r="P26" s="359">
        <f t="shared" si="43"/>
        <v>1000000</v>
      </c>
      <c r="Q26" s="359">
        <f t="shared" si="43"/>
        <v>500000</v>
      </c>
      <c r="R26" s="359">
        <f t="shared" si="43"/>
        <v>0</v>
      </c>
      <c r="S26" s="359">
        <f t="shared" si="43"/>
        <v>0</v>
      </c>
      <c r="T26" s="359">
        <f t="shared" si="43"/>
        <v>0</v>
      </c>
      <c r="U26" s="359">
        <f t="shared" si="43"/>
        <v>0</v>
      </c>
      <c r="V26" s="359">
        <f t="shared" si="43"/>
        <v>0</v>
      </c>
      <c r="W26" s="359">
        <f t="shared" si="43"/>
        <v>0</v>
      </c>
      <c r="X26" s="3070"/>
      <c r="Y26" s="363"/>
    </row>
    <row r="27" spans="1:29" ht="12" customHeight="1">
      <c r="A27" s="3064"/>
      <c r="B27" s="381" t="s">
        <v>68</v>
      </c>
      <c r="C27" s="382"/>
      <c r="D27" s="359">
        <f t="shared" ref="D27:W27" si="44">+D483+D49</f>
        <v>48721141</v>
      </c>
      <c r="E27" s="359">
        <f t="shared" si="44"/>
        <v>0</v>
      </c>
      <c r="F27" s="359">
        <f t="shared" si="44"/>
        <v>0</v>
      </c>
      <c r="G27" s="359">
        <f t="shared" si="44"/>
        <v>0</v>
      </c>
      <c r="H27" s="359">
        <f t="shared" si="44"/>
        <v>0</v>
      </c>
      <c r="I27" s="359">
        <f t="shared" si="44"/>
        <v>0</v>
      </c>
      <c r="J27" s="359">
        <f t="shared" si="44"/>
        <v>5665000</v>
      </c>
      <c r="K27" s="359">
        <f t="shared" si="44"/>
        <v>6250000</v>
      </c>
      <c r="L27" s="359">
        <f t="shared" si="44"/>
        <v>7440000</v>
      </c>
      <c r="M27" s="359">
        <f t="shared" si="44"/>
        <v>23463286</v>
      </c>
      <c r="N27" s="359">
        <f t="shared" si="44"/>
        <v>4108286</v>
      </c>
      <c r="O27" s="359">
        <f t="shared" si="44"/>
        <v>0</v>
      </c>
      <c r="P27" s="359">
        <f t="shared" si="44"/>
        <v>8419285</v>
      </c>
      <c r="Q27" s="359">
        <f t="shared" si="44"/>
        <v>8419285</v>
      </c>
      <c r="R27" s="359">
        <f t="shared" si="44"/>
        <v>8419285</v>
      </c>
      <c r="S27" s="359">
        <f t="shared" si="44"/>
        <v>0</v>
      </c>
      <c r="T27" s="359">
        <f t="shared" si="44"/>
        <v>0</v>
      </c>
      <c r="U27" s="359">
        <f t="shared" si="44"/>
        <v>0</v>
      </c>
      <c r="V27" s="359">
        <f t="shared" si="44"/>
        <v>0</v>
      </c>
      <c r="W27" s="359">
        <f t="shared" si="44"/>
        <v>0</v>
      </c>
      <c r="X27" s="3070"/>
      <c r="Y27" s="363"/>
    </row>
    <row r="28" spans="1:29" ht="12" customHeight="1">
      <c r="A28" s="3064"/>
      <c r="B28" s="357" t="s">
        <v>29</v>
      </c>
      <c r="C28" s="383"/>
      <c r="D28" s="359">
        <f>+D47</f>
        <v>18125161</v>
      </c>
      <c r="E28" s="359">
        <f t="shared" ref="E28:P29" si="45">+E47</f>
        <v>0</v>
      </c>
      <c r="F28" s="359">
        <f t="shared" si="45"/>
        <v>0</v>
      </c>
      <c r="G28" s="359">
        <f t="shared" si="45"/>
        <v>0</v>
      </c>
      <c r="H28" s="359">
        <f t="shared" si="45"/>
        <v>0</v>
      </c>
      <c r="I28" s="359">
        <f t="shared" si="45"/>
        <v>0</v>
      </c>
      <c r="J28" s="359">
        <f t="shared" si="45"/>
        <v>7240187</v>
      </c>
      <c r="K28" s="359">
        <f t="shared" si="45"/>
        <v>6502132</v>
      </c>
      <c r="L28" s="359">
        <f t="shared" si="45"/>
        <v>810774</v>
      </c>
      <c r="M28" s="359">
        <f t="shared" ref="M28" si="46">+M47</f>
        <v>17428137</v>
      </c>
      <c r="N28" s="359">
        <f t="shared" si="45"/>
        <v>2875044</v>
      </c>
      <c r="O28" s="359">
        <f t="shared" si="45"/>
        <v>697024</v>
      </c>
      <c r="P28" s="359">
        <f t="shared" si="45"/>
        <v>0</v>
      </c>
      <c r="Q28" s="359">
        <f>+Q47</f>
        <v>0</v>
      </c>
      <c r="R28" s="359">
        <f>+R47</f>
        <v>0</v>
      </c>
      <c r="S28" s="359">
        <f t="shared" ref="S28:T28" si="47">+S47</f>
        <v>0</v>
      </c>
      <c r="T28" s="359">
        <f t="shared" si="47"/>
        <v>0</v>
      </c>
      <c r="U28" s="359">
        <f t="shared" ref="U28:W28" si="48">+U47</f>
        <v>0</v>
      </c>
      <c r="V28" s="359">
        <f t="shared" si="48"/>
        <v>0</v>
      </c>
      <c r="W28" s="359">
        <f t="shared" si="48"/>
        <v>0</v>
      </c>
      <c r="X28" s="3070"/>
      <c r="Y28" s="363"/>
    </row>
    <row r="29" spans="1:29" ht="12" customHeight="1">
      <c r="A29" s="3064"/>
      <c r="B29" s="357" t="s">
        <v>96</v>
      </c>
      <c r="C29" s="383"/>
      <c r="D29" s="359">
        <f>+D48</f>
        <v>841481</v>
      </c>
      <c r="E29" s="359">
        <f t="shared" si="45"/>
        <v>0</v>
      </c>
      <c r="F29" s="359">
        <f t="shared" si="45"/>
        <v>0</v>
      </c>
      <c r="G29" s="359">
        <f t="shared" si="45"/>
        <v>0</v>
      </c>
      <c r="H29" s="359">
        <f t="shared" si="45"/>
        <v>0</v>
      </c>
      <c r="I29" s="359">
        <f t="shared" si="45"/>
        <v>0</v>
      </c>
      <c r="J29" s="359">
        <f t="shared" si="45"/>
        <v>0</v>
      </c>
      <c r="K29" s="359">
        <f t="shared" si="45"/>
        <v>0</v>
      </c>
      <c r="L29" s="359">
        <f t="shared" si="45"/>
        <v>841481</v>
      </c>
      <c r="M29" s="359">
        <f t="shared" ref="M29" si="49">+M48</f>
        <v>841481</v>
      </c>
      <c r="N29" s="359">
        <f t="shared" si="45"/>
        <v>0</v>
      </c>
      <c r="O29" s="359">
        <f t="shared" si="45"/>
        <v>0</v>
      </c>
      <c r="P29" s="359">
        <f t="shared" si="45"/>
        <v>0</v>
      </c>
      <c r="Q29" s="359">
        <f>+Q48</f>
        <v>0</v>
      </c>
      <c r="R29" s="359">
        <f>+R48</f>
        <v>0</v>
      </c>
      <c r="S29" s="359">
        <f t="shared" ref="S29:T29" si="50">+S48</f>
        <v>0</v>
      </c>
      <c r="T29" s="359">
        <f t="shared" si="50"/>
        <v>0</v>
      </c>
      <c r="U29" s="359">
        <f t="shared" ref="U29:W29" si="51">+U48</f>
        <v>0</v>
      </c>
      <c r="V29" s="359">
        <f t="shared" si="51"/>
        <v>0</v>
      </c>
      <c r="W29" s="359">
        <f t="shared" si="51"/>
        <v>0</v>
      </c>
      <c r="X29" s="3070"/>
      <c r="Y29" s="363"/>
    </row>
    <row r="30" spans="1:29" ht="12.75" customHeight="1">
      <c r="A30" s="3064"/>
      <c r="B30" s="384" t="s">
        <v>30</v>
      </c>
      <c r="C30" s="385"/>
      <c r="D30" s="379">
        <f>+D31+D32+D33+D34</f>
        <v>884612392</v>
      </c>
      <c r="E30" s="379">
        <f t="shared" ref="E30:P30" si="52">+E31+E32+E33+E34</f>
        <v>0</v>
      </c>
      <c r="F30" s="379">
        <f t="shared" si="52"/>
        <v>0</v>
      </c>
      <c r="G30" s="379">
        <f t="shared" si="52"/>
        <v>0</v>
      </c>
      <c r="H30" s="379">
        <f t="shared" si="52"/>
        <v>0</v>
      </c>
      <c r="I30" s="379">
        <f t="shared" si="52"/>
        <v>0</v>
      </c>
      <c r="J30" s="379">
        <f t="shared" si="52"/>
        <v>6384962</v>
      </c>
      <c r="K30" s="379">
        <f t="shared" si="52"/>
        <v>39110418</v>
      </c>
      <c r="L30" s="379">
        <f t="shared" si="52"/>
        <v>64744009</v>
      </c>
      <c r="M30" s="379">
        <f t="shared" ref="M30" si="53">+M31+M32+M33+M34</f>
        <v>251348879</v>
      </c>
      <c r="N30" s="379">
        <f>+N31+N32+N33+N34</f>
        <v>141109490</v>
      </c>
      <c r="O30" s="379">
        <f t="shared" si="52"/>
        <v>103908660</v>
      </c>
      <c r="P30" s="379">
        <f t="shared" si="52"/>
        <v>111853775</v>
      </c>
      <c r="Q30" s="379">
        <f>+Q31+Q32+Q33+Q34</f>
        <v>265095966</v>
      </c>
      <c r="R30" s="379">
        <f>+R31+R32+R33+R34</f>
        <v>142864618</v>
      </c>
      <c r="S30" s="379">
        <f t="shared" ref="S30:T30" si="54">+S31+S32+S33+S34</f>
        <v>6558936</v>
      </c>
      <c r="T30" s="379">
        <f t="shared" si="54"/>
        <v>2981558</v>
      </c>
      <c r="U30" s="379">
        <f t="shared" ref="U30:W30" si="55">+U31+U32+U33+U34</f>
        <v>0</v>
      </c>
      <c r="V30" s="379">
        <f t="shared" si="55"/>
        <v>0</v>
      </c>
      <c r="W30" s="379">
        <f t="shared" si="55"/>
        <v>0</v>
      </c>
      <c r="X30" s="3070"/>
      <c r="Y30" s="363"/>
      <c r="Z30" s="843">
        <f>D32-D20</f>
        <v>0</v>
      </c>
    </row>
    <row r="31" spans="1:29" ht="3" hidden="1" customHeight="1">
      <c r="A31" s="3064"/>
      <c r="B31" s="367" t="s">
        <v>29</v>
      </c>
      <c r="C31" s="368"/>
      <c r="D31" s="359">
        <f>+D51</f>
        <v>0</v>
      </c>
      <c r="E31" s="359">
        <f t="shared" ref="E31:R31" si="56">+E51</f>
        <v>0</v>
      </c>
      <c r="F31" s="359">
        <f t="shared" si="56"/>
        <v>0</v>
      </c>
      <c r="G31" s="359">
        <f t="shared" si="56"/>
        <v>0</v>
      </c>
      <c r="H31" s="359">
        <f t="shared" si="56"/>
        <v>0</v>
      </c>
      <c r="I31" s="359">
        <f t="shared" si="56"/>
        <v>0</v>
      </c>
      <c r="J31" s="359">
        <f t="shared" si="56"/>
        <v>0</v>
      </c>
      <c r="K31" s="359">
        <f t="shared" si="56"/>
        <v>0</v>
      </c>
      <c r="L31" s="359">
        <f t="shared" si="56"/>
        <v>0</v>
      </c>
      <c r="M31" s="359">
        <f t="shared" ref="M31" si="57">+M51</f>
        <v>0</v>
      </c>
      <c r="N31" s="359">
        <f t="shared" si="56"/>
        <v>0</v>
      </c>
      <c r="O31" s="359">
        <f t="shared" si="56"/>
        <v>0</v>
      </c>
      <c r="P31" s="359">
        <f t="shared" si="56"/>
        <v>0</v>
      </c>
      <c r="Q31" s="359">
        <f t="shared" si="56"/>
        <v>0</v>
      </c>
      <c r="R31" s="359">
        <f t="shared" si="56"/>
        <v>0</v>
      </c>
      <c r="S31" s="359">
        <f t="shared" ref="S31:T31" si="58">+S51</f>
        <v>0</v>
      </c>
      <c r="T31" s="359">
        <f t="shared" si="58"/>
        <v>0</v>
      </c>
      <c r="U31" s="359">
        <f t="shared" ref="U31:W31" si="59">+U51</f>
        <v>0</v>
      </c>
      <c r="V31" s="359">
        <f t="shared" si="59"/>
        <v>0</v>
      </c>
      <c r="W31" s="359">
        <f t="shared" si="59"/>
        <v>0</v>
      </c>
      <c r="X31" s="3070"/>
      <c r="Y31" s="363"/>
    </row>
    <row r="32" spans="1:29" ht="11.25" customHeight="1">
      <c r="A32" s="3064"/>
      <c r="B32" s="371" t="s">
        <v>32</v>
      </c>
      <c r="C32" s="362"/>
      <c r="D32" s="386">
        <f t="shared" ref="D32:Q32" si="60">+D388+D522</f>
        <v>32901103</v>
      </c>
      <c r="E32" s="386">
        <f t="shared" si="60"/>
        <v>0</v>
      </c>
      <c r="F32" s="386">
        <f t="shared" si="60"/>
        <v>0</v>
      </c>
      <c r="G32" s="386">
        <f t="shared" si="60"/>
        <v>0</v>
      </c>
      <c r="H32" s="386">
        <f t="shared" si="60"/>
        <v>0</v>
      </c>
      <c r="I32" s="386">
        <f t="shared" si="60"/>
        <v>0</v>
      </c>
      <c r="J32" s="386">
        <f t="shared" si="60"/>
        <v>0</v>
      </c>
      <c r="K32" s="386">
        <f t="shared" si="60"/>
        <v>0</v>
      </c>
      <c r="L32" s="386">
        <f t="shared" si="60"/>
        <v>0</v>
      </c>
      <c r="M32" s="386">
        <f t="shared" si="60"/>
        <v>0</v>
      </c>
      <c r="N32" s="386">
        <f t="shared" si="60"/>
        <v>0</v>
      </c>
      <c r="O32" s="386">
        <f t="shared" si="60"/>
        <v>0</v>
      </c>
      <c r="P32" s="386">
        <f t="shared" si="60"/>
        <v>0</v>
      </c>
      <c r="Q32" s="386">
        <f t="shared" si="60"/>
        <v>13806204</v>
      </c>
      <c r="R32" s="386">
        <f>+R388</f>
        <v>9554405</v>
      </c>
      <c r="S32" s="386">
        <f t="shared" ref="S32:T32" si="61">+S388</f>
        <v>6558936</v>
      </c>
      <c r="T32" s="386">
        <f t="shared" si="61"/>
        <v>2981558</v>
      </c>
      <c r="U32" s="386">
        <f t="shared" ref="U32:W32" si="62">+U388</f>
        <v>0</v>
      </c>
      <c r="V32" s="386">
        <f t="shared" si="62"/>
        <v>0</v>
      </c>
      <c r="W32" s="386">
        <f t="shared" si="62"/>
        <v>0</v>
      </c>
      <c r="X32" s="3070"/>
      <c r="Y32" s="363"/>
      <c r="Z32" s="843">
        <f>D33-D21</f>
        <v>0</v>
      </c>
    </row>
    <row r="33" spans="1:27">
      <c r="A33" s="3064"/>
      <c r="B33" s="371" t="s">
        <v>33</v>
      </c>
      <c r="C33" s="387"/>
      <c r="D33" s="386">
        <f t="shared" ref="D33:W33" si="63">+D52+D485</f>
        <v>851711289</v>
      </c>
      <c r="E33" s="386">
        <f t="shared" si="63"/>
        <v>0</v>
      </c>
      <c r="F33" s="386">
        <f t="shared" si="63"/>
        <v>0</v>
      </c>
      <c r="G33" s="386">
        <f t="shared" si="63"/>
        <v>0</v>
      </c>
      <c r="H33" s="386">
        <f t="shared" si="63"/>
        <v>0</v>
      </c>
      <c r="I33" s="386">
        <f t="shared" si="63"/>
        <v>0</v>
      </c>
      <c r="J33" s="386">
        <f t="shared" si="63"/>
        <v>6384962</v>
      </c>
      <c r="K33" s="386">
        <f t="shared" si="63"/>
        <v>39110418</v>
      </c>
      <c r="L33" s="386">
        <f t="shared" si="63"/>
        <v>64744009</v>
      </c>
      <c r="M33" s="386">
        <f t="shared" si="63"/>
        <v>251348879</v>
      </c>
      <c r="N33" s="386">
        <f t="shared" si="63"/>
        <v>141109490</v>
      </c>
      <c r="O33" s="386">
        <f t="shared" si="63"/>
        <v>103908660</v>
      </c>
      <c r="P33" s="386">
        <f t="shared" si="63"/>
        <v>111853775</v>
      </c>
      <c r="Q33" s="386">
        <f t="shared" si="63"/>
        <v>251289762</v>
      </c>
      <c r="R33" s="386">
        <f t="shared" si="63"/>
        <v>133310213</v>
      </c>
      <c r="S33" s="386">
        <f t="shared" si="63"/>
        <v>0</v>
      </c>
      <c r="T33" s="386">
        <f t="shared" si="63"/>
        <v>0</v>
      </c>
      <c r="U33" s="386">
        <f t="shared" si="63"/>
        <v>0</v>
      </c>
      <c r="V33" s="386">
        <f t="shared" si="63"/>
        <v>0</v>
      </c>
      <c r="W33" s="386">
        <f t="shared" si="63"/>
        <v>0</v>
      </c>
      <c r="X33" s="3070"/>
      <c r="Y33" s="363"/>
    </row>
    <row r="34" spans="1:27" s="848" customFormat="1" ht="13.5" hidden="1" thickBot="1">
      <c r="A34" s="3065"/>
      <c r="B34" s="388" t="s">
        <v>95</v>
      </c>
      <c r="C34" s="389"/>
      <c r="D34" s="390">
        <f>+D486</f>
        <v>0</v>
      </c>
      <c r="E34" s="390">
        <f t="shared" ref="E34:P34" si="64">+E486</f>
        <v>0</v>
      </c>
      <c r="F34" s="390">
        <f t="shared" si="64"/>
        <v>0</v>
      </c>
      <c r="G34" s="390">
        <f t="shared" si="64"/>
        <v>0</v>
      </c>
      <c r="H34" s="390">
        <f t="shared" si="64"/>
        <v>0</v>
      </c>
      <c r="I34" s="390">
        <f t="shared" si="64"/>
        <v>0</v>
      </c>
      <c r="J34" s="390">
        <f t="shared" si="64"/>
        <v>0</v>
      </c>
      <c r="K34" s="390">
        <f t="shared" si="64"/>
        <v>0</v>
      </c>
      <c r="L34" s="390">
        <f t="shared" si="64"/>
        <v>0</v>
      </c>
      <c r="M34" s="390">
        <f t="shared" ref="M34" si="65">+M486</f>
        <v>0</v>
      </c>
      <c r="N34" s="390">
        <f t="shared" si="64"/>
        <v>0</v>
      </c>
      <c r="O34" s="390">
        <f t="shared" si="64"/>
        <v>0</v>
      </c>
      <c r="P34" s="390">
        <f t="shared" si="64"/>
        <v>0</v>
      </c>
      <c r="Q34" s="390">
        <f>+Q486</f>
        <v>0</v>
      </c>
      <c r="R34" s="390">
        <f>+R486</f>
        <v>0</v>
      </c>
      <c r="S34" s="390">
        <f t="shared" ref="S34:T34" si="66">+S486</f>
        <v>0</v>
      </c>
      <c r="T34" s="390">
        <f t="shared" si="66"/>
        <v>0</v>
      </c>
      <c r="U34" s="390">
        <f t="shared" ref="U34:W34" si="67">+U486</f>
        <v>0</v>
      </c>
      <c r="V34" s="390">
        <f t="shared" si="67"/>
        <v>0</v>
      </c>
      <c r="W34" s="390">
        <f t="shared" si="67"/>
        <v>0</v>
      </c>
      <c r="X34" s="3071"/>
      <c r="Y34" s="363"/>
    </row>
    <row r="35" spans="1:27" ht="29.25" customHeight="1">
      <c r="A35" s="2055" t="s">
        <v>318</v>
      </c>
      <c r="B35" s="1216" t="s">
        <v>354</v>
      </c>
      <c r="C35" s="391"/>
      <c r="D35" s="392"/>
      <c r="E35" s="393"/>
      <c r="F35" s="393"/>
      <c r="G35" s="393"/>
      <c r="H35" s="394"/>
      <c r="I35" s="393"/>
      <c r="J35" s="395"/>
      <c r="K35" s="395"/>
      <c r="L35" s="395"/>
      <c r="M35" s="396"/>
      <c r="N35" s="396"/>
      <c r="O35" s="396"/>
      <c r="P35" s="396"/>
      <c r="Q35" s="396"/>
      <c r="R35" s="396"/>
      <c r="S35" s="396"/>
      <c r="T35" s="396"/>
      <c r="U35" s="396"/>
      <c r="V35" s="396"/>
      <c r="W35" s="396"/>
      <c r="X35" s="397"/>
      <c r="Y35" s="398"/>
    </row>
    <row r="36" spans="1:27" ht="13.5" customHeight="1">
      <c r="A36" s="2055"/>
      <c r="B36" s="399" t="s">
        <v>22</v>
      </c>
      <c r="C36" s="375"/>
      <c r="D36" s="400">
        <f>+D37+D42</f>
        <v>791479296</v>
      </c>
      <c r="E36" s="400">
        <f t="shared" ref="E36:P36" si="68">+E37+E42</f>
        <v>442753</v>
      </c>
      <c r="F36" s="400">
        <f t="shared" si="68"/>
        <v>49287</v>
      </c>
      <c r="G36" s="400">
        <f t="shared" si="68"/>
        <v>129117</v>
      </c>
      <c r="H36" s="400">
        <f t="shared" si="68"/>
        <v>8829</v>
      </c>
      <c r="I36" s="400">
        <f t="shared" si="68"/>
        <v>2407441</v>
      </c>
      <c r="J36" s="400">
        <f t="shared" si="68"/>
        <v>28814903</v>
      </c>
      <c r="K36" s="400">
        <f t="shared" si="68"/>
        <v>56885678</v>
      </c>
      <c r="L36" s="400">
        <f t="shared" si="68"/>
        <v>53006011</v>
      </c>
      <c r="M36" s="400">
        <f t="shared" ref="M36" si="69">+M37+M42</f>
        <v>209003780</v>
      </c>
      <c r="N36" s="400">
        <f t="shared" si="68"/>
        <v>67446994</v>
      </c>
      <c r="O36" s="400">
        <f t="shared" si="68"/>
        <v>39088758</v>
      </c>
      <c r="P36" s="400">
        <f t="shared" si="68"/>
        <v>95714315</v>
      </c>
      <c r="Q36" s="400">
        <f>+Q37+Q42</f>
        <v>292727106</v>
      </c>
      <c r="R36" s="400">
        <f>+R37+R42</f>
        <v>154945337</v>
      </c>
      <c r="S36" s="400">
        <f t="shared" ref="S36:T36" si="70">+S37+S42</f>
        <v>0</v>
      </c>
      <c r="T36" s="400">
        <f t="shared" si="70"/>
        <v>0</v>
      </c>
      <c r="U36" s="400">
        <f t="shared" ref="U36:V36" si="71">+U37+U42</f>
        <v>0</v>
      </c>
      <c r="V36" s="400">
        <f t="shared" si="71"/>
        <v>0</v>
      </c>
      <c r="W36" s="400">
        <f t="shared" ref="W36" si="72">+W37+W42</f>
        <v>0</v>
      </c>
      <c r="X36" s="401">
        <f>+X37+X42</f>
        <v>543386758</v>
      </c>
      <c r="Y36" s="398"/>
      <c r="Z36" s="987">
        <f>+O36+P36</f>
        <v>134803073</v>
      </c>
    </row>
    <row r="37" spans="1:27" s="773" customFormat="1" ht="13.5" customHeight="1">
      <c r="A37" s="2055"/>
      <c r="B37" s="402" t="s">
        <v>36</v>
      </c>
      <c r="C37" s="403"/>
      <c r="D37" s="404">
        <f>+D38+D39+D40+D41</f>
        <v>130889077</v>
      </c>
      <c r="E37" s="404">
        <f t="shared" ref="E37:W37" si="73">+E38+E39+E40+E41</f>
        <v>234085</v>
      </c>
      <c r="F37" s="404">
        <f t="shared" si="73"/>
        <v>49287</v>
      </c>
      <c r="G37" s="404">
        <f t="shared" si="73"/>
        <v>128606</v>
      </c>
      <c r="H37" s="404">
        <f t="shared" si="73"/>
        <v>83</v>
      </c>
      <c r="I37" s="404">
        <f t="shared" si="73"/>
        <v>1085656</v>
      </c>
      <c r="J37" s="404">
        <f t="shared" si="73"/>
        <v>15203845</v>
      </c>
      <c r="K37" s="404">
        <f t="shared" si="73"/>
        <v>12693779</v>
      </c>
      <c r="L37" s="404">
        <f t="shared" si="73"/>
        <v>5283110</v>
      </c>
      <c r="M37" s="404">
        <f t="shared" si="73"/>
        <v>45303349</v>
      </c>
      <c r="N37" s="404">
        <f t="shared" si="73"/>
        <v>10802874</v>
      </c>
      <c r="O37" s="404">
        <f t="shared" si="73"/>
        <v>2663412</v>
      </c>
      <c r="P37" s="404">
        <f t="shared" si="73"/>
        <v>5590512</v>
      </c>
      <c r="Q37" s="404">
        <f t="shared" si="73"/>
        <v>47721680</v>
      </c>
      <c r="R37" s="404">
        <f t="shared" si="73"/>
        <v>29610124</v>
      </c>
      <c r="S37" s="404">
        <f t="shared" si="73"/>
        <v>0</v>
      </c>
      <c r="T37" s="404">
        <f t="shared" si="73"/>
        <v>0</v>
      </c>
      <c r="U37" s="404">
        <f t="shared" si="73"/>
        <v>0</v>
      </c>
      <c r="V37" s="404">
        <f t="shared" si="73"/>
        <v>0</v>
      </c>
      <c r="W37" s="404">
        <f t="shared" si="73"/>
        <v>0</v>
      </c>
      <c r="X37" s="405">
        <f>+X38+X39+X40+X41</f>
        <v>82922316</v>
      </c>
      <c r="Y37" s="398"/>
      <c r="AA37" s="772"/>
    </row>
    <row r="38" spans="1:27" ht="13.5" customHeight="1">
      <c r="A38" s="2055"/>
      <c r="B38" s="406" t="s">
        <v>24</v>
      </c>
      <c r="C38" s="407"/>
      <c r="D38" s="408">
        <f>+D354+D266+D366+D330+D126+D84+D135+D342+D147+D159++D170+D250+D100+D179+D114+D191+D200+D241++D56+D226+D70+D216+D278+D290+D302+D314+D326</f>
        <v>73383311</v>
      </c>
      <c r="E38" s="408">
        <f t="shared" ref="E38:W38" si="74">+E354+E266+E366+E330+E126+E84+E135+E342+E147+E159++E170+E250+E100+E179+E114+E191+E200+E241++E56+E226+E70+E216+E278+E290+E302+E314+E326</f>
        <v>217891</v>
      </c>
      <c r="F38" s="408">
        <f t="shared" si="74"/>
        <v>49287</v>
      </c>
      <c r="G38" s="408">
        <f t="shared" si="74"/>
        <v>128606</v>
      </c>
      <c r="H38" s="408">
        <f t="shared" si="74"/>
        <v>0</v>
      </c>
      <c r="I38" s="408">
        <f t="shared" si="74"/>
        <v>886698</v>
      </c>
      <c r="J38" s="408">
        <f t="shared" si="74"/>
        <v>1540634</v>
      </c>
      <c r="K38" s="408">
        <f t="shared" si="74"/>
        <v>4489061</v>
      </c>
      <c r="L38" s="408">
        <f t="shared" si="74"/>
        <v>3322184</v>
      </c>
      <c r="M38" s="408">
        <f t="shared" si="74"/>
        <v>18666755</v>
      </c>
      <c r="N38" s="408">
        <f t="shared" si="74"/>
        <v>8210287</v>
      </c>
      <c r="O38" s="408">
        <f t="shared" si="74"/>
        <v>2660381</v>
      </c>
      <c r="P38" s="408">
        <f>+P354+P266+P366+P330+P126+P84+P135+P342+P147+P159++P170+P250+P100+P179+P114+P191+P200+P241++P56+P226+P70+P216+P278+P290+P302+P314+P326</f>
        <v>4590512</v>
      </c>
      <c r="Q38" s="408">
        <f t="shared" si="74"/>
        <v>26274824</v>
      </c>
      <c r="R38" s="408">
        <f t="shared" si="74"/>
        <v>21190839</v>
      </c>
      <c r="S38" s="408">
        <f t="shared" si="74"/>
        <v>0</v>
      </c>
      <c r="T38" s="408">
        <f t="shared" si="74"/>
        <v>0</v>
      </c>
      <c r="U38" s="408">
        <f t="shared" si="74"/>
        <v>0</v>
      </c>
      <c r="V38" s="408">
        <f t="shared" si="74"/>
        <v>0</v>
      </c>
      <c r="W38" s="408">
        <f t="shared" si="74"/>
        <v>0</v>
      </c>
      <c r="X38" s="409">
        <f>SUM(P38:W38)</f>
        <v>52056175</v>
      </c>
      <c r="Y38" s="410"/>
      <c r="Z38" s="843"/>
      <c r="AA38" s="772"/>
    </row>
    <row r="39" spans="1:27" ht="12" customHeight="1">
      <c r="A39" s="2055"/>
      <c r="B39" s="411" t="s">
        <v>27</v>
      </c>
      <c r="C39" s="412"/>
      <c r="D39" s="408">
        <f t="shared" ref="D39:W39" si="75">+D267+D368+D331+D136+D148+D228+D252+D86+D180</f>
        <v>10014464</v>
      </c>
      <c r="E39" s="408">
        <f t="shared" si="75"/>
        <v>0</v>
      </c>
      <c r="F39" s="408">
        <f t="shared" si="75"/>
        <v>0</v>
      </c>
      <c r="G39" s="408">
        <f t="shared" si="75"/>
        <v>0</v>
      </c>
      <c r="H39" s="408">
        <f t="shared" si="75"/>
        <v>0</v>
      </c>
      <c r="I39" s="408">
        <f t="shared" si="75"/>
        <v>0</v>
      </c>
      <c r="J39" s="408">
        <f t="shared" si="75"/>
        <v>2000000</v>
      </c>
      <c r="K39" s="408">
        <f t="shared" si="75"/>
        <v>5514464</v>
      </c>
      <c r="L39" s="408">
        <f t="shared" si="75"/>
        <v>0</v>
      </c>
      <c r="M39" s="408">
        <f t="shared" si="75"/>
        <v>8514464</v>
      </c>
      <c r="N39" s="408">
        <f t="shared" si="75"/>
        <v>1000000</v>
      </c>
      <c r="O39" s="408">
        <f t="shared" si="75"/>
        <v>0</v>
      </c>
      <c r="P39" s="408">
        <f t="shared" si="75"/>
        <v>1000000</v>
      </c>
      <c r="Q39" s="408">
        <f t="shared" si="75"/>
        <v>500000</v>
      </c>
      <c r="R39" s="408">
        <f t="shared" si="75"/>
        <v>0</v>
      </c>
      <c r="S39" s="408">
        <f t="shared" si="75"/>
        <v>0</v>
      </c>
      <c r="T39" s="408">
        <f t="shared" si="75"/>
        <v>0</v>
      </c>
      <c r="U39" s="408">
        <f t="shared" si="75"/>
        <v>0</v>
      </c>
      <c r="V39" s="408">
        <f t="shared" si="75"/>
        <v>0</v>
      </c>
      <c r="W39" s="408">
        <f t="shared" si="75"/>
        <v>0</v>
      </c>
      <c r="X39" s="409">
        <f>SUM(P39:T39)</f>
        <v>1500000</v>
      </c>
      <c r="Y39" s="410"/>
      <c r="Z39" s="843">
        <f>D39-D46</f>
        <v>0</v>
      </c>
      <c r="AA39" s="772"/>
    </row>
    <row r="40" spans="1:27" ht="12" customHeight="1">
      <c r="A40" s="2055"/>
      <c r="B40" s="411" t="s">
        <v>29</v>
      </c>
      <c r="C40" s="412"/>
      <c r="D40" s="408">
        <f t="shared" ref="D40:W40" si="76">+D57+D227+D71+D251+D101+D85+D115</f>
        <v>18125161</v>
      </c>
      <c r="E40" s="408">
        <f t="shared" si="76"/>
        <v>16194</v>
      </c>
      <c r="F40" s="408">
        <f t="shared" si="76"/>
        <v>0</v>
      </c>
      <c r="G40" s="408">
        <f t="shared" si="76"/>
        <v>0</v>
      </c>
      <c r="H40" s="408">
        <f t="shared" si="76"/>
        <v>83</v>
      </c>
      <c r="I40" s="408">
        <f t="shared" si="76"/>
        <v>198958</v>
      </c>
      <c r="J40" s="408">
        <f t="shared" si="76"/>
        <v>11663211</v>
      </c>
      <c r="K40" s="408">
        <f t="shared" si="76"/>
        <v>2690254</v>
      </c>
      <c r="L40" s="408">
        <f t="shared" si="76"/>
        <v>1960926</v>
      </c>
      <c r="M40" s="408">
        <f t="shared" si="76"/>
        <v>18122130</v>
      </c>
      <c r="N40" s="408">
        <f t="shared" si="76"/>
        <v>1592587</v>
      </c>
      <c r="O40" s="408">
        <f t="shared" si="76"/>
        <v>3031</v>
      </c>
      <c r="P40" s="408">
        <f t="shared" si="76"/>
        <v>0</v>
      </c>
      <c r="Q40" s="408">
        <f t="shared" si="76"/>
        <v>0</v>
      </c>
      <c r="R40" s="408">
        <f t="shared" si="76"/>
        <v>0</v>
      </c>
      <c r="S40" s="408">
        <f t="shared" si="76"/>
        <v>0</v>
      </c>
      <c r="T40" s="408">
        <f t="shared" si="76"/>
        <v>0</v>
      </c>
      <c r="U40" s="408">
        <f t="shared" si="76"/>
        <v>0</v>
      </c>
      <c r="V40" s="408">
        <f t="shared" si="76"/>
        <v>0</v>
      </c>
      <c r="W40" s="408">
        <f t="shared" si="76"/>
        <v>0</v>
      </c>
      <c r="X40" s="409">
        <f>SUM(P40:T40)</f>
        <v>0</v>
      </c>
      <c r="Y40" s="410"/>
      <c r="Z40" s="843">
        <f>D40-D47</f>
        <v>0</v>
      </c>
      <c r="AA40" s="772"/>
    </row>
    <row r="41" spans="1:27" ht="12" customHeight="1">
      <c r="A41" s="2055"/>
      <c r="B41" s="411" t="s">
        <v>68</v>
      </c>
      <c r="C41" s="412"/>
      <c r="D41" s="1513">
        <f>D343+D355+D367</f>
        <v>29366141</v>
      </c>
      <c r="E41" s="1513">
        <f t="shared" ref="E41:W41" si="77">E343+E355+E367</f>
        <v>0</v>
      </c>
      <c r="F41" s="1513">
        <f t="shared" si="77"/>
        <v>0</v>
      </c>
      <c r="G41" s="1513">
        <f t="shared" si="77"/>
        <v>0</v>
      </c>
      <c r="H41" s="1513">
        <f t="shared" si="77"/>
        <v>0</v>
      </c>
      <c r="I41" s="1513">
        <f t="shared" si="77"/>
        <v>0</v>
      </c>
      <c r="J41" s="1513">
        <f t="shared" si="77"/>
        <v>0</v>
      </c>
      <c r="K41" s="1513">
        <f t="shared" si="77"/>
        <v>0</v>
      </c>
      <c r="L41" s="1513">
        <f t="shared" si="77"/>
        <v>0</v>
      </c>
      <c r="M41" s="1513">
        <f>M343+M355+M367</f>
        <v>0</v>
      </c>
      <c r="N41" s="1513">
        <f t="shared" si="77"/>
        <v>0</v>
      </c>
      <c r="O41" s="1513">
        <f t="shared" si="77"/>
        <v>0</v>
      </c>
      <c r="P41" s="1513">
        <f t="shared" si="77"/>
        <v>0</v>
      </c>
      <c r="Q41" s="1513">
        <f t="shared" si="77"/>
        <v>20946856</v>
      </c>
      <c r="R41" s="1513">
        <f t="shared" si="77"/>
        <v>8419285</v>
      </c>
      <c r="S41" s="1513">
        <f t="shared" si="77"/>
        <v>0</v>
      </c>
      <c r="T41" s="1513">
        <f t="shared" si="77"/>
        <v>0</v>
      </c>
      <c r="U41" s="1513">
        <f t="shared" si="77"/>
        <v>0</v>
      </c>
      <c r="V41" s="1513">
        <f t="shared" si="77"/>
        <v>0</v>
      </c>
      <c r="W41" s="1513">
        <f t="shared" si="77"/>
        <v>0</v>
      </c>
      <c r="X41" s="409">
        <f>SUM(P41:T41)</f>
        <v>29366141</v>
      </c>
      <c r="Y41" s="410"/>
      <c r="Z41" s="843"/>
      <c r="AA41" s="772"/>
    </row>
    <row r="42" spans="1:27" s="773" customFormat="1" ht="14.25" customHeight="1">
      <c r="A42" s="2055"/>
      <c r="B42" s="413" t="s">
        <v>30</v>
      </c>
      <c r="C42" s="414"/>
      <c r="D42" s="404">
        <f>+D43</f>
        <v>660590219</v>
      </c>
      <c r="E42" s="404">
        <f t="shared" ref="E42:W42" si="78">+E43</f>
        <v>208668</v>
      </c>
      <c r="F42" s="404">
        <f t="shared" si="78"/>
        <v>0</v>
      </c>
      <c r="G42" s="404">
        <f t="shared" si="78"/>
        <v>511</v>
      </c>
      <c r="H42" s="404">
        <f t="shared" si="78"/>
        <v>8746</v>
      </c>
      <c r="I42" s="404">
        <f t="shared" si="78"/>
        <v>1321785</v>
      </c>
      <c r="J42" s="404">
        <f t="shared" si="78"/>
        <v>13611058</v>
      </c>
      <c r="K42" s="404">
        <f t="shared" si="78"/>
        <v>44191899</v>
      </c>
      <c r="L42" s="404">
        <f t="shared" si="78"/>
        <v>47722901</v>
      </c>
      <c r="M42" s="404">
        <f t="shared" si="78"/>
        <v>163700431</v>
      </c>
      <c r="N42" s="404">
        <f t="shared" si="78"/>
        <v>56644120</v>
      </c>
      <c r="O42" s="404">
        <f t="shared" si="78"/>
        <v>36425346</v>
      </c>
      <c r="P42" s="404">
        <f t="shared" si="78"/>
        <v>90123803</v>
      </c>
      <c r="Q42" s="404">
        <f t="shared" si="78"/>
        <v>245005426</v>
      </c>
      <c r="R42" s="404">
        <f t="shared" si="78"/>
        <v>125335213</v>
      </c>
      <c r="S42" s="404">
        <f t="shared" si="78"/>
        <v>0</v>
      </c>
      <c r="T42" s="404">
        <f t="shared" si="78"/>
        <v>0</v>
      </c>
      <c r="U42" s="404">
        <f t="shared" si="78"/>
        <v>0</v>
      </c>
      <c r="V42" s="404">
        <f t="shared" si="78"/>
        <v>0</v>
      </c>
      <c r="W42" s="404">
        <f t="shared" si="78"/>
        <v>0</v>
      </c>
      <c r="X42" s="415">
        <f>+X43</f>
        <v>460464442</v>
      </c>
      <c r="Y42" s="410"/>
      <c r="AA42" s="772"/>
    </row>
    <row r="43" spans="1:27" ht="11.25" customHeight="1">
      <c r="A43" s="2055"/>
      <c r="B43" s="417" t="s">
        <v>33</v>
      </c>
      <c r="C43" s="418"/>
      <c r="D43" s="419">
        <f t="shared" ref="D43:W43" si="79">+D357+D269+D60+D230+D74+D370+D333+D128+D89+D138+D345+D150+D161+D172+D255+D104+D182+D117+D193+D202+D243+D209+D218+D281+D293+D305+D317</f>
        <v>660590219</v>
      </c>
      <c r="E43" s="419">
        <f t="shared" si="79"/>
        <v>208668</v>
      </c>
      <c r="F43" s="419">
        <f t="shared" si="79"/>
        <v>0</v>
      </c>
      <c r="G43" s="419">
        <f t="shared" si="79"/>
        <v>511</v>
      </c>
      <c r="H43" s="419">
        <f t="shared" si="79"/>
        <v>8746</v>
      </c>
      <c r="I43" s="419">
        <f t="shared" si="79"/>
        <v>1321785</v>
      </c>
      <c r="J43" s="419">
        <f t="shared" si="79"/>
        <v>13611058</v>
      </c>
      <c r="K43" s="419">
        <f t="shared" si="79"/>
        <v>44191899</v>
      </c>
      <c r="L43" s="419">
        <f t="shared" si="79"/>
        <v>47722901</v>
      </c>
      <c r="M43" s="419">
        <f t="shared" si="79"/>
        <v>163700431</v>
      </c>
      <c r="N43" s="419">
        <f t="shared" si="79"/>
        <v>56644120</v>
      </c>
      <c r="O43" s="419">
        <f t="shared" si="79"/>
        <v>36425346</v>
      </c>
      <c r="P43" s="419">
        <f t="shared" si="79"/>
        <v>90123803</v>
      </c>
      <c r="Q43" s="419">
        <f t="shared" si="79"/>
        <v>245005426</v>
      </c>
      <c r="R43" s="419">
        <f t="shared" si="79"/>
        <v>125335213</v>
      </c>
      <c r="S43" s="419">
        <f t="shared" si="79"/>
        <v>0</v>
      </c>
      <c r="T43" s="419">
        <f t="shared" si="79"/>
        <v>0</v>
      </c>
      <c r="U43" s="419">
        <f t="shared" si="79"/>
        <v>0</v>
      </c>
      <c r="V43" s="419">
        <f t="shared" si="79"/>
        <v>0</v>
      </c>
      <c r="W43" s="419">
        <f t="shared" si="79"/>
        <v>0</v>
      </c>
      <c r="X43" s="409">
        <f>SUM(P43:T43)</f>
        <v>460464442</v>
      </c>
      <c r="Y43" s="398"/>
      <c r="Z43" s="843">
        <f>D43-D52</f>
        <v>0</v>
      </c>
      <c r="AA43" s="772"/>
    </row>
    <row r="44" spans="1:27" ht="14.25" customHeight="1">
      <c r="A44" s="2055"/>
      <c r="B44" s="374" t="s">
        <v>34</v>
      </c>
      <c r="C44" s="375"/>
      <c r="D44" s="400">
        <f>+D45+D50</f>
        <v>718937466</v>
      </c>
      <c r="E44" s="400">
        <f t="shared" ref="E44:P44" si="80">+E45+E50</f>
        <v>0</v>
      </c>
      <c r="F44" s="400">
        <f t="shared" si="80"/>
        <v>0</v>
      </c>
      <c r="G44" s="400">
        <f t="shared" si="80"/>
        <v>0</v>
      </c>
      <c r="H44" s="400">
        <f t="shared" si="80"/>
        <v>0</v>
      </c>
      <c r="I44" s="400">
        <f t="shared" si="80"/>
        <v>0</v>
      </c>
      <c r="J44" s="400">
        <f t="shared" si="80"/>
        <v>15625149</v>
      </c>
      <c r="K44" s="400">
        <f t="shared" si="80"/>
        <v>49137150</v>
      </c>
      <c r="L44" s="400">
        <f t="shared" si="80"/>
        <v>32869248</v>
      </c>
      <c r="M44" s="400">
        <f t="shared" ref="M44" si="81">+M45+M50</f>
        <v>173640767</v>
      </c>
      <c r="N44" s="400">
        <f t="shared" si="80"/>
        <v>76009220</v>
      </c>
      <c r="O44" s="400">
        <f t="shared" si="80"/>
        <v>47247510</v>
      </c>
      <c r="P44" s="400">
        <f t="shared" si="80"/>
        <v>96110644</v>
      </c>
      <c r="Q44" s="400">
        <f>+Q45+Q50</f>
        <v>260209047</v>
      </c>
      <c r="R44" s="400">
        <f>+R45+R50</f>
        <v>141729498</v>
      </c>
      <c r="S44" s="400">
        <f t="shared" ref="S44:T44" si="82">+S45+S50</f>
        <v>0</v>
      </c>
      <c r="T44" s="400">
        <f t="shared" si="82"/>
        <v>0</v>
      </c>
      <c r="U44" s="400">
        <f t="shared" ref="U44:V44" si="83">+U45+U50</f>
        <v>0</v>
      </c>
      <c r="V44" s="400">
        <f t="shared" si="83"/>
        <v>0</v>
      </c>
      <c r="W44" s="400">
        <f t="shared" ref="W44" si="84">+W45+W50</f>
        <v>0</v>
      </c>
      <c r="X44" s="420"/>
      <c r="Y44" s="410"/>
    </row>
    <row r="45" spans="1:27" ht="12.75" customHeight="1">
      <c r="A45" s="2055"/>
      <c r="B45" s="421" t="s">
        <v>36</v>
      </c>
      <c r="C45" s="422"/>
      <c r="D45" s="423">
        <f>+D46+D47+D48+D49</f>
        <v>58347247</v>
      </c>
      <c r="E45" s="423">
        <f t="shared" ref="E45:W45" si="85">+E46+E47+E48+E49</f>
        <v>0</v>
      </c>
      <c r="F45" s="423">
        <f t="shared" si="85"/>
        <v>0</v>
      </c>
      <c r="G45" s="423">
        <f t="shared" si="85"/>
        <v>0</v>
      </c>
      <c r="H45" s="423">
        <f t="shared" si="85"/>
        <v>0</v>
      </c>
      <c r="I45" s="423">
        <f t="shared" si="85"/>
        <v>0</v>
      </c>
      <c r="J45" s="423">
        <f t="shared" si="85"/>
        <v>9240187</v>
      </c>
      <c r="K45" s="423">
        <f t="shared" si="85"/>
        <v>10026732</v>
      </c>
      <c r="L45" s="423">
        <f t="shared" si="85"/>
        <v>3642119</v>
      </c>
      <c r="M45" s="423">
        <f t="shared" si="85"/>
        <v>30892368</v>
      </c>
      <c r="N45" s="423">
        <f t="shared" si="85"/>
        <v>7983330</v>
      </c>
      <c r="O45" s="423">
        <f t="shared" si="85"/>
        <v>697024</v>
      </c>
      <c r="P45" s="423">
        <f t="shared" si="85"/>
        <v>9419285</v>
      </c>
      <c r="Q45" s="423">
        <f t="shared" si="85"/>
        <v>8919285</v>
      </c>
      <c r="R45" s="423">
        <f t="shared" si="85"/>
        <v>8419285</v>
      </c>
      <c r="S45" s="423">
        <f t="shared" si="85"/>
        <v>0</v>
      </c>
      <c r="T45" s="423">
        <f t="shared" si="85"/>
        <v>0</v>
      </c>
      <c r="U45" s="423">
        <f t="shared" si="85"/>
        <v>0</v>
      </c>
      <c r="V45" s="423">
        <f t="shared" si="85"/>
        <v>0</v>
      </c>
      <c r="W45" s="423">
        <f t="shared" si="85"/>
        <v>0</v>
      </c>
      <c r="X45" s="1137"/>
      <c r="Y45" s="410"/>
      <c r="Z45" s="843"/>
    </row>
    <row r="46" spans="1:27" ht="11.25" customHeight="1">
      <c r="A46" s="2055"/>
      <c r="B46" s="424" t="s">
        <v>27</v>
      </c>
      <c r="C46" s="425"/>
      <c r="D46" s="416">
        <f t="shared" ref="D46:W46" si="86">+D272+D374+D336+D141+D153+D234+D259+D93+D185</f>
        <v>10014464</v>
      </c>
      <c r="E46" s="416">
        <f t="shared" si="86"/>
        <v>0</v>
      </c>
      <c r="F46" s="416">
        <f t="shared" si="86"/>
        <v>0</v>
      </c>
      <c r="G46" s="416">
        <f t="shared" si="86"/>
        <v>0</v>
      </c>
      <c r="H46" s="416">
        <f t="shared" si="86"/>
        <v>0</v>
      </c>
      <c r="I46" s="416">
        <f t="shared" si="86"/>
        <v>0</v>
      </c>
      <c r="J46" s="416">
        <f t="shared" si="86"/>
        <v>2000000</v>
      </c>
      <c r="K46" s="416">
        <f t="shared" si="86"/>
        <v>3524600</v>
      </c>
      <c r="L46" s="416">
        <f t="shared" si="86"/>
        <v>1989864</v>
      </c>
      <c r="M46" s="416">
        <f t="shared" si="86"/>
        <v>8514464</v>
      </c>
      <c r="N46" s="416">
        <f t="shared" si="86"/>
        <v>1000000</v>
      </c>
      <c r="O46" s="416">
        <f t="shared" si="86"/>
        <v>0</v>
      </c>
      <c r="P46" s="416">
        <f t="shared" si="86"/>
        <v>1000000</v>
      </c>
      <c r="Q46" s="416">
        <f t="shared" si="86"/>
        <v>500000</v>
      </c>
      <c r="R46" s="416">
        <f t="shared" si="86"/>
        <v>0</v>
      </c>
      <c r="S46" s="416">
        <f t="shared" si="86"/>
        <v>0</v>
      </c>
      <c r="T46" s="416">
        <f t="shared" si="86"/>
        <v>0</v>
      </c>
      <c r="U46" s="416">
        <f t="shared" si="86"/>
        <v>0</v>
      </c>
      <c r="V46" s="416">
        <f t="shared" si="86"/>
        <v>0</v>
      </c>
      <c r="W46" s="416">
        <f t="shared" si="86"/>
        <v>0</v>
      </c>
      <c r="X46" s="1137"/>
      <c r="Y46" s="410"/>
    </row>
    <row r="47" spans="1:27">
      <c r="A47" s="2055"/>
      <c r="B47" s="411" t="s">
        <v>29</v>
      </c>
      <c r="C47" s="425"/>
      <c r="D47" s="416">
        <f t="shared" ref="D47:W47" si="87">+D63+D233+D77+D258+D107+D92+D120</f>
        <v>18125161</v>
      </c>
      <c r="E47" s="416">
        <f t="shared" si="87"/>
        <v>0</v>
      </c>
      <c r="F47" s="416">
        <f t="shared" si="87"/>
        <v>0</v>
      </c>
      <c r="G47" s="416">
        <f t="shared" si="87"/>
        <v>0</v>
      </c>
      <c r="H47" s="416">
        <f t="shared" si="87"/>
        <v>0</v>
      </c>
      <c r="I47" s="416">
        <f t="shared" si="87"/>
        <v>0</v>
      </c>
      <c r="J47" s="416">
        <f t="shared" si="87"/>
        <v>7240187</v>
      </c>
      <c r="K47" s="416">
        <f t="shared" si="87"/>
        <v>6502132</v>
      </c>
      <c r="L47" s="416">
        <f t="shared" si="87"/>
        <v>810774</v>
      </c>
      <c r="M47" s="416">
        <f t="shared" si="87"/>
        <v>17428137</v>
      </c>
      <c r="N47" s="416">
        <f t="shared" si="87"/>
        <v>2875044</v>
      </c>
      <c r="O47" s="416">
        <f t="shared" si="87"/>
        <v>697024</v>
      </c>
      <c r="P47" s="416">
        <f t="shared" si="87"/>
        <v>0</v>
      </c>
      <c r="Q47" s="416">
        <f t="shared" si="87"/>
        <v>0</v>
      </c>
      <c r="R47" s="416">
        <f t="shared" si="87"/>
        <v>0</v>
      </c>
      <c r="S47" s="416">
        <f t="shared" si="87"/>
        <v>0</v>
      </c>
      <c r="T47" s="416">
        <f t="shared" si="87"/>
        <v>0</v>
      </c>
      <c r="U47" s="416">
        <f t="shared" si="87"/>
        <v>0</v>
      </c>
      <c r="V47" s="416">
        <f t="shared" si="87"/>
        <v>0</v>
      </c>
      <c r="W47" s="416">
        <f t="shared" si="87"/>
        <v>0</v>
      </c>
      <c r="X47" s="1137"/>
      <c r="Y47" s="410"/>
    </row>
    <row r="48" spans="1:27">
      <c r="A48" s="2055"/>
      <c r="B48" s="411" t="s">
        <v>38</v>
      </c>
      <c r="C48" s="425"/>
      <c r="D48" s="416">
        <f>+D164</f>
        <v>841481</v>
      </c>
      <c r="E48" s="416">
        <f t="shared" ref="E48:P48" si="88">+E164</f>
        <v>0</v>
      </c>
      <c r="F48" s="416">
        <f t="shared" si="88"/>
        <v>0</v>
      </c>
      <c r="G48" s="416">
        <f t="shared" si="88"/>
        <v>0</v>
      </c>
      <c r="H48" s="416">
        <f t="shared" si="88"/>
        <v>0</v>
      </c>
      <c r="I48" s="416">
        <f t="shared" si="88"/>
        <v>0</v>
      </c>
      <c r="J48" s="416">
        <f t="shared" si="88"/>
        <v>0</v>
      </c>
      <c r="K48" s="416">
        <f t="shared" si="88"/>
        <v>0</v>
      </c>
      <c r="L48" s="416">
        <f>+L164</f>
        <v>841481</v>
      </c>
      <c r="M48" s="416">
        <f>+M164</f>
        <v>841481</v>
      </c>
      <c r="N48" s="416">
        <f t="shared" si="88"/>
        <v>0</v>
      </c>
      <c r="O48" s="416">
        <f t="shared" si="88"/>
        <v>0</v>
      </c>
      <c r="P48" s="416">
        <f t="shared" si="88"/>
        <v>0</v>
      </c>
      <c r="Q48" s="416">
        <f>+Q164</f>
        <v>0</v>
      </c>
      <c r="R48" s="416">
        <f>+R164</f>
        <v>0</v>
      </c>
      <c r="S48" s="416">
        <f t="shared" ref="S48:T48" si="89">+S164</f>
        <v>0</v>
      </c>
      <c r="T48" s="416">
        <f t="shared" si="89"/>
        <v>0</v>
      </c>
      <c r="U48" s="416">
        <f t="shared" ref="U48:V48" si="90">+U164</f>
        <v>0</v>
      </c>
      <c r="V48" s="416">
        <f t="shared" si="90"/>
        <v>0</v>
      </c>
      <c r="W48" s="416">
        <f t="shared" ref="W48" si="91">+W164</f>
        <v>0</v>
      </c>
      <c r="X48" s="1137"/>
      <c r="Y48" s="410"/>
    </row>
    <row r="49" spans="1:26">
      <c r="A49" s="2055"/>
      <c r="B49" s="411" t="s">
        <v>68</v>
      </c>
      <c r="C49" s="425"/>
      <c r="D49" s="1514">
        <f>D348+D360+D373</f>
        <v>29366141</v>
      </c>
      <c r="E49" s="1514">
        <f t="shared" ref="E49:W49" si="92">E348+E360+E373</f>
        <v>0</v>
      </c>
      <c r="F49" s="1514">
        <f t="shared" si="92"/>
        <v>0</v>
      </c>
      <c r="G49" s="1514">
        <f t="shared" si="92"/>
        <v>0</v>
      </c>
      <c r="H49" s="1514">
        <f t="shared" si="92"/>
        <v>0</v>
      </c>
      <c r="I49" s="1514">
        <f t="shared" si="92"/>
        <v>0</v>
      </c>
      <c r="J49" s="1514">
        <f t="shared" si="92"/>
        <v>0</v>
      </c>
      <c r="K49" s="1514">
        <f t="shared" si="92"/>
        <v>0</v>
      </c>
      <c r="L49" s="1514">
        <f t="shared" si="92"/>
        <v>0</v>
      </c>
      <c r="M49" s="1514">
        <f t="shared" si="92"/>
        <v>4108286</v>
      </c>
      <c r="N49" s="1514">
        <f t="shared" si="92"/>
        <v>4108286</v>
      </c>
      <c r="O49" s="1514">
        <f t="shared" si="92"/>
        <v>0</v>
      </c>
      <c r="P49" s="1514">
        <f t="shared" si="92"/>
        <v>8419285</v>
      </c>
      <c r="Q49" s="1514">
        <f t="shared" si="92"/>
        <v>8419285</v>
      </c>
      <c r="R49" s="1514">
        <f t="shared" si="92"/>
        <v>8419285</v>
      </c>
      <c r="S49" s="1514">
        <f t="shared" si="92"/>
        <v>0</v>
      </c>
      <c r="T49" s="1514">
        <f t="shared" si="92"/>
        <v>0</v>
      </c>
      <c r="U49" s="1514">
        <f t="shared" si="92"/>
        <v>0</v>
      </c>
      <c r="V49" s="1514">
        <f t="shared" si="92"/>
        <v>0</v>
      </c>
      <c r="W49" s="1514">
        <f t="shared" si="92"/>
        <v>0</v>
      </c>
      <c r="X49" s="1137"/>
      <c r="Y49" s="410"/>
    </row>
    <row r="50" spans="1:26" ht="12" customHeight="1">
      <c r="A50" s="2055"/>
      <c r="B50" s="426" t="s">
        <v>30</v>
      </c>
      <c r="C50" s="427"/>
      <c r="D50" s="428">
        <f>+D51+D52</f>
        <v>660590219</v>
      </c>
      <c r="E50" s="428">
        <f t="shared" ref="E50:P50" si="93">+E51+E52</f>
        <v>0</v>
      </c>
      <c r="F50" s="428">
        <f t="shared" si="93"/>
        <v>0</v>
      </c>
      <c r="G50" s="428">
        <f t="shared" si="93"/>
        <v>0</v>
      </c>
      <c r="H50" s="428">
        <f t="shared" si="93"/>
        <v>0</v>
      </c>
      <c r="I50" s="428">
        <f t="shared" si="93"/>
        <v>0</v>
      </c>
      <c r="J50" s="428">
        <f t="shared" si="93"/>
        <v>6384962</v>
      </c>
      <c r="K50" s="428">
        <f t="shared" si="93"/>
        <v>39110418</v>
      </c>
      <c r="L50" s="428">
        <f t="shared" si="93"/>
        <v>29227129</v>
      </c>
      <c r="M50" s="428">
        <f t="shared" ref="M50" si="94">+M51+M52</f>
        <v>142748399</v>
      </c>
      <c r="N50" s="428">
        <f t="shared" si="93"/>
        <v>68025890</v>
      </c>
      <c r="O50" s="428">
        <f t="shared" si="93"/>
        <v>46550486</v>
      </c>
      <c r="P50" s="428">
        <f t="shared" si="93"/>
        <v>86691359</v>
      </c>
      <c r="Q50" s="428">
        <f>+Q51+Q52</f>
        <v>251289762</v>
      </c>
      <c r="R50" s="428">
        <f>+R51+R52</f>
        <v>133310213</v>
      </c>
      <c r="S50" s="428">
        <f t="shared" ref="S50:T50" si="95">+S51+S52</f>
        <v>0</v>
      </c>
      <c r="T50" s="428">
        <f t="shared" si="95"/>
        <v>0</v>
      </c>
      <c r="U50" s="428">
        <f t="shared" ref="U50:V50" si="96">+U51+U52</f>
        <v>0</v>
      </c>
      <c r="V50" s="428">
        <f t="shared" si="96"/>
        <v>0</v>
      </c>
      <c r="W50" s="428">
        <f t="shared" ref="W50" si="97">+W51+W52</f>
        <v>0</v>
      </c>
      <c r="X50" s="1137"/>
      <c r="Y50" s="410"/>
    </row>
    <row r="51" spans="1:26" ht="12" hidden="1" customHeight="1">
      <c r="A51" s="2055"/>
      <c r="B51" s="411" t="s">
        <v>29</v>
      </c>
      <c r="C51" s="412"/>
      <c r="D51" s="416">
        <f t="shared" ref="D51:W51" si="98">+D65+D236+D79+D95+D261+D109</f>
        <v>0</v>
      </c>
      <c r="E51" s="416">
        <f t="shared" si="98"/>
        <v>0</v>
      </c>
      <c r="F51" s="416">
        <f t="shared" si="98"/>
        <v>0</v>
      </c>
      <c r="G51" s="416">
        <f t="shared" si="98"/>
        <v>0</v>
      </c>
      <c r="H51" s="416">
        <f t="shared" si="98"/>
        <v>0</v>
      </c>
      <c r="I51" s="416">
        <f t="shared" si="98"/>
        <v>0</v>
      </c>
      <c r="J51" s="416">
        <f t="shared" si="98"/>
        <v>0</v>
      </c>
      <c r="K51" s="416">
        <f t="shared" si="98"/>
        <v>0</v>
      </c>
      <c r="L51" s="416">
        <f t="shared" si="98"/>
        <v>0</v>
      </c>
      <c r="M51" s="416">
        <f t="shared" si="98"/>
        <v>0</v>
      </c>
      <c r="N51" s="416">
        <f t="shared" si="98"/>
        <v>0</v>
      </c>
      <c r="O51" s="416">
        <f t="shared" si="98"/>
        <v>0</v>
      </c>
      <c r="P51" s="416">
        <f t="shared" si="98"/>
        <v>0</v>
      </c>
      <c r="Q51" s="416">
        <f t="shared" si="98"/>
        <v>0</v>
      </c>
      <c r="R51" s="416">
        <f t="shared" si="98"/>
        <v>0</v>
      </c>
      <c r="S51" s="416">
        <f t="shared" si="98"/>
        <v>0</v>
      </c>
      <c r="T51" s="416">
        <f t="shared" si="98"/>
        <v>0</v>
      </c>
      <c r="U51" s="416">
        <f t="shared" si="98"/>
        <v>0</v>
      </c>
      <c r="V51" s="416">
        <f t="shared" si="98"/>
        <v>0</v>
      </c>
      <c r="W51" s="416">
        <f t="shared" si="98"/>
        <v>0</v>
      </c>
      <c r="X51" s="1137"/>
      <c r="Y51" s="410"/>
      <c r="Z51" s="843"/>
    </row>
    <row r="52" spans="1:26" ht="12.75" customHeight="1" thickBot="1">
      <c r="A52" s="1062"/>
      <c r="B52" s="429" t="s">
        <v>33</v>
      </c>
      <c r="C52" s="430"/>
      <c r="D52" s="431">
        <f t="shared" ref="D52:W52" si="99">+D362+D274+D66+D237+D80+D376+D338+D131+D96+D143+D350++D155+D166+D175+D262+D110+D187+D122+D196+D205+D246+D212+D221+D286+D298+D310+D322</f>
        <v>660590219</v>
      </c>
      <c r="E52" s="431">
        <f t="shared" si="99"/>
        <v>0</v>
      </c>
      <c r="F52" s="431">
        <f t="shared" si="99"/>
        <v>0</v>
      </c>
      <c r="G52" s="431">
        <f t="shared" si="99"/>
        <v>0</v>
      </c>
      <c r="H52" s="431">
        <f t="shared" si="99"/>
        <v>0</v>
      </c>
      <c r="I52" s="431">
        <f t="shared" si="99"/>
        <v>0</v>
      </c>
      <c r="J52" s="431">
        <f t="shared" si="99"/>
        <v>6384962</v>
      </c>
      <c r="K52" s="431">
        <f t="shared" si="99"/>
        <v>39110418</v>
      </c>
      <c r="L52" s="431">
        <f t="shared" si="99"/>
        <v>29227129</v>
      </c>
      <c r="M52" s="431">
        <f t="shared" si="99"/>
        <v>142748399</v>
      </c>
      <c r="N52" s="431">
        <f t="shared" si="99"/>
        <v>68025890</v>
      </c>
      <c r="O52" s="431">
        <f t="shared" si="99"/>
        <v>46550486</v>
      </c>
      <c r="P52" s="431">
        <f t="shared" si="99"/>
        <v>86691359</v>
      </c>
      <c r="Q52" s="431">
        <f t="shared" si="99"/>
        <v>251289762</v>
      </c>
      <c r="R52" s="431">
        <f t="shared" si="99"/>
        <v>133310213</v>
      </c>
      <c r="S52" s="431">
        <f t="shared" si="99"/>
        <v>0</v>
      </c>
      <c r="T52" s="431">
        <f t="shared" si="99"/>
        <v>0</v>
      </c>
      <c r="U52" s="431">
        <f t="shared" si="99"/>
        <v>0</v>
      </c>
      <c r="V52" s="431">
        <f t="shared" si="99"/>
        <v>0</v>
      </c>
      <c r="W52" s="431">
        <f t="shared" si="99"/>
        <v>0</v>
      </c>
      <c r="X52" s="1138"/>
      <c r="Y52" s="432"/>
      <c r="Z52" s="843"/>
    </row>
    <row r="53" spans="1:26" s="988" customFormat="1" ht="25.5" hidden="1" customHeight="1">
      <c r="A53" s="2986" t="s">
        <v>79</v>
      </c>
      <c r="B53" s="433"/>
      <c r="C53" s="473" t="s">
        <v>98</v>
      </c>
      <c r="D53" s="435"/>
      <c r="E53" s="436"/>
      <c r="F53" s="437"/>
      <c r="G53" s="436"/>
      <c r="H53" s="436"/>
      <c r="I53" s="436"/>
      <c r="J53" s="436"/>
      <c r="K53" s="436"/>
      <c r="L53" s="436"/>
      <c r="M53" s="438"/>
      <c r="N53" s="438"/>
      <c r="O53" s="438"/>
      <c r="P53" s="438"/>
      <c r="Q53" s="438"/>
      <c r="R53" s="438"/>
      <c r="S53" s="438"/>
      <c r="T53" s="438"/>
      <c r="U53" s="438"/>
      <c r="V53" s="438"/>
      <c r="W53" s="438"/>
      <c r="X53" s="439"/>
      <c r="Y53" s="440" t="s">
        <v>99</v>
      </c>
    </row>
    <row r="54" spans="1:26" s="988" customFormat="1" ht="12" hidden="1" customHeight="1">
      <c r="A54" s="2987"/>
      <c r="B54" s="399" t="s">
        <v>22</v>
      </c>
      <c r="C54" s="375"/>
      <c r="D54" s="441">
        <f t="shared" ref="D54:P54" si="100">+D55+D58</f>
        <v>0</v>
      </c>
      <c r="E54" s="442">
        <f t="shared" si="100"/>
        <v>0</v>
      </c>
      <c r="F54" s="442">
        <f t="shared" si="100"/>
        <v>0</v>
      </c>
      <c r="G54" s="442">
        <f t="shared" si="100"/>
        <v>0</v>
      </c>
      <c r="H54" s="442">
        <f t="shared" si="100"/>
        <v>0</v>
      </c>
      <c r="I54" s="442">
        <f t="shared" si="100"/>
        <v>0</v>
      </c>
      <c r="J54" s="442">
        <f t="shared" si="100"/>
        <v>0</v>
      </c>
      <c r="K54" s="442">
        <f t="shared" si="100"/>
        <v>0</v>
      </c>
      <c r="L54" s="442">
        <f t="shared" si="100"/>
        <v>0</v>
      </c>
      <c r="M54" s="442">
        <f t="shared" ref="M54" si="101">+M55+M58</f>
        <v>0</v>
      </c>
      <c r="N54" s="442">
        <f t="shared" si="100"/>
        <v>0</v>
      </c>
      <c r="O54" s="443">
        <f t="shared" si="100"/>
        <v>0</v>
      </c>
      <c r="P54" s="443">
        <f t="shared" si="100"/>
        <v>0</v>
      </c>
      <c r="Q54" s="443"/>
      <c r="R54" s="443"/>
      <c r="S54" s="443"/>
      <c r="T54" s="443"/>
      <c r="U54" s="443"/>
      <c r="V54" s="443"/>
      <c r="W54" s="443"/>
      <c r="X54" s="444">
        <f>+X55+X58</f>
        <v>0</v>
      </c>
      <c r="Y54" s="2991" t="s">
        <v>100</v>
      </c>
      <c r="Z54" s="987">
        <f>+O54+P54</f>
        <v>0</v>
      </c>
    </row>
    <row r="55" spans="1:26" s="988" customFormat="1" ht="12" hidden="1" customHeight="1">
      <c r="A55" s="2987"/>
      <c r="B55" s="445" t="s">
        <v>36</v>
      </c>
      <c r="C55" s="2978" t="s">
        <v>101</v>
      </c>
      <c r="D55" s="446">
        <f>+D56+D57</f>
        <v>0</v>
      </c>
      <c r="E55" s="446">
        <f t="shared" ref="E55:P55" si="102">+E56+E57</f>
        <v>0</v>
      </c>
      <c r="F55" s="446">
        <f t="shared" si="102"/>
        <v>0</v>
      </c>
      <c r="G55" s="446">
        <f t="shared" si="102"/>
        <v>0</v>
      </c>
      <c r="H55" s="446">
        <f t="shared" si="102"/>
        <v>0</v>
      </c>
      <c r="I55" s="446">
        <f t="shared" si="102"/>
        <v>0</v>
      </c>
      <c r="J55" s="446">
        <f t="shared" si="102"/>
        <v>0</v>
      </c>
      <c r="K55" s="446">
        <f t="shared" si="102"/>
        <v>0</v>
      </c>
      <c r="L55" s="446">
        <f t="shared" si="102"/>
        <v>0</v>
      </c>
      <c r="M55" s="446">
        <f t="shared" ref="M55" si="103">+M56+M57</f>
        <v>0</v>
      </c>
      <c r="N55" s="446">
        <f t="shared" si="102"/>
        <v>0</v>
      </c>
      <c r="O55" s="2056">
        <f t="shared" si="102"/>
        <v>0</v>
      </c>
      <c r="P55" s="446">
        <f t="shared" si="102"/>
        <v>0</v>
      </c>
      <c r="Q55" s="446"/>
      <c r="R55" s="446"/>
      <c r="S55" s="446"/>
      <c r="T55" s="446"/>
      <c r="U55" s="446"/>
      <c r="V55" s="446"/>
      <c r="W55" s="446"/>
      <c r="X55" s="447">
        <f>+X56+X57</f>
        <v>0</v>
      </c>
      <c r="Y55" s="2991"/>
    </row>
    <row r="56" spans="1:26" s="988" customFormat="1" ht="12" hidden="1" customHeight="1">
      <c r="A56" s="2987"/>
      <c r="B56" s="448" t="s">
        <v>24</v>
      </c>
      <c r="C56" s="2980"/>
      <c r="D56" s="449">
        <f>M56+O56+P56+Q56+R56+S56+T56+U56+V56+W56</f>
        <v>0</v>
      </c>
      <c r="E56" s="449">
        <v>0</v>
      </c>
      <c r="F56" s="449"/>
      <c r="G56" s="449"/>
      <c r="H56" s="449"/>
      <c r="I56" s="449">
        <v>0</v>
      </c>
      <c r="J56" s="449"/>
      <c r="K56" s="449"/>
      <c r="L56" s="450"/>
      <c r="M56" s="450"/>
      <c r="N56" s="450"/>
      <c r="O56" s="451">
        <v>0</v>
      </c>
      <c r="P56" s="450">
        <v>0</v>
      </c>
      <c r="Q56" s="450"/>
      <c r="R56" s="450"/>
      <c r="S56" s="450"/>
      <c r="T56" s="450"/>
      <c r="U56" s="450"/>
      <c r="V56" s="450"/>
      <c r="W56" s="450"/>
      <c r="X56" s="409">
        <f>SUM(P56:T56)</f>
        <v>0</v>
      </c>
      <c r="Y56" s="2991"/>
    </row>
    <row r="57" spans="1:26" s="988" customFormat="1" ht="12" hidden="1" customHeight="1">
      <c r="A57" s="2987"/>
      <c r="B57" s="448" t="s">
        <v>29</v>
      </c>
      <c r="C57" s="2980"/>
      <c r="D57" s="449">
        <f>M57+O57+P57+Q57+R57+S57+T57+U57+V57+W57</f>
        <v>0</v>
      </c>
      <c r="E57" s="454">
        <f>+F57+G57+H57</f>
        <v>0</v>
      </c>
      <c r="F57" s="455">
        <v>0</v>
      </c>
      <c r="G57" s="454"/>
      <c r="H57" s="454"/>
      <c r="I57" s="454"/>
      <c r="J57" s="454"/>
      <c r="K57" s="454"/>
      <c r="L57" s="456">
        <v>0</v>
      </c>
      <c r="M57" s="450">
        <f>+E57+I57+J57+K57+L57+N57</f>
        <v>0</v>
      </c>
      <c r="N57" s="456">
        <v>0</v>
      </c>
      <c r="O57" s="456">
        <v>0</v>
      </c>
      <c r="P57" s="456">
        <v>0</v>
      </c>
      <c r="Q57" s="457"/>
      <c r="R57" s="457"/>
      <c r="S57" s="457"/>
      <c r="T57" s="457"/>
      <c r="U57" s="457"/>
      <c r="V57" s="457"/>
      <c r="W57" s="457"/>
      <c r="X57" s="409">
        <f>SUM(P57:T57)</f>
        <v>0</v>
      </c>
      <c r="Y57" s="2991"/>
    </row>
    <row r="58" spans="1:26" s="988" customFormat="1" ht="12.75" hidden="1" customHeight="1">
      <c r="A58" s="2987"/>
      <c r="B58" s="458" t="s">
        <v>30</v>
      </c>
      <c r="C58" s="2980"/>
      <c r="D58" s="459">
        <f>+D60+D59</f>
        <v>0</v>
      </c>
      <c r="E58" s="460">
        <f>+E60+E59</f>
        <v>0</v>
      </c>
      <c r="F58" s="460">
        <f>+F60+F59</f>
        <v>0</v>
      </c>
      <c r="G58" s="460">
        <f>+G59+G60</f>
        <v>0</v>
      </c>
      <c r="H58" s="460">
        <f>+H59+H60</f>
        <v>0</v>
      </c>
      <c r="I58" s="460">
        <f t="shared" ref="I58:P58" si="104">+I59+I60</f>
        <v>0</v>
      </c>
      <c r="J58" s="460">
        <f t="shared" si="104"/>
        <v>0</v>
      </c>
      <c r="K58" s="460">
        <f t="shared" si="104"/>
        <v>0</v>
      </c>
      <c r="L58" s="460">
        <f t="shared" si="104"/>
        <v>0</v>
      </c>
      <c r="M58" s="460">
        <f t="shared" si="104"/>
        <v>0</v>
      </c>
      <c r="N58" s="460">
        <f t="shared" si="104"/>
        <v>0</v>
      </c>
      <c r="O58" s="460">
        <f t="shared" si="104"/>
        <v>0</v>
      </c>
      <c r="P58" s="460">
        <f t="shared" si="104"/>
        <v>0</v>
      </c>
      <c r="Q58" s="460"/>
      <c r="R58" s="460"/>
      <c r="S58" s="460"/>
      <c r="T58" s="460"/>
      <c r="U58" s="460"/>
      <c r="V58" s="460"/>
      <c r="W58" s="460"/>
      <c r="X58" s="461">
        <f>+X60+X59</f>
        <v>0</v>
      </c>
      <c r="Y58" s="2991"/>
    </row>
    <row r="59" spans="1:26" s="988" customFormat="1" ht="12" hidden="1" customHeight="1">
      <c r="A59" s="2987"/>
      <c r="B59" s="448" t="s">
        <v>29</v>
      </c>
      <c r="C59" s="856"/>
      <c r="D59" s="453">
        <f>+E59+I59+J59+K59+L59</f>
        <v>0</v>
      </c>
      <c r="E59" s="454">
        <f>+F59+G59+H59</f>
        <v>0</v>
      </c>
      <c r="F59" s="455">
        <v>0</v>
      </c>
      <c r="G59" s="454"/>
      <c r="H59" s="454"/>
      <c r="I59" s="454">
        <v>0</v>
      </c>
      <c r="J59" s="454">
        <v>0</v>
      </c>
      <c r="K59" s="454">
        <v>0</v>
      </c>
      <c r="L59" s="454"/>
      <c r="M59" s="454"/>
      <c r="N59" s="454">
        <v>0</v>
      </c>
      <c r="O59" s="454">
        <v>0</v>
      </c>
      <c r="P59" s="454">
        <v>0</v>
      </c>
      <c r="Q59" s="462"/>
      <c r="R59" s="462"/>
      <c r="S59" s="462"/>
      <c r="T59" s="462"/>
      <c r="U59" s="462"/>
      <c r="V59" s="462"/>
      <c r="W59" s="462"/>
      <c r="X59" s="452"/>
      <c r="Y59" s="2991"/>
    </row>
    <row r="60" spans="1:26" s="988" customFormat="1" ht="12" hidden="1" customHeight="1">
      <c r="A60" s="2987"/>
      <c r="B60" s="527" t="s">
        <v>33</v>
      </c>
      <c r="C60" s="1027"/>
      <c r="D60" s="1217">
        <f>M60+O60+P60+Q60+R60+S60+T60+U60+V60+W60</f>
        <v>0</v>
      </c>
      <c r="E60" s="456">
        <f>+F60+G60+H60</f>
        <v>0</v>
      </c>
      <c r="F60" s="457">
        <v>0</v>
      </c>
      <c r="G60" s="456">
        <f>15076.5-15076.5</f>
        <v>0</v>
      </c>
      <c r="H60" s="456">
        <f>77997.5-77997.5</f>
        <v>0</v>
      </c>
      <c r="I60" s="456">
        <f>149000-149000</f>
        <v>0</v>
      </c>
      <c r="J60" s="456"/>
      <c r="K60" s="456"/>
      <c r="L60" s="456"/>
      <c r="M60" s="450">
        <f>+E60+I60+J60+K60+L60+N60</f>
        <v>0</v>
      </c>
      <c r="N60" s="456">
        <v>0</v>
      </c>
      <c r="O60" s="456">
        <v>0</v>
      </c>
      <c r="P60" s="456">
        <v>0</v>
      </c>
      <c r="Q60" s="457"/>
      <c r="R60" s="457"/>
      <c r="S60" s="457"/>
      <c r="T60" s="457"/>
      <c r="U60" s="457"/>
      <c r="V60" s="457"/>
      <c r="W60" s="457"/>
      <c r="X60" s="409">
        <f>SUM(P60:T60)</f>
        <v>0</v>
      </c>
      <c r="Y60" s="3004"/>
    </row>
    <row r="61" spans="1:26" s="988" customFormat="1" ht="12" hidden="1" customHeight="1">
      <c r="A61" s="2987"/>
      <c r="B61" s="517" t="s">
        <v>34</v>
      </c>
      <c r="C61" s="538"/>
      <c r="D61" s="539">
        <f t="shared" ref="D61:P61" si="105">+D64+D62</f>
        <v>0</v>
      </c>
      <c r="E61" s="539">
        <f t="shared" si="105"/>
        <v>0</v>
      </c>
      <c r="F61" s="539">
        <f t="shared" si="105"/>
        <v>0</v>
      </c>
      <c r="G61" s="539">
        <f t="shared" si="105"/>
        <v>0</v>
      </c>
      <c r="H61" s="539">
        <f t="shared" si="105"/>
        <v>0</v>
      </c>
      <c r="I61" s="539">
        <f t="shared" si="105"/>
        <v>0</v>
      </c>
      <c r="J61" s="539">
        <f t="shared" si="105"/>
        <v>0</v>
      </c>
      <c r="K61" s="539">
        <f t="shared" si="105"/>
        <v>0</v>
      </c>
      <c r="L61" s="539">
        <f t="shared" si="105"/>
        <v>0</v>
      </c>
      <c r="M61" s="539">
        <f t="shared" ref="M61" si="106">+M64+M62</f>
        <v>0</v>
      </c>
      <c r="N61" s="539">
        <f t="shared" si="105"/>
        <v>0</v>
      </c>
      <c r="O61" s="539">
        <f t="shared" si="105"/>
        <v>0</v>
      </c>
      <c r="P61" s="539">
        <f t="shared" si="105"/>
        <v>0</v>
      </c>
      <c r="Q61" s="539"/>
      <c r="R61" s="539"/>
      <c r="S61" s="539"/>
      <c r="T61" s="539"/>
      <c r="U61" s="539"/>
      <c r="V61" s="539"/>
      <c r="W61" s="539"/>
      <c r="X61" s="2953" t="s">
        <v>35</v>
      </c>
      <c r="Y61" s="3035" t="s">
        <v>323</v>
      </c>
    </row>
    <row r="62" spans="1:26" s="988" customFormat="1" ht="12" hidden="1" customHeight="1">
      <c r="A62" s="2987"/>
      <c r="B62" s="445" t="s">
        <v>36</v>
      </c>
      <c r="C62" s="2978" t="s">
        <v>102</v>
      </c>
      <c r="D62" s="465">
        <f>+D63</f>
        <v>0</v>
      </c>
      <c r="E62" s="465">
        <f t="shared" ref="E62:P62" si="107">+E63</f>
        <v>0</v>
      </c>
      <c r="F62" s="465">
        <f t="shared" si="107"/>
        <v>0</v>
      </c>
      <c r="G62" s="465">
        <f t="shared" si="107"/>
        <v>0</v>
      </c>
      <c r="H62" s="465">
        <f t="shared" si="107"/>
        <v>0</v>
      </c>
      <c r="I62" s="465">
        <f t="shared" si="107"/>
        <v>0</v>
      </c>
      <c r="J62" s="465">
        <f t="shared" si="107"/>
        <v>0</v>
      </c>
      <c r="K62" s="465">
        <f t="shared" si="107"/>
        <v>0</v>
      </c>
      <c r="L62" s="465">
        <f t="shared" si="107"/>
        <v>0</v>
      </c>
      <c r="M62" s="465">
        <f t="shared" si="107"/>
        <v>0</v>
      </c>
      <c r="N62" s="465">
        <f t="shared" si="107"/>
        <v>0</v>
      </c>
      <c r="O62" s="465">
        <f t="shared" si="107"/>
        <v>0</v>
      </c>
      <c r="P62" s="465">
        <f t="shared" si="107"/>
        <v>0</v>
      </c>
      <c r="Q62" s="465"/>
      <c r="R62" s="465"/>
      <c r="S62" s="465"/>
      <c r="T62" s="465"/>
      <c r="U62" s="465"/>
      <c r="V62" s="465"/>
      <c r="W62" s="465"/>
      <c r="X62" s="2953"/>
      <c r="Y62" s="3033"/>
    </row>
    <row r="63" spans="1:26" s="988" customFormat="1" ht="12" hidden="1" customHeight="1">
      <c r="A63" s="2987"/>
      <c r="B63" s="448" t="s">
        <v>29</v>
      </c>
      <c r="C63" s="2980"/>
      <c r="D63" s="449">
        <f>M63+O63+P63+Q63+R63+S63+T63+U63+V63+W63</f>
        <v>0</v>
      </c>
      <c r="E63" s="467"/>
      <c r="F63" s="467"/>
      <c r="G63" s="467"/>
      <c r="H63" s="467"/>
      <c r="I63" s="467"/>
      <c r="J63" s="456"/>
      <c r="K63" s="456"/>
      <c r="L63" s="467"/>
      <c r="M63" s="450">
        <f>+E63+I63+J63+K63+L63+N63</f>
        <v>0</v>
      </c>
      <c r="N63" s="467"/>
      <c r="O63" s="467"/>
      <c r="P63" s="467"/>
      <c r="Q63" s="467"/>
      <c r="R63" s="467"/>
      <c r="S63" s="467"/>
      <c r="T63" s="467"/>
      <c r="U63" s="467"/>
      <c r="V63" s="467"/>
      <c r="W63" s="467"/>
      <c r="X63" s="2953"/>
      <c r="Y63" s="3033"/>
    </row>
    <row r="64" spans="1:26" s="988" customFormat="1" ht="12" hidden="1" customHeight="1">
      <c r="A64" s="2987"/>
      <c r="B64" s="458" t="s">
        <v>30</v>
      </c>
      <c r="C64" s="2980"/>
      <c r="D64" s="459">
        <f>+D66+D65</f>
        <v>0</v>
      </c>
      <c r="E64" s="459">
        <f t="shared" ref="E64:P64" si="108">+E66+E65</f>
        <v>0</v>
      </c>
      <c r="F64" s="459">
        <f t="shared" si="108"/>
        <v>0</v>
      </c>
      <c r="G64" s="459">
        <f t="shared" si="108"/>
        <v>0</v>
      </c>
      <c r="H64" s="459">
        <f t="shared" si="108"/>
        <v>0</v>
      </c>
      <c r="I64" s="459">
        <f t="shared" si="108"/>
        <v>0</v>
      </c>
      <c r="J64" s="459">
        <f t="shared" si="108"/>
        <v>0</v>
      </c>
      <c r="K64" s="459">
        <f t="shared" si="108"/>
        <v>0</v>
      </c>
      <c r="L64" s="459">
        <f t="shared" si="108"/>
        <v>0</v>
      </c>
      <c r="M64" s="459">
        <f t="shared" si="108"/>
        <v>0</v>
      </c>
      <c r="N64" s="459">
        <f t="shared" si="108"/>
        <v>0</v>
      </c>
      <c r="O64" s="459">
        <f t="shared" si="108"/>
        <v>0</v>
      </c>
      <c r="P64" s="459">
        <f t="shared" si="108"/>
        <v>0</v>
      </c>
      <c r="Q64" s="459"/>
      <c r="R64" s="459"/>
      <c r="S64" s="459"/>
      <c r="T64" s="459"/>
      <c r="U64" s="459"/>
      <c r="V64" s="459"/>
      <c r="W64" s="459"/>
      <c r="X64" s="2953"/>
      <c r="Y64" s="3033"/>
    </row>
    <row r="65" spans="1:26" s="988" customFormat="1" ht="15" hidden="1" customHeight="1">
      <c r="A65" s="2987"/>
      <c r="B65" s="448" t="s">
        <v>29</v>
      </c>
      <c r="C65" s="2980"/>
      <c r="D65" s="467">
        <f>+E65+I65+J65+K65+L65</f>
        <v>0</v>
      </c>
      <c r="E65" s="456">
        <v>0</v>
      </c>
      <c r="F65" s="457"/>
      <c r="G65" s="456"/>
      <c r="H65" s="456"/>
      <c r="I65" s="456">
        <v>0</v>
      </c>
      <c r="J65" s="456">
        <v>0</v>
      </c>
      <c r="K65" s="456">
        <v>0</v>
      </c>
      <c r="L65" s="456">
        <v>0</v>
      </c>
      <c r="M65" s="456"/>
      <c r="N65" s="456">
        <v>0</v>
      </c>
      <c r="O65" s="456">
        <v>0</v>
      </c>
      <c r="P65" s="456">
        <v>0</v>
      </c>
      <c r="Q65" s="456"/>
      <c r="R65" s="456"/>
      <c r="S65" s="456"/>
      <c r="T65" s="456"/>
      <c r="U65" s="456"/>
      <c r="V65" s="456"/>
      <c r="W65" s="456"/>
      <c r="X65" s="2953"/>
      <c r="Y65" s="3033"/>
    </row>
    <row r="66" spans="1:26" s="988" customFormat="1" ht="12" hidden="1" customHeight="1" thickBot="1">
      <c r="A66" s="3023"/>
      <c r="B66" s="468" t="s">
        <v>33</v>
      </c>
      <c r="C66" s="3016"/>
      <c r="D66" s="449">
        <f>M66+O66+P66+Q66+R66+S66+T66+U66+V66+W66</f>
        <v>0</v>
      </c>
      <c r="E66" s="470">
        <f>+F66+G66+H66</f>
        <v>0</v>
      </c>
      <c r="F66" s="471">
        <v>0</v>
      </c>
      <c r="G66" s="470">
        <v>0</v>
      </c>
      <c r="H66" s="470">
        <v>0</v>
      </c>
      <c r="I66" s="470">
        <v>0</v>
      </c>
      <c r="J66" s="470">
        <v>0</v>
      </c>
      <c r="K66" s="470"/>
      <c r="L66" s="470"/>
      <c r="M66" s="450"/>
      <c r="N66" s="470">
        <v>0</v>
      </c>
      <c r="O66" s="470">
        <v>0</v>
      </c>
      <c r="P66" s="472">
        <v>0</v>
      </c>
      <c r="Q66" s="472"/>
      <c r="R66" s="472"/>
      <c r="S66" s="472"/>
      <c r="T66" s="472"/>
      <c r="U66" s="472"/>
      <c r="V66" s="472"/>
      <c r="W66" s="472"/>
      <c r="X66" s="2954"/>
      <c r="Y66" s="3034"/>
    </row>
    <row r="67" spans="1:26" s="988" customFormat="1" ht="28.5" hidden="1" customHeight="1">
      <c r="A67" s="2986"/>
      <c r="B67" s="493"/>
      <c r="C67" s="473" t="s">
        <v>98</v>
      </c>
      <c r="D67" s="474"/>
      <c r="E67" s="476"/>
      <c r="F67" s="475"/>
      <c r="G67" s="476"/>
      <c r="H67" s="476"/>
      <c r="I67" s="436"/>
      <c r="J67" s="436"/>
      <c r="K67" s="436"/>
      <c r="L67" s="436"/>
      <c r="M67" s="438"/>
      <c r="N67" s="438"/>
      <c r="O67" s="438"/>
      <c r="P67" s="438"/>
      <c r="Q67" s="438"/>
      <c r="R67" s="436"/>
      <c r="S67" s="436"/>
      <c r="T67" s="437"/>
      <c r="U67" s="916"/>
      <c r="V67" s="916"/>
      <c r="W67" s="916"/>
      <c r="X67" s="477"/>
      <c r="Y67" s="440"/>
    </row>
    <row r="68" spans="1:26" s="988" customFormat="1" ht="12" hidden="1" customHeight="1">
      <c r="A68" s="2987"/>
      <c r="B68" s="499" t="s">
        <v>22</v>
      </c>
      <c r="C68" s="375"/>
      <c r="D68" s="478">
        <f>+D69+D72</f>
        <v>0</v>
      </c>
      <c r="E68" s="478">
        <f t="shared" ref="E68:O68" si="109">+E69+E72</f>
        <v>0</v>
      </c>
      <c r="F68" s="478">
        <f t="shared" si="109"/>
        <v>0</v>
      </c>
      <c r="G68" s="478">
        <f t="shared" si="109"/>
        <v>0</v>
      </c>
      <c r="H68" s="478">
        <f t="shared" si="109"/>
        <v>0</v>
      </c>
      <c r="I68" s="478">
        <f t="shared" si="109"/>
        <v>0</v>
      </c>
      <c r="J68" s="478">
        <f t="shared" si="109"/>
        <v>0</v>
      </c>
      <c r="K68" s="478">
        <f t="shared" si="109"/>
        <v>0</v>
      </c>
      <c r="L68" s="478">
        <f t="shared" si="109"/>
        <v>0</v>
      </c>
      <c r="M68" s="478">
        <f t="shared" ref="M68" si="110">+M69+M72</f>
        <v>0</v>
      </c>
      <c r="N68" s="478">
        <f t="shared" si="109"/>
        <v>0</v>
      </c>
      <c r="O68" s="478">
        <f t="shared" si="109"/>
        <v>0</v>
      </c>
      <c r="P68" s="478">
        <f>+P69+P72</f>
        <v>0</v>
      </c>
      <c r="Q68" s="478"/>
      <c r="R68" s="478"/>
      <c r="S68" s="478"/>
      <c r="T68" s="478"/>
      <c r="U68" s="924"/>
      <c r="V68" s="924"/>
      <c r="W68" s="924"/>
      <c r="X68" s="541"/>
      <c r="Y68" s="2991" t="s">
        <v>100</v>
      </c>
      <c r="Z68" s="987">
        <f>+O68+P68</f>
        <v>0</v>
      </c>
    </row>
    <row r="69" spans="1:26" s="988" customFormat="1" ht="12" hidden="1" customHeight="1">
      <c r="A69" s="2987"/>
      <c r="B69" s="500" t="s">
        <v>36</v>
      </c>
      <c r="C69" s="2978" t="s">
        <v>101</v>
      </c>
      <c r="D69" s="481">
        <f>+D70+D71</f>
        <v>0</v>
      </c>
      <c r="E69" s="481">
        <f t="shared" ref="E69:P69" si="111">+E70+E71</f>
        <v>0</v>
      </c>
      <c r="F69" s="481">
        <f t="shared" si="111"/>
        <v>0</v>
      </c>
      <c r="G69" s="481">
        <f t="shared" si="111"/>
        <v>0</v>
      </c>
      <c r="H69" s="481">
        <f t="shared" si="111"/>
        <v>0</v>
      </c>
      <c r="I69" s="481">
        <f t="shared" si="111"/>
        <v>0</v>
      </c>
      <c r="J69" s="481">
        <f t="shared" si="111"/>
        <v>0</v>
      </c>
      <c r="K69" s="481">
        <f t="shared" si="111"/>
        <v>0</v>
      </c>
      <c r="L69" s="481">
        <f t="shared" si="111"/>
        <v>0</v>
      </c>
      <c r="M69" s="481">
        <f t="shared" ref="M69" si="112">+M70+M71</f>
        <v>0</v>
      </c>
      <c r="N69" s="481">
        <f t="shared" si="111"/>
        <v>0</v>
      </c>
      <c r="O69" s="481">
        <f t="shared" si="111"/>
        <v>0</v>
      </c>
      <c r="P69" s="481">
        <f t="shared" si="111"/>
        <v>0</v>
      </c>
      <c r="Q69" s="481"/>
      <c r="R69" s="481"/>
      <c r="S69" s="481"/>
      <c r="T69" s="481"/>
      <c r="U69" s="925"/>
      <c r="V69" s="925"/>
      <c r="W69" s="925"/>
      <c r="X69" s="1139"/>
      <c r="Y69" s="2991"/>
    </row>
    <row r="70" spans="1:26" s="988" customFormat="1" ht="12" hidden="1" customHeight="1">
      <c r="A70" s="2987"/>
      <c r="B70" s="484" t="s">
        <v>24</v>
      </c>
      <c r="C70" s="2980"/>
      <c r="D70" s="449">
        <f t="shared" ref="D70:D71" si="113">SUM(M70:T70)</f>
        <v>0</v>
      </c>
      <c r="E70" s="485">
        <v>0</v>
      </c>
      <c r="F70" s="485"/>
      <c r="G70" s="485"/>
      <c r="H70" s="485"/>
      <c r="I70" s="485">
        <v>0</v>
      </c>
      <c r="J70" s="485"/>
      <c r="K70" s="485"/>
      <c r="L70" s="485"/>
      <c r="M70" s="450">
        <f>+E70+I70+J70+K70+L70</f>
        <v>0</v>
      </c>
      <c r="N70" s="485"/>
      <c r="O70" s="485">
        <f>10018-10018</f>
        <v>0</v>
      </c>
      <c r="P70" s="485">
        <v>0</v>
      </c>
      <c r="Q70" s="485"/>
      <c r="R70" s="485"/>
      <c r="S70" s="485"/>
      <c r="T70" s="485"/>
      <c r="U70" s="926"/>
      <c r="V70" s="926"/>
      <c r="W70" s="926"/>
      <c r="X70" s="486"/>
      <c r="Y70" s="2991"/>
    </row>
    <row r="71" spans="1:26" s="988" customFormat="1" ht="12.75" hidden="1" customHeight="1">
      <c r="A71" s="2987"/>
      <c r="B71" s="484" t="s">
        <v>29</v>
      </c>
      <c r="C71" s="2994"/>
      <c r="D71" s="449">
        <f t="shared" si="113"/>
        <v>0</v>
      </c>
      <c r="E71" s="454">
        <f>+F71+G71+H71</f>
        <v>0</v>
      </c>
      <c r="F71" s="457"/>
      <c r="G71" s="494"/>
      <c r="H71" s="494"/>
      <c r="I71" s="494"/>
      <c r="J71" s="494"/>
      <c r="K71" s="494"/>
      <c r="L71" s="456">
        <v>0</v>
      </c>
      <c r="M71" s="450"/>
      <c r="N71" s="457">
        <v>0</v>
      </c>
      <c r="O71" s="530">
        <v>0</v>
      </c>
      <c r="P71" s="457">
        <v>0</v>
      </c>
      <c r="Q71" s="457"/>
      <c r="R71" s="457"/>
      <c r="S71" s="457"/>
      <c r="T71" s="457"/>
      <c r="U71" s="776"/>
      <c r="V71" s="776"/>
      <c r="W71" s="776"/>
      <c r="X71" s="486"/>
      <c r="Y71" s="2991"/>
    </row>
    <row r="72" spans="1:26" s="988" customFormat="1" ht="12" hidden="1" customHeight="1">
      <c r="A72" s="2987"/>
      <c r="B72" s="540" t="s">
        <v>30</v>
      </c>
      <c r="C72" s="2994"/>
      <c r="D72" s="459">
        <f>+D74+D73</f>
        <v>0</v>
      </c>
      <c r="E72" s="459">
        <f t="shared" ref="E72:P72" si="114">+E74+E73</f>
        <v>0</v>
      </c>
      <c r="F72" s="459">
        <f t="shared" si="114"/>
        <v>0</v>
      </c>
      <c r="G72" s="459">
        <f t="shared" si="114"/>
        <v>0</v>
      </c>
      <c r="H72" s="459">
        <f t="shared" si="114"/>
        <v>0</v>
      </c>
      <c r="I72" s="459">
        <f t="shared" si="114"/>
        <v>0</v>
      </c>
      <c r="J72" s="459">
        <f t="shared" si="114"/>
        <v>0</v>
      </c>
      <c r="K72" s="459">
        <f t="shared" si="114"/>
        <v>0</v>
      </c>
      <c r="L72" s="459">
        <f t="shared" si="114"/>
        <v>0</v>
      </c>
      <c r="M72" s="459">
        <f t="shared" si="114"/>
        <v>0</v>
      </c>
      <c r="N72" s="459">
        <f t="shared" si="114"/>
        <v>0</v>
      </c>
      <c r="O72" s="459">
        <f t="shared" si="114"/>
        <v>0</v>
      </c>
      <c r="P72" s="459">
        <f t="shared" si="114"/>
        <v>0</v>
      </c>
      <c r="Q72" s="459"/>
      <c r="R72" s="459"/>
      <c r="S72" s="459"/>
      <c r="T72" s="459"/>
      <c r="U72" s="927"/>
      <c r="V72" s="927"/>
      <c r="W72" s="927"/>
      <c r="X72" s="1218"/>
      <c r="Y72" s="2991"/>
    </row>
    <row r="73" spans="1:26" s="988" customFormat="1" ht="12" hidden="1" customHeight="1">
      <c r="A73" s="2987"/>
      <c r="B73" s="484" t="s">
        <v>29</v>
      </c>
      <c r="C73" s="2994"/>
      <c r="D73" s="453">
        <f>+E73+I73+J73+K73+L73</f>
        <v>0</v>
      </c>
      <c r="E73" s="454">
        <f>+F73+G73+H73</f>
        <v>0</v>
      </c>
      <c r="F73" s="457">
        <v>0</v>
      </c>
      <c r="G73" s="494">
        <v>0</v>
      </c>
      <c r="H73" s="494">
        <v>0</v>
      </c>
      <c r="I73" s="494">
        <v>0</v>
      </c>
      <c r="J73" s="494">
        <v>0</v>
      </c>
      <c r="K73" s="494">
        <v>0</v>
      </c>
      <c r="L73" s="456">
        <v>0</v>
      </c>
      <c r="M73" s="457"/>
      <c r="N73" s="457">
        <v>0</v>
      </c>
      <c r="O73" s="457">
        <v>0</v>
      </c>
      <c r="P73" s="457">
        <v>0</v>
      </c>
      <c r="Q73" s="457"/>
      <c r="R73" s="457"/>
      <c r="S73" s="457"/>
      <c r="T73" s="457"/>
      <c r="U73" s="776"/>
      <c r="V73" s="776"/>
      <c r="W73" s="776"/>
      <c r="X73" s="1219"/>
      <c r="Y73" s="2991"/>
    </row>
    <row r="74" spans="1:26" s="988" customFormat="1" ht="12" hidden="1" customHeight="1">
      <c r="A74" s="2987"/>
      <c r="B74" s="489" t="s">
        <v>33</v>
      </c>
      <c r="C74" s="3014"/>
      <c r="D74" s="449">
        <f>SUM(M74:T74)</f>
        <v>0</v>
      </c>
      <c r="E74" s="454">
        <f>+F74+G74+H74</f>
        <v>0</v>
      </c>
      <c r="F74" s="462">
        <v>0</v>
      </c>
      <c r="G74" s="487"/>
      <c r="H74" s="487"/>
      <c r="I74" s="487"/>
      <c r="J74" s="487"/>
      <c r="K74" s="487"/>
      <c r="L74" s="454">
        <v>0</v>
      </c>
      <c r="M74" s="450">
        <f>+E74+I74+J74+K74+L74</f>
        <v>0</v>
      </c>
      <c r="N74" s="454">
        <v>0</v>
      </c>
      <c r="O74" s="454">
        <v>0</v>
      </c>
      <c r="P74" s="454">
        <v>0</v>
      </c>
      <c r="Q74" s="454"/>
      <c r="R74" s="454"/>
      <c r="S74" s="462"/>
      <c r="T74" s="462"/>
      <c r="U74" s="776"/>
      <c r="V74" s="776"/>
      <c r="W74" s="776"/>
      <c r="X74" s="1220"/>
      <c r="Y74" s="3004"/>
    </row>
    <row r="75" spans="1:26" s="988" customFormat="1" ht="12" hidden="1" customHeight="1">
      <c r="A75" s="2988"/>
      <c r="B75" s="499" t="s">
        <v>34</v>
      </c>
      <c r="C75" s="375"/>
      <c r="D75" s="464">
        <f>+D76+D78</f>
        <v>0</v>
      </c>
      <c r="E75" s="464">
        <f t="shared" ref="E75:P75" si="115">+E76+E78</f>
        <v>0</v>
      </c>
      <c r="F75" s="464">
        <f t="shared" si="115"/>
        <v>0</v>
      </c>
      <c r="G75" s="464">
        <f t="shared" si="115"/>
        <v>0</v>
      </c>
      <c r="H75" s="464">
        <f t="shared" si="115"/>
        <v>0</v>
      </c>
      <c r="I75" s="464">
        <f t="shared" si="115"/>
        <v>0</v>
      </c>
      <c r="J75" s="464">
        <f t="shared" si="115"/>
        <v>0</v>
      </c>
      <c r="K75" s="464">
        <f t="shared" si="115"/>
        <v>0</v>
      </c>
      <c r="L75" s="464">
        <f t="shared" si="115"/>
        <v>0</v>
      </c>
      <c r="M75" s="464">
        <f t="shared" ref="M75" si="116">+M76+M78</f>
        <v>0</v>
      </c>
      <c r="N75" s="464">
        <f t="shared" si="115"/>
        <v>0</v>
      </c>
      <c r="O75" s="464">
        <f t="shared" si="115"/>
        <v>0</v>
      </c>
      <c r="P75" s="464">
        <f t="shared" si="115"/>
        <v>0</v>
      </c>
      <c r="Q75" s="464"/>
      <c r="R75" s="464"/>
      <c r="S75" s="464"/>
      <c r="T75" s="464"/>
      <c r="U75" s="1215"/>
      <c r="V75" s="1215"/>
      <c r="W75" s="1215"/>
      <c r="X75" s="2658"/>
      <c r="Y75" s="3035" t="s">
        <v>323</v>
      </c>
    </row>
    <row r="76" spans="1:26" s="988" customFormat="1" ht="12" hidden="1" customHeight="1">
      <c r="A76" s="2988"/>
      <c r="B76" s="500" t="s">
        <v>36</v>
      </c>
      <c r="C76" s="2978" t="s">
        <v>102</v>
      </c>
      <c r="D76" s="465">
        <f>+D77</f>
        <v>0</v>
      </c>
      <c r="E76" s="465">
        <f t="shared" ref="E76:P76" si="117">+E77</f>
        <v>0</v>
      </c>
      <c r="F76" s="465">
        <f t="shared" si="117"/>
        <v>0</v>
      </c>
      <c r="G76" s="465">
        <f t="shared" si="117"/>
        <v>0</v>
      </c>
      <c r="H76" s="465">
        <f t="shared" si="117"/>
        <v>0</v>
      </c>
      <c r="I76" s="465">
        <f t="shared" si="117"/>
        <v>0</v>
      </c>
      <c r="J76" s="465">
        <f t="shared" si="117"/>
        <v>0</v>
      </c>
      <c r="K76" s="465">
        <f t="shared" si="117"/>
        <v>0</v>
      </c>
      <c r="L76" s="465">
        <f t="shared" si="117"/>
        <v>0</v>
      </c>
      <c r="M76" s="465">
        <f t="shared" si="117"/>
        <v>0</v>
      </c>
      <c r="N76" s="465">
        <f t="shared" si="117"/>
        <v>0</v>
      </c>
      <c r="O76" s="465">
        <f t="shared" si="117"/>
        <v>0</v>
      </c>
      <c r="P76" s="465">
        <f t="shared" si="117"/>
        <v>0</v>
      </c>
      <c r="Q76" s="465"/>
      <c r="R76" s="465"/>
      <c r="S76" s="465"/>
      <c r="T76" s="465"/>
      <c r="U76" s="927"/>
      <c r="V76" s="927"/>
      <c r="W76" s="927"/>
      <c r="X76" s="2659"/>
      <c r="Y76" s="3033"/>
    </row>
    <row r="77" spans="1:26" s="988" customFormat="1" ht="12" hidden="1" customHeight="1">
      <c r="A77" s="2988"/>
      <c r="B77" s="484" t="s">
        <v>29</v>
      </c>
      <c r="C77" s="2980"/>
      <c r="D77" s="449">
        <f>SUM(M77:T77)</f>
        <v>0</v>
      </c>
      <c r="E77" s="467">
        <v>0</v>
      </c>
      <c r="F77" s="467">
        <v>0</v>
      </c>
      <c r="G77" s="467">
        <v>0</v>
      </c>
      <c r="H77" s="467">
        <v>0</v>
      </c>
      <c r="I77" s="467">
        <v>0</v>
      </c>
      <c r="J77" s="494"/>
      <c r="K77" s="494"/>
      <c r="L77" s="467"/>
      <c r="M77" s="450"/>
      <c r="N77" s="467">
        <v>0</v>
      </c>
      <c r="O77" s="467">
        <v>0</v>
      </c>
      <c r="P77" s="467">
        <v>0</v>
      </c>
      <c r="Q77" s="467"/>
      <c r="R77" s="467"/>
      <c r="S77" s="467"/>
      <c r="T77" s="467"/>
      <c r="U77" s="550"/>
      <c r="V77" s="550"/>
      <c r="W77" s="550"/>
      <c r="X77" s="2659"/>
      <c r="Y77" s="3033"/>
    </row>
    <row r="78" spans="1:26" s="988" customFormat="1" ht="12" hidden="1" customHeight="1">
      <c r="A78" s="2988"/>
      <c r="B78" s="540" t="s">
        <v>30</v>
      </c>
      <c r="C78" s="2980"/>
      <c r="D78" s="459">
        <f>+D80+D79</f>
        <v>0</v>
      </c>
      <c r="E78" s="459">
        <f t="shared" ref="E78:P78" si="118">+E80+E79</f>
        <v>0</v>
      </c>
      <c r="F78" s="459">
        <f t="shared" si="118"/>
        <v>0</v>
      </c>
      <c r="G78" s="459">
        <f t="shared" si="118"/>
        <v>0</v>
      </c>
      <c r="H78" s="459">
        <f t="shared" si="118"/>
        <v>0</v>
      </c>
      <c r="I78" s="459">
        <f t="shared" si="118"/>
        <v>0</v>
      </c>
      <c r="J78" s="459">
        <f t="shared" si="118"/>
        <v>0</v>
      </c>
      <c r="K78" s="459">
        <f t="shared" si="118"/>
        <v>0</v>
      </c>
      <c r="L78" s="459">
        <f t="shared" si="118"/>
        <v>0</v>
      </c>
      <c r="M78" s="459">
        <f t="shared" si="118"/>
        <v>0</v>
      </c>
      <c r="N78" s="459">
        <f t="shared" si="118"/>
        <v>0</v>
      </c>
      <c r="O78" s="459">
        <f t="shared" si="118"/>
        <v>0</v>
      </c>
      <c r="P78" s="459">
        <f t="shared" si="118"/>
        <v>0</v>
      </c>
      <c r="Q78" s="459"/>
      <c r="R78" s="459"/>
      <c r="S78" s="459"/>
      <c r="T78" s="459"/>
      <c r="U78" s="927"/>
      <c r="V78" s="927"/>
      <c r="W78" s="927"/>
      <c r="X78" s="2659"/>
      <c r="Y78" s="3033"/>
    </row>
    <row r="79" spans="1:26" s="988" customFormat="1" ht="12" hidden="1" customHeight="1">
      <c r="A79" s="2988"/>
      <c r="B79" s="484" t="s">
        <v>29</v>
      </c>
      <c r="C79" s="2980"/>
      <c r="D79" s="449">
        <f t="shared" ref="D79:D80" si="119">SUM(M79:T79)</f>
        <v>0</v>
      </c>
      <c r="E79" s="456">
        <v>0</v>
      </c>
      <c r="F79" s="457"/>
      <c r="G79" s="494"/>
      <c r="H79" s="494"/>
      <c r="I79" s="494">
        <v>0</v>
      </c>
      <c r="J79" s="494">
        <v>0</v>
      </c>
      <c r="K79" s="494">
        <v>0</v>
      </c>
      <c r="L79" s="456">
        <v>0</v>
      </c>
      <c r="M79" s="450">
        <f>+E79+I79+J79+K79+L79</f>
        <v>0</v>
      </c>
      <c r="N79" s="457">
        <v>0</v>
      </c>
      <c r="O79" s="457">
        <v>0</v>
      </c>
      <c r="P79" s="457">
        <v>0</v>
      </c>
      <c r="Q79" s="457"/>
      <c r="R79" s="457"/>
      <c r="S79" s="457"/>
      <c r="T79" s="457"/>
      <c r="U79" s="776"/>
      <c r="V79" s="776"/>
      <c r="W79" s="776"/>
      <c r="X79" s="2659"/>
      <c r="Y79" s="3033"/>
    </row>
    <row r="80" spans="1:26" s="988" customFormat="1" ht="12" hidden="1" customHeight="1" thickBot="1">
      <c r="A80" s="2989"/>
      <c r="B80" s="495" t="s">
        <v>33</v>
      </c>
      <c r="C80" s="3016"/>
      <c r="D80" s="449">
        <f t="shared" si="119"/>
        <v>0</v>
      </c>
      <c r="E80" s="491">
        <f>+F80+G80+H80</f>
        <v>0</v>
      </c>
      <c r="F80" s="492">
        <v>0</v>
      </c>
      <c r="G80" s="497">
        <v>0</v>
      </c>
      <c r="H80" s="491">
        <v>0</v>
      </c>
      <c r="I80" s="491">
        <v>0</v>
      </c>
      <c r="J80" s="491"/>
      <c r="K80" s="491"/>
      <c r="L80" s="491"/>
      <c r="M80" s="470">
        <f>L80+E80+I80+J80+K80</f>
        <v>0</v>
      </c>
      <c r="N80" s="491">
        <v>0</v>
      </c>
      <c r="O80" s="491">
        <v>0</v>
      </c>
      <c r="P80" s="491">
        <v>0</v>
      </c>
      <c r="Q80" s="491"/>
      <c r="R80" s="491"/>
      <c r="S80" s="491"/>
      <c r="T80" s="491"/>
      <c r="U80" s="472"/>
      <c r="V80" s="472"/>
      <c r="W80" s="472"/>
      <c r="X80" s="2660"/>
      <c r="Y80" s="3034"/>
    </row>
    <row r="81" spans="1:26" s="988" customFormat="1" ht="24" customHeight="1">
      <c r="A81" s="2986" t="s">
        <v>79</v>
      </c>
      <c r="B81" s="433" t="s">
        <v>455</v>
      </c>
      <c r="C81" s="473" t="s">
        <v>98</v>
      </c>
      <c r="D81" s="474"/>
      <c r="E81" s="498"/>
      <c r="F81" s="475"/>
      <c r="G81" s="476"/>
      <c r="H81" s="476"/>
      <c r="I81" s="436"/>
      <c r="J81" s="436"/>
      <c r="K81" s="436"/>
      <c r="L81" s="436"/>
      <c r="M81" s="436"/>
      <c r="N81" s="436"/>
      <c r="O81" s="436"/>
      <c r="P81" s="438"/>
      <c r="Q81" s="438"/>
      <c r="R81" s="438"/>
      <c r="S81" s="438"/>
      <c r="T81" s="438"/>
      <c r="U81" s="438"/>
      <c r="V81" s="438"/>
      <c r="W81" s="438"/>
      <c r="X81" s="439"/>
      <c r="Y81" s="440" t="s">
        <v>99</v>
      </c>
    </row>
    <row r="82" spans="1:26" s="988" customFormat="1" ht="12" customHeight="1">
      <c r="A82" s="2987"/>
      <c r="B82" s="499" t="s">
        <v>22</v>
      </c>
      <c r="C82" s="375"/>
      <c r="D82" s="478">
        <f t="shared" ref="D82:P82" si="120">+D83+D87</f>
        <v>39393906</v>
      </c>
      <c r="E82" s="479">
        <f t="shared" si="120"/>
        <v>106483</v>
      </c>
      <c r="F82" s="478">
        <f t="shared" si="120"/>
        <v>16483</v>
      </c>
      <c r="G82" s="478">
        <f t="shared" si="120"/>
        <v>6633</v>
      </c>
      <c r="H82" s="479">
        <f t="shared" si="120"/>
        <v>0</v>
      </c>
      <c r="I82" s="478">
        <f t="shared" si="120"/>
        <v>561530</v>
      </c>
      <c r="J82" s="478">
        <f t="shared" si="120"/>
        <v>13168067</v>
      </c>
      <c r="K82" s="479">
        <f t="shared" si="120"/>
        <v>25505841</v>
      </c>
      <c r="L82" s="478">
        <f t="shared" si="120"/>
        <v>16985</v>
      </c>
      <c r="M82" s="478">
        <f t="shared" ref="M82" si="121">+M83+M87</f>
        <v>39360985</v>
      </c>
      <c r="N82" s="478">
        <f t="shared" si="120"/>
        <v>2079</v>
      </c>
      <c r="O82" s="478">
        <f t="shared" si="120"/>
        <v>13280</v>
      </c>
      <c r="P82" s="478">
        <f t="shared" si="120"/>
        <v>19641</v>
      </c>
      <c r="Q82" s="478">
        <f t="shared" ref="Q82:T82" si="122">+Q83+Q87</f>
        <v>0</v>
      </c>
      <c r="R82" s="478">
        <f t="shared" si="122"/>
        <v>0</v>
      </c>
      <c r="S82" s="478">
        <f t="shared" si="122"/>
        <v>0</v>
      </c>
      <c r="T82" s="478">
        <f t="shared" si="122"/>
        <v>0</v>
      </c>
      <c r="U82" s="478"/>
      <c r="V82" s="478"/>
      <c r="W82" s="478"/>
      <c r="X82" s="480">
        <f>+X83+X87</f>
        <v>19641</v>
      </c>
      <c r="Y82" s="2991" t="s">
        <v>100</v>
      </c>
      <c r="Z82" s="987">
        <f>+O82+P82</f>
        <v>32921</v>
      </c>
    </row>
    <row r="83" spans="1:26" s="988" customFormat="1" ht="12" customHeight="1">
      <c r="A83" s="2987"/>
      <c r="B83" s="500" t="s">
        <v>36</v>
      </c>
      <c r="C83" s="2978" t="s">
        <v>101</v>
      </c>
      <c r="D83" s="501">
        <f>+D84+D85+D86</f>
        <v>11235809</v>
      </c>
      <c r="E83" s="501">
        <f t="shared" ref="E83:P83" si="123">+E84+E85+E86</f>
        <v>39227</v>
      </c>
      <c r="F83" s="501">
        <f t="shared" si="123"/>
        <v>16483</v>
      </c>
      <c r="G83" s="501">
        <f t="shared" si="123"/>
        <v>6633</v>
      </c>
      <c r="H83" s="501">
        <f t="shared" si="123"/>
        <v>0</v>
      </c>
      <c r="I83" s="501">
        <f t="shared" si="123"/>
        <v>444194</v>
      </c>
      <c r="J83" s="501">
        <f t="shared" si="123"/>
        <v>6759056</v>
      </c>
      <c r="K83" s="501">
        <f t="shared" si="123"/>
        <v>3941347</v>
      </c>
      <c r="L83" s="501">
        <f t="shared" si="123"/>
        <v>16985</v>
      </c>
      <c r="M83" s="501">
        <f t="shared" ref="M83" si="124">+M84+M85+M86</f>
        <v>11202888</v>
      </c>
      <c r="N83" s="501">
        <f t="shared" si="123"/>
        <v>2079</v>
      </c>
      <c r="O83" s="501">
        <f t="shared" si="123"/>
        <v>13280</v>
      </c>
      <c r="P83" s="501">
        <f t="shared" si="123"/>
        <v>19641</v>
      </c>
      <c r="Q83" s="501">
        <f t="shared" ref="Q83:T83" si="125">+Q84+Q85+Q86</f>
        <v>0</v>
      </c>
      <c r="R83" s="501">
        <f t="shared" si="125"/>
        <v>0</v>
      </c>
      <c r="S83" s="501">
        <f t="shared" si="125"/>
        <v>0</v>
      </c>
      <c r="T83" s="501">
        <f t="shared" si="125"/>
        <v>0</v>
      </c>
      <c r="U83" s="501"/>
      <c r="V83" s="501"/>
      <c r="W83" s="501"/>
      <c r="X83" s="502">
        <f>+X84+X85+X86</f>
        <v>19641</v>
      </c>
      <c r="Y83" s="2991"/>
    </row>
    <row r="84" spans="1:26" s="988" customFormat="1" ht="12" customHeight="1">
      <c r="A84" s="2987"/>
      <c r="B84" s="503" t="s">
        <v>24</v>
      </c>
      <c r="C84" s="2994"/>
      <c r="D84" s="449">
        <f>M84+O84+P84+Q84+R84+S84+T84+U84+V84+W84</f>
        <v>4465729</v>
      </c>
      <c r="E84" s="1178">
        <v>23116</v>
      </c>
      <c r="F84" s="494">
        <v>16483</v>
      </c>
      <c r="G84" s="456">
        <v>6633</v>
      </c>
      <c r="H84" s="456">
        <v>0</v>
      </c>
      <c r="I84" s="456">
        <v>416086</v>
      </c>
      <c r="J84" s="456">
        <v>1131259</v>
      </c>
      <c r="K84" s="456">
        <f>2467799+350000-15901+41385</f>
        <v>2843283</v>
      </c>
      <c r="L84" s="494">
        <f>170000-153015</f>
        <v>16985</v>
      </c>
      <c r="M84" s="450">
        <f>+E84+I84+J84+K84+L84+N84</f>
        <v>4432808</v>
      </c>
      <c r="N84" s="494">
        <f>40000-32921-5000</f>
        <v>2079</v>
      </c>
      <c r="O84" s="494">
        <f>32921-14641-5000</f>
        <v>13280</v>
      </c>
      <c r="P84" s="530">
        <f>14641+5000</f>
        <v>19641</v>
      </c>
      <c r="Q84" s="457"/>
      <c r="R84" s="457"/>
      <c r="S84" s="457"/>
      <c r="T84" s="457"/>
      <c r="U84" s="457"/>
      <c r="V84" s="457"/>
      <c r="W84" s="457"/>
      <c r="X84" s="409">
        <f>SUM(P84:T84)</f>
        <v>19641</v>
      </c>
      <c r="Y84" s="2991"/>
    </row>
    <row r="85" spans="1:26" s="988" customFormat="1" ht="12" customHeight="1">
      <c r="A85" s="2987"/>
      <c r="B85" s="484" t="s">
        <v>29</v>
      </c>
      <c r="C85" s="2994"/>
      <c r="D85" s="449">
        <f>M85+O85+P85+Q85+R85+S85+T85+U85+V85+W85</f>
        <v>6745480</v>
      </c>
      <c r="E85" s="456">
        <v>16111</v>
      </c>
      <c r="F85" s="462"/>
      <c r="G85" s="454"/>
      <c r="H85" s="454"/>
      <c r="I85" s="454">
        <v>28108</v>
      </c>
      <c r="J85" s="454">
        <v>5627797</v>
      </c>
      <c r="K85" s="454">
        <f>1077530+3932-7998</f>
        <v>1073464</v>
      </c>
      <c r="L85" s="457">
        <v>0</v>
      </c>
      <c r="M85" s="450">
        <f>+E85+I85+J85+K85+L85+N85</f>
        <v>6745480</v>
      </c>
      <c r="N85" s="457">
        <v>0</v>
      </c>
      <c r="O85" s="457">
        <v>0</v>
      </c>
      <c r="P85" s="457">
        <v>0</v>
      </c>
      <c r="Q85" s="457"/>
      <c r="R85" s="457"/>
      <c r="S85" s="457"/>
      <c r="T85" s="457"/>
      <c r="U85" s="457"/>
      <c r="V85" s="457"/>
      <c r="W85" s="457"/>
      <c r="X85" s="409">
        <f>SUM(P85:T85)</f>
        <v>0</v>
      </c>
      <c r="Y85" s="2991"/>
    </row>
    <row r="86" spans="1:26" s="988" customFormat="1" ht="12" customHeight="1">
      <c r="A86" s="2987"/>
      <c r="B86" s="484" t="s">
        <v>27</v>
      </c>
      <c r="C86" s="2994"/>
      <c r="D86" s="449">
        <f>M86+O86+P86+Q86+R86+S86+T86+U86+V86+W86</f>
        <v>24600</v>
      </c>
      <c r="E86" s="457">
        <v>0</v>
      </c>
      <c r="F86" s="462"/>
      <c r="G86" s="462"/>
      <c r="H86" s="462"/>
      <c r="I86" s="462">
        <v>0</v>
      </c>
      <c r="J86" s="462">
        <v>0</v>
      </c>
      <c r="K86" s="462">
        <v>24600</v>
      </c>
      <c r="L86" s="457">
        <v>0</v>
      </c>
      <c r="M86" s="450">
        <f>+E86+I86+J86+K86+L86+N86</f>
        <v>24600</v>
      </c>
      <c r="N86" s="457">
        <v>0</v>
      </c>
      <c r="O86" s="457">
        <v>0</v>
      </c>
      <c r="P86" s="457">
        <v>0</v>
      </c>
      <c r="Q86" s="457"/>
      <c r="R86" s="457"/>
      <c r="S86" s="457"/>
      <c r="T86" s="457"/>
      <c r="U86" s="457"/>
      <c r="V86" s="457"/>
      <c r="W86" s="457"/>
      <c r="X86" s="409">
        <f>SUM(P86:T86)</f>
        <v>0</v>
      </c>
      <c r="Y86" s="2991"/>
    </row>
    <row r="87" spans="1:26" s="988" customFormat="1" ht="12" customHeight="1">
      <c r="A87" s="2987"/>
      <c r="B87" s="504" t="s">
        <v>30</v>
      </c>
      <c r="C87" s="2994"/>
      <c r="D87" s="459">
        <f>+D89+D88</f>
        <v>28158097</v>
      </c>
      <c r="E87" s="459">
        <f t="shared" ref="E87:P87" si="126">+E89+E88</f>
        <v>67256</v>
      </c>
      <c r="F87" s="459">
        <f t="shared" si="126"/>
        <v>0</v>
      </c>
      <c r="G87" s="459">
        <f t="shared" si="126"/>
        <v>0</v>
      </c>
      <c r="H87" s="459">
        <f t="shared" si="126"/>
        <v>0</v>
      </c>
      <c r="I87" s="459">
        <f t="shared" si="126"/>
        <v>117336</v>
      </c>
      <c r="J87" s="459">
        <f t="shared" si="126"/>
        <v>6409011</v>
      </c>
      <c r="K87" s="459">
        <f t="shared" si="126"/>
        <v>21564494</v>
      </c>
      <c r="L87" s="459">
        <f t="shared" si="126"/>
        <v>0</v>
      </c>
      <c r="M87" s="459">
        <f t="shared" si="126"/>
        <v>28158097</v>
      </c>
      <c r="N87" s="459">
        <f t="shared" si="126"/>
        <v>0</v>
      </c>
      <c r="O87" s="459">
        <f t="shared" si="126"/>
        <v>0</v>
      </c>
      <c r="P87" s="459">
        <f t="shared" si="126"/>
        <v>0</v>
      </c>
      <c r="Q87" s="459"/>
      <c r="R87" s="459"/>
      <c r="S87" s="459"/>
      <c r="T87" s="459"/>
      <c r="U87" s="459"/>
      <c r="V87" s="459"/>
      <c r="W87" s="459"/>
      <c r="X87" s="502">
        <f t="shared" ref="X87" si="127">+X89+X88</f>
        <v>0</v>
      </c>
      <c r="Y87" s="2991"/>
    </row>
    <row r="88" spans="1:26" s="988" customFormat="1" ht="12.75" hidden="1" customHeight="1">
      <c r="A88" s="2987"/>
      <c r="B88" s="484" t="s">
        <v>29</v>
      </c>
      <c r="C88" s="2994"/>
      <c r="D88" s="453">
        <f>+E88+I88+J88+K88+L88</f>
        <v>0</v>
      </c>
      <c r="E88" s="456">
        <v>0</v>
      </c>
      <c r="F88" s="462">
        <v>0</v>
      </c>
      <c r="G88" s="454">
        <v>0</v>
      </c>
      <c r="H88" s="454">
        <v>0</v>
      </c>
      <c r="I88" s="454">
        <v>0</v>
      </c>
      <c r="J88" s="454">
        <v>0</v>
      </c>
      <c r="K88" s="454">
        <v>0</v>
      </c>
      <c r="L88" s="454">
        <v>0</v>
      </c>
      <c r="M88" s="450">
        <f t="shared" ref="M88" si="128">+E88+I88+J88+K88+L88</f>
        <v>0</v>
      </c>
      <c r="N88" s="454">
        <v>0</v>
      </c>
      <c r="O88" s="454">
        <v>0</v>
      </c>
      <c r="P88" s="462">
        <v>0</v>
      </c>
      <c r="Q88" s="462"/>
      <c r="R88" s="462"/>
      <c r="S88" s="462"/>
      <c r="T88" s="462"/>
      <c r="U88" s="462"/>
      <c r="V88" s="462"/>
      <c r="W88" s="462"/>
      <c r="X88" s="409">
        <f>SUM(P88:T88)</f>
        <v>0</v>
      </c>
      <c r="Y88" s="2991"/>
    </row>
    <row r="89" spans="1:26" s="988" customFormat="1" ht="12" customHeight="1">
      <c r="A89" s="2987"/>
      <c r="B89" s="503" t="s">
        <v>33</v>
      </c>
      <c r="C89" s="3014"/>
      <c r="D89" s="449">
        <f>M89+O89+P89+Q89+R89+S89+T89+U89+V89+W89</f>
        <v>28158097</v>
      </c>
      <c r="E89" s="456">
        <v>67256</v>
      </c>
      <c r="F89" s="462">
        <v>0</v>
      </c>
      <c r="G89" s="454">
        <v>0</v>
      </c>
      <c r="H89" s="454">
        <v>0</v>
      </c>
      <c r="I89" s="454">
        <v>117336</v>
      </c>
      <c r="J89" s="454">
        <v>6409011</v>
      </c>
      <c r="K89" s="454">
        <f>21585912+11969-33387</f>
        <v>21564494</v>
      </c>
      <c r="L89" s="454">
        <v>0</v>
      </c>
      <c r="M89" s="450">
        <f>+E89+I89+J89+K89+L89+N89</f>
        <v>28158097</v>
      </c>
      <c r="N89" s="454">
        <v>0</v>
      </c>
      <c r="O89" s="454">
        <v>0</v>
      </c>
      <c r="P89" s="462">
        <v>0</v>
      </c>
      <c r="Q89" s="462"/>
      <c r="R89" s="462"/>
      <c r="S89" s="462"/>
      <c r="T89" s="462"/>
      <c r="U89" s="462"/>
      <c r="V89" s="462"/>
      <c r="W89" s="462"/>
      <c r="X89" s="409">
        <f>SUM(P89:T89)</f>
        <v>0</v>
      </c>
      <c r="Y89" s="3004"/>
    </row>
    <row r="90" spans="1:26" s="988" customFormat="1">
      <c r="A90" s="2988"/>
      <c r="B90" s="505" t="s">
        <v>34</v>
      </c>
      <c r="C90" s="375"/>
      <c r="D90" s="464">
        <f>+D91+D94</f>
        <v>34928177</v>
      </c>
      <c r="E90" s="464">
        <f t="shared" ref="E90:P90" si="129">+E91+E94</f>
        <v>0</v>
      </c>
      <c r="F90" s="464">
        <f t="shared" si="129"/>
        <v>0</v>
      </c>
      <c r="G90" s="464">
        <f t="shared" si="129"/>
        <v>0</v>
      </c>
      <c r="H90" s="464">
        <f t="shared" si="129"/>
        <v>0</v>
      </c>
      <c r="I90" s="464">
        <f t="shared" si="129"/>
        <v>0</v>
      </c>
      <c r="J90" s="464">
        <f t="shared" si="129"/>
        <v>7901349</v>
      </c>
      <c r="K90" s="464">
        <f t="shared" si="129"/>
        <v>25026366</v>
      </c>
      <c r="L90" s="464">
        <f t="shared" si="129"/>
        <v>2000462</v>
      </c>
      <c r="M90" s="464">
        <f t="shared" ref="M90" si="130">+M91+M94</f>
        <v>34928177</v>
      </c>
      <c r="N90" s="464">
        <f t="shared" si="129"/>
        <v>0</v>
      </c>
      <c r="O90" s="464">
        <f t="shared" si="129"/>
        <v>0</v>
      </c>
      <c r="P90" s="464">
        <f t="shared" si="129"/>
        <v>0</v>
      </c>
      <c r="Q90" s="464"/>
      <c r="R90" s="464"/>
      <c r="S90" s="464"/>
      <c r="T90" s="464"/>
      <c r="U90" s="464"/>
      <c r="V90" s="464"/>
      <c r="W90" s="464"/>
      <c r="X90" s="2952" t="s">
        <v>35</v>
      </c>
      <c r="Y90" s="3035" t="s">
        <v>323</v>
      </c>
      <c r="Z90" s="987">
        <f>D90-'[3]Tab. 6A -Drogi'!$D$90</f>
        <v>0</v>
      </c>
    </row>
    <row r="91" spans="1:26" s="988" customFormat="1">
      <c r="A91" s="2988"/>
      <c r="B91" s="500" t="s">
        <v>36</v>
      </c>
      <c r="C91" s="2978" t="s">
        <v>102</v>
      </c>
      <c r="D91" s="465">
        <f>+D92+D93</f>
        <v>6770080</v>
      </c>
      <c r="E91" s="465">
        <f t="shared" ref="E91:P91" si="131">+E92+E93</f>
        <v>0</v>
      </c>
      <c r="F91" s="465">
        <f t="shared" si="131"/>
        <v>0</v>
      </c>
      <c r="G91" s="465">
        <f t="shared" si="131"/>
        <v>0</v>
      </c>
      <c r="H91" s="465">
        <f t="shared" si="131"/>
        <v>0</v>
      </c>
      <c r="I91" s="465">
        <f t="shared" si="131"/>
        <v>0</v>
      </c>
      <c r="J91" s="465">
        <f t="shared" si="131"/>
        <v>4171661</v>
      </c>
      <c r="K91" s="465">
        <f t="shared" si="131"/>
        <v>2211809</v>
      </c>
      <c r="L91" s="465">
        <f t="shared" si="131"/>
        <v>386610</v>
      </c>
      <c r="M91" s="465">
        <f t="shared" ref="M91" si="132">+M92+M93</f>
        <v>6770080</v>
      </c>
      <c r="N91" s="465">
        <f t="shared" si="131"/>
        <v>0</v>
      </c>
      <c r="O91" s="465">
        <f t="shared" si="131"/>
        <v>0</v>
      </c>
      <c r="P91" s="465">
        <f t="shared" si="131"/>
        <v>0</v>
      </c>
      <c r="Q91" s="465"/>
      <c r="R91" s="465"/>
      <c r="S91" s="465"/>
      <c r="T91" s="465"/>
      <c r="U91" s="465"/>
      <c r="V91" s="465"/>
      <c r="W91" s="465"/>
      <c r="X91" s="2953"/>
      <c r="Y91" s="3033"/>
    </row>
    <row r="92" spans="1:26" s="988" customFormat="1" ht="12" customHeight="1">
      <c r="A92" s="2988"/>
      <c r="B92" s="484" t="s">
        <v>29</v>
      </c>
      <c r="C92" s="2980"/>
      <c r="D92" s="449">
        <f>M92+O92+P92+Q92+R92+S92+T92+U92+V92+W92</f>
        <v>6745480</v>
      </c>
      <c r="E92" s="457">
        <v>0</v>
      </c>
      <c r="F92" s="457"/>
      <c r="G92" s="506"/>
      <c r="H92" s="507"/>
      <c r="I92" s="507">
        <v>0</v>
      </c>
      <c r="J92" s="506">
        <v>4171661</v>
      </c>
      <c r="K92" s="506">
        <f>2195207-7998</f>
        <v>2187209</v>
      </c>
      <c r="L92" s="506">
        <f>456487-17118-52759</f>
        <v>386610</v>
      </c>
      <c r="M92" s="450">
        <f>+E92+I92+J92+K92+L92+N92</f>
        <v>6745480</v>
      </c>
      <c r="N92" s="506">
        <v>0</v>
      </c>
      <c r="O92" s="506">
        <v>0</v>
      </c>
      <c r="P92" s="508">
        <v>0</v>
      </c>
      <c r="Q92" s="508"/>
      <c r="R92" s="508"/>
      <c r="S92" s="508"/>
      <c r="T92" s="508"/>
      <c r="U92" s="508"/>
      <c r="V92" s="508"/>
      <c r="W92" s="508"/>
      <c r="X92" s="2953"/>
      <c r="Y92" s="3033"/>
    </row>
    <row r="93" spans="1:26" s="988" customFormat="1" ht="10.5" customHeight="1">
      <c r="A93" s="2988"/>
      <c r="B93" s="484" t="s">
        <v>27</v>
      </c>
      <c r="C93" s="2980"/>
      <c r="D93" s="449">
        <f>M93+O93+P93+Q93+R93+S93+T93+U93+V93+W93</f>
        <v>24600</v>
      </c>
      <c r="E93" s="457"/>
      <c r="F93" s="457"/>
      <c r="G93" s="509"/>
      <c r="H93" s="510"/>
      <c r="I93" s="510"/>
      <c r="J93" s="509"/>
      <c r="K93" s="509">
        <v>24600</v>
      </c>
      <c r="L93" s="509"/>
      <c r="M93" s="450">
        <f>+E93+I93+J93+K93+L93+N93</f>
        <v>24600</v>
      </c>
      <c r="N93" s="509"/>
      <c r="O93" s="509"/>
      <c r="P93" s="506"/>
      <c r="Q93" s="509"/>
      <c r="R93" s="509"/>
      <c r="S93" s="509"/>
      <c r="T93" s="509"/>
      <c r="U93" s="509"/>
      <c r="V93" s="509"/>
      <c r="W93" s="509"/>
      <c r="X93" s="2953"/>
      <c r="Y93" s="3033"/>
    </row>
    <row r="94" spans="1:26" s="988" customFormat="1" ht="12" customHeight="1">
      <c r="A94" s="2988"/>
      <c r="B94" s="504" t="s">
        <v>30</v>
      </c>
      <c r="C94" s="2980"/>
      <c r="D94" s="511">
        <f>+D96+D95</f>
        <v>28158097</v>
      </c>
      <c r="E94" s="511">
        <f t="shared" ref="E94:P94" si="133">+E96+E95</f>
        <v>0</v>
      </c>
      <c r="F94" s="511">
        <f t="shared" si="133"/>
        <v>0</v>
      </c>
      <c r="G94" s="511">
        <f t="shared" si="133"/>
        <v>0</v>
      </c>
      <c r="H94" s="511">
        <f t="shared" si="133"/>
        <v>0</v>
      </c>
      <c r="I94" s="511">
        <f t="shared" si="133"/>
        <v>0</v>
      </c>
      <c r="J94" s="511">
        <f t="shared" si="133"/>
        <v>3729688</v>
      </c>
      <c r="K94" s="536">
        <f t="shared" si="133"/>
        <v>22814557</v>
      </c>
      <c r="L94" s="511">
        <f t="shared" si="133"/>
        <v>1613852</v>
      </c>
      <c r="M94" s="511">
        <f t="shared" si="133"/>
        <v>28158097</v>
      </c>
      <c r="N94" s="511">
        <f t="shared" si="133"/>
        <v>0</v>
      </c>
      <c r="O94" s="511">
        <f t="shared" si="133"/>
        <v>0</v>
      </c>
      <c r="P94" s="511">
        <f t="shared" si="133"/>
        <v>0</v>
      </c>
      <c r="Q94" s="511"/>
      <c r="R94" s="511"/>
      <c r="S94" s="511"/>
      <c r="T94" s="511"/>
      <c r="U94" s="511"/>
      <c r="V94" s="511"/>
      <c r="W94" s="511"/>
      <c r="X94" s="2953"/>
      <c r="Y94" s="3033"/>
    </row>
    <row r="95" spans="1:26" s="988" customFormat="1" ht="12" hidden="1" customHeight="1">
      <c r="A95" s="2988"/>
      <c r="B95" s="484" t="s">
        <v>29</v>
      </c>
      <c r="C95" s="2980"/>
      <c r="D95" s="467">
        <f>+E95+I95+J95+K95+L95</f>
        <v>0</v>
      </c>
      <c r="E95" s="457">
        <v>0</v>
      </c>
      <c r="F95" s="457"/>
      <c r="G95" s="506"/>
      <c r="H95" s="507"/>
      <c r="I95" s="507">
        <v>0</v>
      </c>
      <c r="J95" s="506">
        <v>0</v>
      </c>
      <c r="K95" s="506">
        <v>0</v>
      </c>
      <c r="L95" s="506">
        <v>0</v>
      </c>
      <c r="M95" s="506"/>
      <c r="N95" s="506">
        <v>0</v>
      </c>
      <c r="O95" s="506">
        <v>0</v>
      </c>
      <c r="P95" s="508">
        <v>0</v>
      </c>
      <c r="Q95" s="508"/>
      <c r="R95" s="508"/>
      <c r="S95" s="508"/>
      <c r="T95" s="508"/>
      <c r="U95" s="508"/>
      <c r="V95" s="508"/>
      <c r="W95" s="508"/>
      <c r="X95" s="2954"/>
      <c r="Y95" s="3033"/>
    </row>
    <row r="96" spans="1:26" s="988" customFormat="1" ht="12.75" customHeight="1" thickBot="1">
      <c r="A96" s="2989"/>
      <c r="B96" s="512" t="s">
        <v>33</v>
      </c>
      <c r="C96" s="3016"/>
      <c r="D96" s="449">
        <f>M96+O96+P96+Q96+R96+S96+T96+U96+V96+W96</f>
        <v>28158097</v>
      </c>
      <c r="E96" s="471">
        <f>+F96+G96+H96</f>
        <v>0</v>
      </c>
      <c r="F96" s="471">
        <v>0</v>
      </c>
      <c r="G96" s="513">
        <v>0</v>
      </c>
      <c r="H96" s="514">
        <v>0</v>
      </c>
      <c r="I96" s="514">
        <v>0</v>
      </c>
      <c r="J96" s="513">
        <v>3729688</v>
      </c>
      <c r="K96" s="513">
        <f>22847944-33387</f>
        <v>22814557</v>
      </c>
      <c r="L96" s="513">
        <f>1968384-134299-220233</f>
        <v>1613852</v>
      </c>
      <c r="M96" s="450">
        <f>+E96+I96+J96+K96+L96+N96</f>
        <v>28158097</v>
      </c>
      <c r="N96" s="513">
        <v>0</v>
      </c>
      <c r="O96" s="513">
        <v>0</v>
      </c>
      <c r="P96" s="515">
        <v>0</v>
      </c>
      <c r="Q96" s="515"/>
      <c r="R96" s="515"/>
      <c r="S96" s="515"/>
      <c r="T96" s="515"/>
      <c r="U96" s="515"/>
      <c r="V96" s="515"/>
      <c r="W96" s="515"/>
      <c r="X96" s="516"/>
      <c r="Y96" s="3034"/>
    </row>
    <row r="97" spans="1:29" s="988" customFormat="1" ht="24.75" customHeight="1">
      <c r="A97" s="3082" t="s">
        <v>80</v>
      </c>
      <c r="B97" s="2057" t="s">
        <v>456</v>
      </c>
      <c r="C97" s="434" t="s">
        <v>98</v>
      </c>
      <c r="D97" s="474"/>
      <c r="E97" s="498"/>
      <c r="F97" s="475"/>
      <c r="G97" s="476"/>
      <c r="H97" s="476"/>
      <c r="I97" s="436"/>
      <c r="J97" s="436"/>
      <c r="K97" s="436"/>
      <c r="L97" s="436"/>
      <c r="M97" s="436"/>
      <c r="N97" s="436"/>
      <c r="O97" s="436"/>
      <c r="P97" s="438"/>
      <c r="Q97" s="438"/>
      <c r="R97" s="438"/>
      <c r="S97" s="438"/>
      <c r="T97" s="438"/>
      <c r="U97" s="438"/>
      <c r="V97" s="438"/>
      <c r="W97" s="438"/>
      <c r="X97" s="439"/>
      <c r="Y97" s="440" t="s">
        <v>99</v>
      </c>
    </row>
    <row r="98" spans="1:29" s="988" customFormat="1" ht="13.5" customHeight="1">
      <c r="A98" s="3083"/>
      <c r="B98" s="374" t="s">
        <v>22</v>
      </c>
      <c r="C98" s="375"/>
      <c r="D98" s="478">
        <f t="shared" ref="D98:P98" si="134">+D99+D102</f>
        <v>15972643</v>
      </c>
      <c r="E98" s="478">
        <f t="shared" si="134"/>
        <v>15437</v>
      </c>
      <c r="F98" s="478">
        <f t="shared" si="134"/>
        <v>0</v>
      </c>
      <c r="G98" s="478">
        <f t="shared" si="134"/>
        <v>15437</v>
      </c>
      <c r="H98" s="478">
        <f t="shared" si="134"/>
        <v>0</v>
      </c>
      <c r="I98" s="478">
        <f t="shared" si="134"/>
        <v>342392</v>
      </c>
      <c r="J98" s="478">
        <f t="shared" si="134"/>
        <v>8517618</v>
      </c>
      <c r="K98" s="478">
        <f t="shared" si="134"/>
        <v>6851153</v>
      </c>
      <c r="L98" s="478">
        <f t="shared" si="134"/>
        <v>46043</v>
      </c>
      <c r="M98" s="478">
        <f t="shared" ref="M98" si="135">+M99+M102</f>
        <v>15820209</v>
      </c>
      <c r="N98" s="478">
        <f t="shared" si="134"/>
        <v>47566</v>
      </c>
      <c r="O98" s="478">
        <f t="shared" si="134"/>
        <v>0</v>
      </c>
      <c r="P98" s="478">
        <f t="shared" si="134"/>
        <v>152434</v>
      </c>
      <c r="Q98" s="478"/>
      <c r="R98" s="478"/>
      <c r="S98" s="478"/>
      <c r="T98" s="478"/>
      <c r="U98" s="478"/>
      <c r="V98" s="478"/>
      <c r="W98" s="478"/>
      <c r="X98" s="480">
        <f>+X99+X102</f>
        <v>152434</v>
      </c>
      <c r="Y98" s="2991" t="s">
        <v>100</v>
      </c>
    </row>
    <row r="99" spans="1:29" s="988" customFormat="1" ht="12" customHeight="1">
      <c r="A99" s="3083"/>
      <c r="B99" s="526" t="s">
        <v>36</v>
      </c>
      <c r="C99" s="2978" t="s">
        <v>101</v>
      </c>
      <c r="D99" s="481">
        <f t="shared" ref="D99:P99" si="136">+D100+D101</f>
        <v>8165030</v>
      </c>
      <c r="E99" s="481">
        <f t="shared" si="136"/>
        <v>15437</v>
      </c>
      <c r="F99" s="481">
        <f t="shared" si="136"/>
        <v>0</v>
      </c>
      <c r="G99" s="481">
        <f t="shared" si="136"/>
        <v>15437</v>
      </c>
      <c r="H99" s="481">
        <f t="shared" si="136"/>
        <v>0</v>
      </c>
      <c r="I99" s="481">
        <f t="shared" si="136"/>
        <v>171542</v>
      </c>
      <c r="J99" s="481">
        <f t="shared" si="136"/>
        <v>6033655</v>
      </c>
      <c r="K99" s="481">
        <f t="shared" si="136"/>
        <v>1698353</v>
      </c>
      <c r="L99" s="481">
        <f t="shared" si="136"/>
        <v>46043</v>
      </c>
      <c r="M99" s="481">
        <f t="shared" ref="M99" si="137">+M100+M101</f>
        <v>8012596</v>
      </c>
      <c r="N99" s="481">
        <f t="shared" si="136"/>
        <v>47566</v>
      </c>
      <c r="O99" s="481">
        <f t="shared" si="136"/>
        <v>0</v>
      </c>
      <c r="P99" s="481">
        <f t="shared" si="136"/>
        <v>152434</v>
      </c>
      <c r="Q99" s="481"/>
      <c r="R99" s="481"/>
      <c r="S99" s="481"/>
      <c r="T99" s="481"/>
      <c r="U99" s="481"/>
      <c r="V99" s="481"/>
      <c r="W99" s="481"/>
      <c r="X99" s="502">
        <f>+X100+X101</f>
        <v>152434</v>
      </c>
      <c r="Y99" s="2991"/>
    </row>
    <row r="100" spans="1:29" s="988" customFormat="1" ht="12" customHeight="1">
      <c r="A100" s="3083"/>
      <c r="B100" s="527" t="s">
        <v>24</v>
      </c>
      <c r="C100" s="2980"/>
      <c r="D100" s="449">
        <f t="shared" ref="D100:D101" si="138">M100+O100+P100+Q100+R100+S100+T100+U100+V100+W100</f>
        <v>357417</v>
      </c>
      <c r="E100" s="457">
        <f>+F100+G100+H100</f>
        <v>15437</v>
      </c>
      <c r="F100" s="457">
        <v>0</v>
      </c>
      <c r="G100" s="494">
        <v>15437</v>
      </c>
      <c r="H100" s="494">
        <v>0</v>
      </c>
      <c r="I100" s="494">
        <v>692</v>
      </c>
      <c r="J100" s="494">
        <f>480+922</f>
        <v>1402</v>
      </c>
      <c r="K100" s="494">
        <v>93843</v>
      </c>
      <c r="L100" s="456">
        <f>140000-93957</f>
        <v>46043</v>
      </c>
      <c r="M100" s="450">
        <f>+E100+I100+J100+K100+L100+N100</f>
        <v>204983</v>
      </c>
      <c r="N100" s="494">
        <f>120000+80000-152434</f>
        <v>47566</v>
      </c>
      <c r="O100" s="494">
        <f>152434-152434</f>
        <v>0</v>
      </c>
      <c r="P100" s="530">
        <f>152434</f>
        <v>152434</v>
      </c>
      <c r="Q100" s="457"/>
      <c r="R100" s="457"/>
      <c r="S100" s="457"/>
      <c r="T100" s="457"/>
      <c r="U100" s="457"/>
      <c r="V100" s="457"/>
      <c r="W100" s="457"/>
      <c r="X100" s="409">
        <f>SUM(P100:T100)</f>
        <v>152434</v>
      </c>
      <c r="Y100" s="2991"/>
    </row>
    <row r="101" spans="1:29" s="988" customFormat="1" ht="12" customHeight="1">
      <c r="A101" s="3083"/>
      <c r="B101" s="448" t="s">
        <v>29</v>
      </c>
      <c r="C101" s="2980"/>
      <c r="D101" s="449">
        <f t="shared" si="138"/>
        <v>7807613</v>
      </c>
      <c r="E101" s="456">
        <v>0</v>
      </c>
      <c r="F101" s="457"/>
      <c r="G101" s="456"/>
      <c r="H101" s="494"/>
      <c r="I101" s="494">
        <f>171196-346</f>
        <v>170850</v>
      </c>
      <c r="J101" s="494">
        <f>6032714-461</f>
        <v>6032253</v>
      </c>
      <c r="K101" s="494">
        <v>1604510</v>
      </c>
      <c r="L101" s="457">
        <v>0</v>
      </c>
      <c r="M101" s="450">
        <f>+E101+I101+J101+K101+L101+N101</f>
        <v>7807613</v>
      </c>
      <c r="N101" s="457">
        <v>0</v>
      </c>
      <c r="O101" s="457">
        <v>0</v>
      </c>
      <c r="P101" s="457">
        <v>0</v>
      </c>
      <c r="Q101" s="457"/>
      <c r="R101" s="457"/>
      <c r="S101" s="457"/>
      <c r="T101" s="457"/>
      <c r="U101" s="457"/>
      <c r="V101" s="457"/>
      <c r="W101" s="457"/>
      <c r="X101" s="409">
        <f>SUM(P101:T101)</f>
        <v>0</v>
      </c>
      <c r="Y101" s="2991"/>
    </row>
    <row r="102" spans="1:29" s="988" customFormat="1" ht="12" customHeight="1">
      <c r="A102" s="3083"/>
      <c r="B102" s="458" t="s">
        <v>30</v>
      </c>
      <c r="C102" s="2980"/>
      <c r="D102" s="459">
        <f t="shared" ref="D102:P102" si="139">+D103+D104</f>
        <v>7807613</v>
      </c>
      <c r="E102" s="459">
        <f t="shared" si="139"/>
        <v>0</v>
      </c>
      <c r="F102" s="459">
        <f t="shared" si="139"/>
        <v>0</v>
      </c>
      <c r="G102" s="459">
        <f t="shared" si="139"/>
        <v>0</v>
      </c>
      <c r="H102" s="459">
        <f t="shared" si="139"/>
        <v>0</v>
      </c>
      <c r="I102" s="459">
        <f t="shared" si="139"/>
        <v>170850</v>
      </c>
      <c r="J102" s="459">
        <f t="shared" si="139"/>
        <v>2483963</v>
      </c>
      <c r="K102" s="459">
        <f t="shared" si="139"/>
        <v>5152800</v>
      </c>
      <c r="L102" s="459">
        <f t="shared" si="139"/>
        <v>0</v>
      </c>
      <c r="M102" s="459">
        <f t="shared" si="139"/>
        <v>7807613</v>
      </c>
      <c r="N102" s="459">
        <f t="shared" si="139"/>
        <v>0</v>
      </c>
      <c r="O102" s="459">
        <f t="shared" si="139"/>
        <v>0</v>
      </c>
      <c r="P102" s="459">
        <f t="shared" si="139"/>
        <v>0</v>
      </c>
      <c r="Q102" s="459"/>
      <c r="R102" s="459"/>
      <c r="S102" s="459"/>
      <c r="T102" s="459"/>
      <c r="U102" s="459"/>
      <c r="V102" s="459"/>
      <c r="W102" s="459"/>
      <c r="X102" s="502">
        <f>+X103+X104</f>
        <v>0</v>
      </c>
      <c r="Y102" s="2991"/>
    </row>
    <row r="103" spans="1:29" s="988" customFormat="1" ht="12" hidden="1" customHeight="1">
      <c r="A103" s="3083"/>
      <c r="B103" s="503" t="s">
        <v>29</v>
      </c>
      <c r="C103" s="2980"/>
      <c r="D103" s="467">
        <f>+E103+I103+J103+K103+L103</f>
        <v>0</v>
      </c>
      <c r="E103" s="456">
        <v>0</v>
      </c>
      <c r="F103" s="457"/>
      <c r="G103" s="456"/>
      <c r="H103" s="494"/>
      <c r="I103" s="494">
        <v>0</v>
      </c>
      <c r="J103" s="494">
        <v>0</v>
      </c>
      <c r="K103" s="456">
        <v>0</v>
      </c>
      <c r="L103" s="456">
        <v>0</v>
      </c>
      <c r="M103" s="456"/>
      <c r="N103" s="456">
        <v>0</v>
      </c>
      <c r="O103" s="456">
        <v>0</v>
      </c>
      <c r="P103" s="457">
        <v>0</v>
      </c>
      <c r="Q103" s="457"/>
      <c r="R103" s="457"/>
      <c r="S103" s="457"/>
      <c r="T103" s="457"/>
      <c r="U103" s="776"/>
      <c r="V103" s="776"/>
      <c r="W103" s="776"/>
      <c r="X103" s="486"/>
      <c r="Y103" s="2991"/>
    </row>
    <row r="104" spans="1:29" s="988" customFormat="1" ht="12" customHeight="1">
      <c r="A104" s="3083"/>
      <c r="B104" s="503" t="s">
        <v>33</v>
      </c>
      <c r="C104" s="2981"/>
      <c r="D104" s="449">
        <f>M104+O104+P104+Q104+R104+S104+T104+U104+V104+W104</f>
        <v>7807613</v>
      </c>
      <c r="E104" s="456">
        <v>0</v>
      </c>
      <c r="F104" s="457"/>
      <c r="G104" s="456"/>
      <c r="H104" s="494"/>
      <c r="I104" s="494">
        <f>171196-346</f>
        <v>170850</v>
      </c>
      <c r="J104" s="494">
        <f>2484424-461</f>
        <v>2483963</v>
      </c>
      <c r="K104" s="456">
        <v>5152800</v>
      </c>
      <c r="L104" s="456">
        <v>0</v>
      </c>
      <c r="M104" s="450">
        <f>+E104+I104+J104+K104+L104+N104</f>
        <v>7807613</v>
      </c>
      <c r="N104" s="456">
        <v>0</v>
      </c>
      <c r="O104" s="456">
        <v>0</v>
      </c>
      <c r="P104" s="457">
        <v>0</v>
      </c>
      <c r="Q104" s="457"/>
      <c r="R104" s="457"/>
      <c r="S104" s="457"/>
      <c r="T104" s="457"/>
      <c r="U104" s="457"/>
      <c r="V104" s="457"/>
      <c r="W104" s="457"/>
      <c r="X104" s="409">
        <f>SUM(P104:T104)</f>
        <v>0</v>
      </c>
      <c r="Y104" s="3004"/>
    </row>
    <row r="105" spans="1:29" s="988" customFormat="1" ht="12" customHeight="1">
      <c r="A105" s="3083"/>
      <c r="B105" s="517" t="s">
        <v>34</v>
      </c>
      <c r="C105" s="375"/>
      <c r="D105" s="464">
        <f t="shared" ref="D105:P105" si="140">+D108+D106</f>
        <v>15615226</v>
      </c>
      <c r="E105" s="464">
        <f t="shared" si="140"/>
        <v>0</v>
      </c>
      <c r="F105" s="464">
        <f t="shared" si="140"/>
        <v>0</v>
      </c>
      <c r="G105" s="464">
        <f t="shared" si="140"/>
        <v>0</v>
      </c>
      <c r="H105" s="464">
        <f t="shared" si="140"/>
        <v>0</v>
      </c>
      <c r="I105" s="464">
        <f t="shared" si="140"/>
        <v>0</v>
      </c>
      <c r="J105" s="464">
        <f t="shared" si="140"/>
        <v>5723800</v>
      </c>
      <c r="K105" s="464">
        <f t="shared" si="140"/>
        <v>9043098</v>
      </c>
      <c r="L105" s="464">
        <f t="shared" si="140"/>
        <v>848328</v>
      </c>
      <c r="M105" s="464">
        <f t="shared" ref="M105" si="141">+M108+M106</f>
        <v>15615226</v>
      </c>
      <c r="N105" s="464">
        <f t="shared" si="140"/>
        <v>0</v>
      </c>
      <c r="O105" s="464">
        <f t="shared" si="140"/>
        <v>0</v>
      </c>
      <c r="P105" s="464">
        <f t="shared" si="140"/>
        <v>0</v>
      </c>
      <c r="Q105" s="464"/>
      <c r="R105" s="464"/>
      <c r="S105" s="464"/>
      <c r="T105" s="464"/>
      <c r="U105" s="1172"/>
      <c r="V105" s="1172"/>
      <c r="W105" s="1172"/>
      <c r="X105" s="2952" t="s">
        <v>35</v>
      </c>
      <c r="Y105" s="3035" t="s">
        <v>324</v>
      </c>
      <c r="Z105" s="987">
        <f>D105-'[3]Tab. 6A -Drogi'!$D$105</f>
        <v>0</v>
      </c>
    </row>
    <row r="106" spans="1:29" s="988" customFormat="1" ht="12" customHeight="1">
      <c r="A106" s="3083"/>
      <c r="B106" s="445" t="s">
        <v>36</v>
      </c>
      <c r="C106" s="2978" t="s">
        <v>102</v>
      </c>
      <c r="D106" s="459">
        <f t="shared" ref="D106:P106" si="142">+D107</f>
        <v>7807613</v>
      </c>
      <c r="E106" s="459">
        <f t="shared" si="142"/>
        <v>0</v>
      </c>
      <c r="F106" s="459">
        <f t="shared" si="142"/>
        <v>0</v>
      </c>
      <c r="G106" s="459">
        <f t="shared" si="142"/>
        <v>0</v>
      </c>
      <c r="H106" s="459">
        <f t="shared" si="142"/>
        <v>0</v>
      </c>
      <c r="I106" s="459">
        <f t="shared" si="142"/>
        <v>0</v>
      </c>
      <c r="J106" s="459">
        <f t="shared" si="142"/>
        <v>3068526</v>
      </c>
      <c r="K106" s="459">
        <f t="shared" si="142"/>
        <v>4314923</v>
      </c>
      <c r="L106" s="459">
        <f t="shared" si="142"/>
        <v>424164</v>
      </c>
      <c r="M106" s="459">
        <f t="shared" si="142"/>
        <v>7807613</v>
      </c>
      <c r="N106" s="459">
        <f t="shared" si="142"/>
        <v>0</v>
      </c>
      <c r="O106" s="459">
        <f t="shared" si="142"/>
        <v>0</v>
      </c>
      <c r="P106" s="459">
        <f t="shared" si="142"/>
        <v>0</v>
      </c>
      <c r="Q106" s="459"/>
      <c r="R106" s="459"/>
      <c r="S106" s="459"/>
      <c r="T106" s="459"/>
      <c r="U106" s="459"/>
      <c r="V106" s="459"/>
      <c r="W106" s="459"/>
      <c r="X106" s="2953"/>
      <c r="Y106" s="3033"/>
    </row>
    <row r="107" spans="1:29" s="988" customFormat="1" ht="12" customHeight="1">
      <c r="A107" s="3083"/>
      <c r="B107" s="484" t="s">
        <v>29</v>
      </c>
      <c r="C107" s="2980"/>
      <c r="D107" s="449">
        <f>M107+O107+P107+Q107+R107+S107+T107+U107+V107+W107</f>
        <v>7807613</v>
      </c>
      <c r="E107" s="466">
        <f>+F107+G107+H107</f>
        <v>0</v>
      </c>
      <c r="F107" s="466">
        <v>0</v>
      </c>
      <c r="G107" s="466">
        <v>0</v>
      </c>
      <c r="H107" s="466">
        <v>0</v>
      </c>
      <c r="I107" s="466">
        <v>0</v>
      </c>
      <c r="J107" s="466">
        <f>3073867-5341</f>
        <v>3068526</v>
      </c>
      <c r="K107" s="466">
        <v>4314923</v>
      </c>
      <c r="L107" s="466">
        <f>424625-461</f>
        <v>424164</v>
      </c>
      <c r="M107" s="450">
        <f>+E107+I107+J107+K107+L107+N107</f>
        <v>7807613</v>
      </c>
      <c r="N107" s="466">
        <v>0</v>
      </c>
      <c r="O107" s="466">
        <v>0</v>
      </c>
      <c r="P107" s="467">
        <v>0</v>
      </c>
      <c r="Q107" s="467"/>
      <c r="R107" s="467"/>
      <c r="S107" s="467"/>
      <c r="T107" s="459"/>
      <c r="U107" s="459"/>
      <c r="V107" s="459"/>
      <c r="W107" s="459"/>
      <c r="X107" s="2953"/>
      <c r="Y107" s="3033"/>
    </row>
    <row r="108" spans="1:29" s="988" customFormat="1" ht="12" customHeight="1">
      <c r="A108" s="3083"/>
      <c r="B108" s="518" t="s">
        <v>30</v>
      </c>
      <c r="C108" s="2980"/>
      <c r="D108" s="511">
        <f t="shared" ref="D108:P108" si="143">+D109+D110</f>
        <v>7807613</v>
      </c>
      <c r="E108" s="511">
        <f t="shared" si="143"/>
        <v>0</v>
      </c>
      <c r="F108" s="511">
        <f t="shared" si="143"/>
        <v>0</v>
      </c>
      <c r="G108" s="511">
        <f t="shared" si="143"/>
        <v>0</v>
      </c>
      <c r="H108" s="511">
        <f t="shared" si="143"/>
        <v>0</v>
      </c>
      <c r="I108" s="511">
        <f t="shared" si="143"/>
        <v>0</v>
      </c>
      <c r="J108" s="511">
        <f t="shared" si="143"/>
        <v>2655274</v>
      </c>
      <c r="K108" s="511">
        <f t="shared" si="143"/>
        <v>4728175</v>
      </c>
      <c r="L108" s="511">
        <f t="shared" si="143"/>
        <v>424164</v>
      </c>
      <c r="M108" s="511">
        <f t="shared" si="143"/>
        <v>7807613</v>
      </c>
      <c r="N108" s="511">
        <f t="shared" si="143"/>
        <v>0</v>
      </c>
      <c r="O108" s="511">
        <f t="shared" si="143"/>
        <v>0</v>
      </c>
      <c r="P108" s="519">
        <f t="shared" si="143"/>
        <v>0</v>
      </c>
      <c r="Q108" s="519"/>
      <c r="R108" s="519"/>
      <c r="S108" s="519"/>
      <c r="T108" s="467"/>
      <c r="U108" s="467"/>
      <c r="V108" s="467"/>
      <c r="W108" s="467"/>
      <c r="X108" s="2953"/>
      <c r="Y108" s="3033"/>
    </row>
    <row r="109" spans="1:29" s="988" customFormat="1" ht="12" hidden="1" customHeight="1">
      <c r="A109" s="3083"/>
      <c r="B109" s="503" t="s">
        <v>29</v>
      </c>
      <c r="C109" s="2980"/>
      <c r="D109" s="467">
        <f>+E109+I109+J109+K109+L109</f>
        <v>0</v>
      </c>
      <c r="E109" s="466">
        <f>+F109+G109+H109</f>
        <v>0</v>
      </c>
      <c r="F109" s="466">
        <v>0</v>
      </c>
      <c r="G109" s="466">
        <v>0</v>
      </c>
      <c r="H109" s="466">
        <v>0</v>
      </c>
      <c r="I109" s="466">
        <v>0</v>
      </c>
      <c r="J109" s="466">
        <v>0</v>
      </c>
      <c r="K109" s="466">
        <v>0</v>
      </c>
      <c r="L109" s="466">
        <v>0</v>
      </c>
      <c r="M109" s="466"/>
      <c r="N109" s="466">
        <v>0</v>
      </c>
      <c r="O109" s="466">
        <v>0</v>
      </c>
      <c r="P109" s="467">
        <v>0</v>
      </c>
      <c r="Q109" s="467"/>
      <c r="R109" s="467"/>
      <c r="S109" s="467"/>
      <c r="T109" s="519"/>
      <c r="U109" s="519"/>
      <c r="V109" s="519"/>
      <c r="W109" s="519"/>
      <c r="X109" s="2953"/>
      <c r="Y109" s="3033"/>
    </row>
    <row r="110" spans="1:29" s="988" customFormat="1" ht="13.5" thickBot="1">
      <c r="A110" s="3084"/>
      <c r="B110" s="521" t="s">
        <v>33</v>
      </c>
      <c r="C110" s="3016"/>
      <c r="D110" s="449">
        <f>M110+O110+P110+Q110+R110+S110+T110+U110+V110+W110</f>
        <v>7807613</v>
      </c>
      <c r="E110" s="469">
        <v>0</v>
      </c>
      <c r="F110" s="469"/>
      <c r="G110" s="469"/>
      <c r="H110" s="469"/>
      <c r="I110" s="469">
        <v>0</v>
      </c>
      <c r="J110" s="469">
        <v>2655274</v>
      </c>
      <c r="K110" s="469">
        <v>4728175</v>
      </c>
      <c r="L110" s="469">
        <f>424625-461</f>
        <v>424164</v>
      </c>
      <c r="M110" s="450">
        <f>+E110+I110+J110+K110+L110+N110</f>
        <v>7807613</v>
      </c>
      <c r="N110" s="469">
        <v>0</v>
      </c>
      <c r="O110" s="469">
        <v>0</v>
      </c>
      <c r="P110" s="496">
        <v>0</v>
      </c>
      <c r="Q110" s="496"/>
      <c r="R110" s="496"/>
      <c r="S110" s="496"/>
      <c r="T110" s="467"/>
      <c r="U110" s="467"/>
      <c r="V110" s="467"/>
      <c r="W110" s="467"/>
      <c r="X110" s="2954"/>
      <c r="Y110" s="3034"/>
    </row>
    <row r="111" spans="1:29" s="988" customFormat="1" ht="25.5" customHeight="1">
      <c r="A111" s="2986" t="s">
        <v>81</v>
      </c>
      <c r="B111" s="493" t="s">
        <v>457</v>
      </c>
      <c r="C111" s="473" t="s">
        <v>98</v>
      </c>
      <c r="D111" s="474"/>
      <c r="E111" s="476"/>
      <c r="F111" s="475"/>
      <c r="G111" s="475"/>
      <c r="H111" s="476"/>
      <c r="I111" s="437"/>
      <c r="J111" s="436"/>
      <c r="K111" s="436"/>
      <c r="L111" s="437"/>
      <c r="M111" s="437"/>
      <c r="N111" s="436"/>
      <c r="O111" s="436"/>
      <c r="P111" s="436"/>
      <c r="Q111" s="436"/>
      <c r="R111" s="436"/>
      <c r="S111" s="916"/>
      <c r="T111" s="437"/>
      <c r="U111" s="916"/>
      <c r="V111" s="916"/>
      <c r="W111" s="916"/>
      <c r="X111" s="477"/>
      <c r="Y111" s="440" t="s">
        <v>99</v>
      </c>
      <c r="AC111" s="989"/>
    </row>
    <row r="112" spans="1:29" s="988" customFormat="1" ht="13.5" customHeight="1">
      <c r="A112" s="2987"/>
      <c r="B112" s="505" t="s">
        <v>22</v>
      </c>
      <c r="C112" s="375"/>
      <c r="D112" s="478">
        <f>+D113+D116</f>
        <v>43721404</v>
      </c>
      <c r="E112" s="478">
        <f>+E113+E116</f>
        <v>123795</v>
      </c>
      <c r="F112" s="478">
        <f t="shared" ref="F112:P112" si="144">+F113+F116</f>
        <v>32804</v>
      </c>
      <c r="G112" s="478">
        <f t="shared" si="144"/>
        <v>90000</v>
      </c>
      <c r="H112" s="478">
        <f t="shared" si="144"/>
        <v>991</v>
      </c>
      <c r="I112" s="478">
        <f t="shared" si="144"/>
        <v>0</v>
      </c>
      <c r="J112" s="478">
        <f t="shared" si="144"/>
        <v>64525</v>
      </c>
      <c r="K112" s="478">
        <f t="shared" si="144"/>
        <v>348320</v>
      </c>
      <c r="L112" s="478">
        <f t="shared" si="144"/>
        <v>23596094</v>
      </c>
      <c r="M112" s="478">
        <f t="shared" ref="M112" si="145">+M113+M116</f>
        <v>43214290</v>
      </c>
      <c r="N112" s="478">
        <f t="shared" si="144"/>
        <v>19081556</v>
      </c>
      <c r="O112" s="478">
        <f t="shared" si="144"/>
        <v>107114</v>
      </c>
      <c r="P112" s="478">
        <f t="shared" si="144"/>
        <v>400000</v>
      </c>
      <c r="Q112" s="478"/>
      <c r="R112" s="478"/>
      <c r="S112" s="478"/>
      <c r="T112" s="478"/>
      <c r="U112" s="478"/>
      <c r="V112" s="478"/>
      <c r="W112" s="478"/>
      <c r="X112" s="480">
        <f>+X113+X116</f>
        <v>400000</v>
      </c>
      <c r="Y112" s="2991" t="s">
        <v>100</v>
      </c>
      <c r="Z112" s="987"/>
      <c r="AA112" s="987"/>
      <c r="AB112" s="987"/>
      <c r="AC112" s="987"/>
    </row>
    <row r="113" spans="1:26" s="988" customFormat="1" ht="12" customHeight="1">
      <c r="A113" s="2987"/>
      <c r="B113" s="528" t="s">
        <v>36</v>
      </c>
      <c r="C113" s="2978" t="s">
        <v>101</v>
      </c>
      <c r="D113" s="481">
        <f>+D114+D115</f>
        <v>4650557</v>
      </c>
      <c r="E113" s="481">
        <f t="shared" ref="E113:P113" si="146">+E114+E115</f>
        <v>122887</v>
      </c>
      <c r="F113" s="481">
        <f>+F114+F115</f>
        <v>32804</v>
      </c>
      <c r="G113" s="481">
        <f t="shared" si="146"/>
        <v>90000</v>
      </c>
      <c r="H113" s="481">
        <f t="shared" si="146"/>
        <v>83</v>
      </c>
      <c r="I113" s="481">
        <f t="shared" si="146"/>
        <v>0</v>
      </c>
      <c r="J113" s="481">
        <f t="shared" si="146"/>
        <v>29956</v>
      </c>
      <c r="K113" s="481">
        <f t="shared" si="146"/>
        <v>214004</v>
      </c>
      <c r="L113" s="481">
        <f t="shared" si="146"/>
        <v>2147726</v>
      </c>
      <c r="M113" s="481">
        <f t="shared" ref="M113" si="147">+M114+M115</f>
        <v>4176598</v>
      </c>
      <c r="N113" s="481">
        <f t="shared" si="146"/>
        <v>1662025</v>
      </c>
      <c r="O113" s="481">
        <f t="shared" si="146"/>
        <v>73959</v>
      </c>
      <c r="P113" s="481">
        <f t="shared" si="146"/>
        <v>400000</v>
      </c>
      <c r="Q113" s="481"/>
      <c r="R113" s="481"/>
      <c r="S113" s="481"/>
      <c r="T113" s="481"/>
      <c r="U113" s="481"/>
      <c r="V113" s="481"/>
      <c r="W113" s="481"/>
      <c r="X113" s="482">
        <f>+X114+X115</f>
        <v>400000</v>
      </c>
      <c r="Y113" s="2991"/>
    </row>
    <row r="114" spans="1:26" s="988" customFormat="1" ht="12" customHeight="1">
      <c r="A114" s="2987"/>
      <c r="B114" s="503" t="s">
        <v>24</v>
      </c>
      <c r="C114" s="2980"/>
      <c r="D114" s="449">
        <f>M114+O114+P114+Q114+R114+S114+T114+U114+V114+W114</f>
        <v>1078489</v>
      </c>
      <c r="E114" s="456">
        <f>SUM(F114:H114)</f>
        <v>122804</v>
      </c>
      <c r="F114" s="457">
        <v>32804</v>
      </c>
      <c r="G114" s="529">
        <f>37373+52627</f>
        <v>90000</v>
      </c>
      <c r="H114" s="494">
        <v>0</v>
      </c>
      <c r="I114" s="530">
        <v>0</v>
      </c>
      <c r="J114" s="494">
        <v>26795</v>
      </c>
      <c r="K114" s="494">
        <v>201724</v>
      </c>
      <c r="L114" s="530">
        <f>569196-394091+11695</f>
        <v>186800</v>
      </c>
      <c r="M114" s="450">
        <f t="shared" ref="M114:M115" si="148">+E114+I114+J114+K114+L114+N114</f>
        <v>607561</v>
      </c>
      <c r="N114" s="530">
        <f>11682038-350000-44502+1878075-1251700+2734240+1522270-9727593-252893+2958342-1085184-1071136-332514-1172002-5436883+18880</f>
        <v>69438</v>
      </c>
      <c r="O114" s="530">
        <f>607727+141130-360710-252813-64406</f>
        <v>70928</v>
      </c>
      <c r="P114" s="530">
        <v>400000</v>
      </c>
      <c r="Q114" s="457"/>
      <c r="R114" s="457"/>
      <c r="S114" s="457"/>
      <c r="T114" s="457"/>
      <c r="U114" s="457"/>
      <c r="V114" s="457"/>
      <c r="W114" s="457"/>
      <c r="X114" s="409">
        <f>SUM(P114:T114)</f>
        <v>400000</v>
      </c>
      <c r="Y114" s="2991"/>
    </row>
    <row r="115" spans="1:26" s="988" customFormat="1" ht="12" customHeight="1">
      <c r="A115" s="2987"/>
      <c r="B115" s="503" t="s">
        <v>29</v>
      </c>
      <c r="C115" s="2980"/>
      <c r="D115" s="449">
        <f t="shared" ref="D115:D117" si="149">M115+O115+P115+Q115+R115+S115+T115+U115+V115+W115</f>
        <v>3572068</v>
      </c>
      <c r="E115" s="456">
        <f>SUM(F115:H115)</f>
        <v>83</v>
      </c>
      <c r="F115" s="457"/>
      <c r="G115" s="529">
        <f>4408-4408</f>
        <v>0</v>
      </c>
      <c r="H115" s="530">
        <v>83</v>
      </c>
      <c r="I115" s="530">
        <v>0</v>
      </c>
      <c r="J115" s="530">
        <v>3161</v>
      </c>
      <c r="K115" s="530">
        <v>12280</v>
      </c>
      <c r="L115" s="530">
        <f>1961906-980</f>
        <v>1960926</v>
      </c>
      <c r="M115" s="450">
        <f t="shared" si="148"/>
        <v>3569037</v>
      </c>
      <c r="N115" s="457">
        <f>982154+1925+11925+228580+233248-12123-155430+25377-7406+285919-1582</f>
        <v>1592587</v>
      </c>
      <c r="O115" s="457">
        <f>13517-9987-499</f>
        <v>3031</v>
      </c>
      <c r="P115" s="457">
        <v>0</v>
      </c>
      <c r="Q115" s="457"/>
      <c r="R115" s="457"/>
      <c r="S115" s="457"/>
      <c r="T115" s="457"/>
      <c r="U115" s="457"/>
      <c r="V115" s="457"/>
      <c r="W115" s="457"/>
      <c r="X115" s="409">
        <f>SUM(P115:T115)</f>
        <v>0</v>
      </c>
      <c r="Y115" s="2991"/>
    </row>
    <row r="116" spans="1:26" s="988" customFormat="1" ht="12" customHeight="1">
      <c r="A116" s="2987"/>
      <c r="B116" s="504" t="s">
        <v>30</v>
      </c>
      <c r="C116" s="2980"/>
      <c r="D116" s="459">
        <f>+D117</f>
        <v>39070847</v>
      </c>
      <c r="E116" s="459">
        <f t="shared" ref="E116:P116" si="150">+E117</f>
        <v>908</v>
      </c>
      <c r="F116" s="459">
        <f t="shared" si="150"/>
        <v>0</v>
      </c>
      <c r="G116" s="531">
        <f t="shared" si="150"/>
        <v>0</v>
      </c>
      <c r="H116" s="459">
        <f t="shared" si="150"/>
        <v>908</v>
      </c>
      <c r="I116" s="459">
        <f t="shared" si="150"/>
        <v>0</v>
      </c>
      <c r="J116" s="459">
        <f>+J117</f>
        <v>34569</v>
      </c>
      <c r="K116" s="459">
        <f t="shared" si="150"/>
        <v>134316</v>
      </c>
      <c r="L116" s="459">
        <f t="shared" si="150"/>
        <v>21448368</v>
      </c>
      <c r="M116" s="459">
        <f t="shared" si="150"/>
        <v>39037692</v>
      </c>
      <c r="N116" s="459">
        <f t="shared" si="150"/>
        <v>17419531</v>
      </c>
      <c r="O116" s="459">
        <f t="shared" si="150"/>
        <v>33155</v>
      </c>
      <c r="P116" s="459">
        <f t="shared" si="150"/>
        <v>0</v>
      </c>
      <c r="Q116" s="459"/>
      <c r="R116" s="459"/>
      <c r="S116" s="459"/>
      <c r="T116" s="459"/>
      <c r="U116" s="459"/>
      <c r="V116" s="459"/>
      <c r="W116" s="459"/>
      <c r="X116" s="482">
        <f>+X117</f>
        <v>0</v>
      </c>
      <c r="Y116" s="2991"/>
    </row>
    <row r="117" spans="1:26" s="988" customFormat="1" ht="12" customHeight="1">
      <c r="A117" s="2987"/>
      <c r="B117" s="503" t="s">
        <v>33</v>
      </c>
      <c r="C117" s="1027"/>
      <c r="D117" s="1217">
        <f t="shared" si="149"/>
        <v>39070847</v>
      </c>
      <c r="E117" s="456">
        <f>SUM(F117:H117)</f>
        <v>908</v>
      </c>
      <c r="F117" s="457">
        <v>0</v>
      </c>
      <c r="G117" s="532">
        <f>48219-48219</f>
        <v>0</v>
      </c>
      <c r="H117" s="494">
        <v>908</v>
      </c>
      <c r="I117" s="494">
        <v>0</v>
      </c>
      <c r="J117" s="494">
        <v>34569</v>
      </c>
      <c r="K117" s="494">
        <v>134316</v>
      </c>
      <c r="L117" s="457">
        <f>21459083-10715</f>
        <v>21448368</v>
      </c>
      <c r="M117" s="450">
        <f>+E117+I117+J117+K117+L117+N117</f>
        <v>39037692</v>
      </c>
      <c r="N117" s="457">
        <f>5115033+42577-1878075+1239775+1037180+1824245+9752343+252893-1802912+559807+287542+332514+673907-17298</f>
        <v>17419531</v>
      </c>
      <c r="O117" s="457">
        <f>169756-131143-5458</f>
        <v>33155</v>
      </c>
      <c r="P117" s="457">
        <v>0</v>
      </c>
      <c r="Q117" s="457"/>
      <c r="R117" s="457"/>
      <c r="S117" s="457"/>
      <c r="T117" s="457"/>
      <c r="U117" s="457"/>
      <c r="V117" s="457"/>
      <c r="W117" s="457"/>
      <c r="X117" s="409">
        <f>SUM(P117:T117)</f>
        <v>0</v>
      </c>
      <c r="Y117" s="3004"/>
    </row>
    <row r="118" spans="1:26" s="988" customFormat="1" ht="12" customHeight="1">
      <c r="A118" s="2987"/>
      <c r="B118" s="722" t="s">
        <v>34</v>
      </c>
      <c r="C118" s="538"/>
      <c r="D118" s="539">
        <f t="shared" ref="D118:P118" si="151">+D121+D119</f>
        <v>42642915</v>
      </c>
      <c r="E118" s="539">
        <f t="shared" si="151"/>
        <v>0</v>
      </c>
      <c r="F118" s="539">
        <f t="shared" si="151"/>
        <v>0</v>
      </c>
      <c r="G118" s="539">
        <f t="shared" si="151"/>
        <v>0</v>
      </c>
      <c r="H118" s="539">
        <f t="shared" si="151"/>
        <v>0</v>
      </c>
      <c r="I118" s="539">
        <f t="shared" si="151"/>
        <v>0</v>
      </c>
      <c r="J118" s="539">
        <f t="shared" si="151"/>
        <v>0</v>
      </c>
      <c r="K118" s="539">
        <f t="shared" si="151"/>
        <v>0</v>
      </c>
      <c r="L118" s="539">
        <f t="shared" si="151"/>
        <v>0</v>
      </c>
      <c r="M118" s="539">
        <f t="shared" ref="M118" si="152">+M121+M119</f>
        <v>38151329</v>
      </c>
      <c r="N118" s="539">
        <f t="shared" si="151"/>
        <v>38151329</v>
      </c>
      <c r="O118" s="539">
        <f t="shared" si="151"/>
        <v>4491586</v>
      </c>
      <c r="P118" s="539">
        <f t="shared" si="151"/>
        <v>0</v>
      </c>
      <c r="Q118" s="539"/>
      <c r="R118" s="539"/>
      <c r="S118" s="539"/>
      <c r="T118" s="539"/>
      <c r="U118" s="539"/>
      <c r="V118" s="539"/>
      <c r="W118" s="539"/>
      <c r="X118" s="2953" t="s">
        <v>35</v>
      </c>
      <c r="Y118" s="3036" t="s">
        <v>324</v>
      </c>
      <c r="Z118" s="987"/>
    </row>
    <row r="119" spans="1:26" s="988" customFormat="1" ht="12" customHeight="1">
      <c r="A119" s="2987"/>
      <c r="B119" s="500" t="s">
        <v>36</v>
      </c>
      <c r="C119" s="2978" t="s">
        <v>102</v>
      </c>
      <c r="D119" s="459">
        <f t="shared" ref="D119:P119" si="153">+D120</f>
        <v>3572068</v>
      </c>
      <c r="E119" s="459">
        <f t="shared" si="153"/>
        <v>0</v>
      </c>
      <c r="F119" s="459">
        <f t="shared" si="153"/>
        <v>0</v>
      </c>
      <c r="G119" s="459">
        <f t="shared" si="153"/>
        <v>0</v>
      </c>
      <c r="H119" s="459">
        <f t="shared" si="153"/>
        <v>0</v>
      </c>
      <c r="I119" s="459">
        <f t="shared" si="153"/>
        <v>0</v>
      </c>
      <c r="J119" s="459">
        <f t="shared" si="153"/>
        <v>0</v>
      </c>
      <c r="K119" s="459">
        <f t="shared" si="153"/>
        <v>0</v>
      </c>
      <c r="L119" s="459">
        <f t="shared" si="153"/>
        <v>0</v>
      </c>
      <c r="M119" s="459">
        <f t="shared" si="153"/>
        <v>2875044</v>
      </c>
      <c r="N119" s="459">
        <f t="shared" si="153"/>
        <v>2875044</v>
      </c>
      <c r="O119" s="459">
        <f t="shared" si="153"/>
        <v>697024</v>
      </c>
      <c r="P119" s="459">
        <f t="shared" si="153"/>
        <v>0</v>
      </c>
      <c r="Q119" s="459"/>
      <c r="R119" s="459"/>
      <c r="S119" s="459"/>
      <c r="T119" s="459"/>
      <c r="U119" s="459"/>
      <c r="V119" s="459"/>
      <c r="W119" s="459"/>
      <c r="X119" s="2953"/>
      <c r="Y119" s="2991"/>
    </row>
    <row r="120" spans="1:26" s="988" customFormat="1" ht="12" customHeight="1">
      <c r="A120" s="2987"/>
      <c r="B120" s="484" t="s">
        <v>29</v>
      </c>
      <c r="C120" s="2980"/>
      <c r="D120" s="449">
        <f t="shared" ref="D120" si="154">M120+O120+P120+Q120+R120+S120+T120+U120+V120+W120</f>
        <v>3572068</v>
      </c>
      <c r="E120" s="466">
        <f>+F120+G120+H120</f>
        <v>0</v>
      </c>
      <c r="F120" s="466">
        <v>0</v>
      </c>
      <c r="G120" s="466">
        <v>0</v>
      </c>
      <c r="H120" s="466">
        <v>0</v>
      </c>
      <c r="I120" s="466">
        <v>0</v>
      </c>
      <c r="J120" s="466"/>
      <c r="K120" s="466"/>
      <c r="L120" s="466">
        <f>1127582+26462-251100-902944</f>
        <v>0</v>
      </c>
      <c r="M120" s="450">
        <f t="shared" ref="M120" si="155">+E120+I120+J120+K120+L120+N120</f>
        <v>2875044</v>
      </c>
      <c r="N120" s="466">
        <f>1701861-26462+251100+902944+28680+2812-105495+119604</f>
        <v>2875044</v>
      </c>
      <c r="O120" s="466">
        <f>158254+7110-119604+658733-499-911-6059</f>
        <v>697024</v>
      </c>
      <c r="P120" s="467">
        <f>911-911</f>
        <v>0</v>
      </c>
      <c r="Q120" s="467"/>
      <c r="R120" s="467"/>
      <c r="S120" s="467"/>
      <c r="T120" s="467"/>
      <c r="U120" s="467"/>
      <c r="V120" s="467"/>
      <c r="W120" s="467"/>
      <c r="X120" s="2953"/>
      <c r="Y120" s="2991"/>
    </row>
    <row r="121" spans="1:26" s="988" customFormat="1" ht="12" customHeight="1">
      <c r="A121" s="2987"/>
      <c r="B121" s="504" t="s">
        <v>30</v>
      </c>
      <c r="C121" s="2980"/>
      <c r="D121" s="511">
        <f>+D122</f>
        <v>39070847</v>
      </c>
      <c r="E121" s="511">
        <f t="shared" ref="E121:P121" si="156">+E122</f>
        <v>0</v>
      </c>
      <c r="F121" s="511">
        <f t="shared" si="156"/>
        <v>0</v>
      </c>
      <c r="G121" s="511">
        <f t="shared" si="156"/>
        <v>0</v>
      </c>
      <c r="H121" s="511">
        <f t="shared" si="156"/>
        <v>0</v>
      </c>
      <c r="I121" s="511">
        <f t="shared" si="156"/>
        <v>0</v>
      </c>
      <c r="J121" s="511">
        <f t="shared" si="156"/>
        <v>0</v>
      </c>
      <c r="K121" s="511">
        <f t="shared" si="156"/>
        <v>0</v>
      </c>
      <c r="L121" s="511">
        <f t="shared" si="156"/>
        <v>0</v>
      </c>
      <c r="M121" s="511">
        <f t="shared" si="156"/>
        <v>35276285</v>
      </c>
      <c r="N121" s="511">
        <f t="shared" si="156"/>
        <v>35276285</v>
      </c>
      <c r="O121" s="511">
        <f t="shared" si="156"/>
        <v>3794562</v>
      </c>
      <c r="P121" s="511">
        <f t="shared" si="156"/>
        <v>0</v>
      </c>
      <c r="Q121" s="511"/>
      <c r="R121" s="511"/>
      <c r="S121" s="511"/>
      <c r="T121" s="511"/>
      <c r="U121" s="511"/>
      <c r="V121" s="511"/>
      <c r="W121" s="511"/>
      <c r="X121" s="2953"/>
      <c r="Y121" s="2991"/>
    </row>
    <row r="122" spans="1:26" s="988" customFormat="1" ht="12" customHeight="1" thickBot="1">
      <c r="A122" s="3023"/>
      <c r="B122" s="512" t="s">
        <v>33</v>
      </c>
      <c r="C122" s="3016"/>
      <c r="D122" s="1221">
        <f t="shared" ref="D122" si="157">M122+O122+P122+Q122+R122+S122+T122+U122+V122+W122</f>
        <v>39070847</v>
      </c>
      <c r="E122" s="491">
        <f>+F122+G122+H122</f>
        <v>0</v>
      </c>
      <c r="F122" s="533">
        <v>0</v>
      </c>
      <c r="G122" s="533">
        <v>0</v>
      </c>
      <c r="H122" s="533">
        <v>0</v>
      </c>
      <c r="I122" s="533">
        <v>0</v>
      </c>
      <c r="J122" s="533">
        <v>0</v>
      </c>
      <c r="K122" s="533">
        <v>0</v>
      </c>
      <c r="L122" s="533">
        <f>5872418-2026462+251100-4097056</f>
        <v>0</v>
      </c>
      <c r="M122" s="1221">
        <f t="shared" ref="M122" si="158">+E122+I122+J122+K122+L122+N122</f>
        <v>35276285</v>
      </c>
      <c r="N122" s="533">
        <f>8863251+93584-3373414+3157951+4097056+896030+20170438+500453+146951-743533+1467518</f>
        <v>35276285</v>
      </c>
      <c r="O122" s="533">
        <f>1941746+932070-1135004+2137440-5458-9960-66272</f>
        <v>3794562</v>
      </c>
      <c r="P122" s="534">
        <f>9960-9960</f>
        <v>0</v>
      </c>
      <c r="Q122" s="534"/>
      <c r="R122" s="534"/>
      <c r="S122" s="534"/>
      <c r="T122" s="534"/>
      <c r="U122" s="534"/>
      <c r="V122" s="534"/>
      <c r="W122" s="534"/>
      <c r="X122" s="2954"/>
      <c r="Y122" s="3025"/>
    </row>
    <row r="123" spans="1:26" hidden="1">
      <c r="A123" s="2986"/>
      <c r="B123" s="433"/>
      <c r="C123" s="434" t="s">
        <v>98</v>
      </c>
      <c r="D123" s="475"/>
      <c r="E123" s="476"/>
      <c r="F123" s="475"/>
      <c r="G123" s="476"/>
      <c r="H123" s="476"/>
      <c r="I123" s="436"/>
      <c r="J123" s="436"/>
      <c r="K123" s="436"/>
      <c r="L123" s="436"/>
      <c r="M123" s="438"/>
      <c r="N123" s="438"/>
      <c r="O123" s="438"/>
      <c r="P123" s="438"/>
      <c r="Q123" s="438"/>
      <c r="R123" s="438"/>
      <c r="S123" s="438"/>
      <c r="T123" s="438"/>
      <c r="U123" s="438"/>
      <c r="V123" s="438"/>
      <c r="W123" s="438"/>
      <c r="X123" s="439"/>
      <c r="Y123" s="535"/>
    </row>
    <row r="124" spans="1:26" ht="13.5" hidden="1" customHeight="1">
      <c r="A124" s="2987"/>
      <c r="B124" s="499" t="s">
        <v>22</v>
      </c>
      <c r="C124" s="375"/>
      <c r="D124" s="478">
        <f t="shared" ref="D124:P124" si="159">+D125+D127</f>
        <v>0</v>
      </c>
      <c r="E124" s="479">
        <f t="shared" si="159"/>
        <v>0</v>
      </c>
      <c r="F124" s="478">
        <f t="shared" si="159"/>
        <v>0</v>
      </c>
      <c r="G124" s="479">
        <f t="shared" si="159"/>
        <v>0</v>
      </c>
      <c r="H124" s="479">
        <f t="shared" si="159"/>
        <v>0</v>
      </c>
      <c r="I124" s="479">
        <f t="shared" si="159"/>
        <v>0</v>
      </c>
      <c r="J124" s="479">
        <f t="shared" si="159"/>
        <v>0</v>
      </c>
      <c r="K124" s="479">
        <f t="shared" si="159"/>
        <v>0</v>
      </c>
      <c r="L124" s="479">
        <f t="shared" si="159"/>
        <v>0</v>
      </c>
      <c r="M124" s="479">
        <f t="shared" ref="M124" si="160">+M125+M127</f>
        <v>0</v>
      </c>
      <c r="N124" s="479">
        <f t="shared" si="159"/>
        <v>0</v>
      </c>
      <c r="O124" s="479">
        <f t="shared" si="159"/>
        <v>0</v>
      </c>
      <c r="P124" s="479">
        <f t="shared" si="159"/>
        <v>0</v>
      </c>
      <c r="Q124" s="479"/>
      <c r="R124" s="479"/>
      <c r="S124" s="479"/>
      <c r="T124" s="479"/>
      <c r="U124" s="479"/>
      <c r="V124" s="479"/>
      <c r="W124" s="479"/>
      <c r="X124" s="480">
        <f>+X125+X127</f>
        <v>0</v>
      </c>
      <c r="Y124" s="2991" t="s">
        <v>104</v>
      </c>
      <c r="Z124" s="843"/>
    </row>
    <row r="125" spans="1:26" hidden="1">
      <c r="A125" s="2987"/>
      <c r="B125" s="500" t="s">
        <v>36</v>
      </c>
      <c r="C125" s="2978" t="s">
        <v>101</v>
      </c>
      <c r="D125" s="554">
        <f>+D126</f>
        <v>0</v>
      </c>
      <c r="E125" s="554">
        <f t="shared" ref="E125:P125" si="161">+E126</f>
        <v>0</v>
      </c>
      <c r="F125" s="554">
        <f t="shared" si="161"/>
        <v>0</v>
      </c>
      <c r="G125" s="554">
        <f t="shared" si="161"/>
        <v>0</v>
      </c>
      <c r="H125" s="554">
        <f t="shared" si="161"/>
        <v>0</v>
      </c>
      <c r="I125" s="554">
        <f t="shared" si="161"/>
        <v>0</v>
      </c>
      <c r="J125" s="554">
        <f t="shared" si="161"/>
        <v>0</v>
      </c>
      <c r="K125" s="554">
        <f t="shared" si="161"/>
        <v>0</v>
      </c>
      <c r="L125" s="554">
        <f t="shared" si="161"/>
        <v>0</v>
      </c>
      <c r="M125" s="554">
        <f t="shared" si="161"/>
        <v>0</v>
      </c>
      <c r="N125" s="554">
        <f t="shared" si="161"/>
        <v>0</v>
      </c>
      <c r="O125" s="554">
        <f t="shared" si="161"/>
        <v>0</v>
      </c>
      <c r="P125" s="554">
        <f t="shared" si="161"/>
        <v>0</v>
      </c>
      <c r="Q125" s="554"/>
      <c r="R125" s="554"/>
      <c r="S125" s="554"/>
      <c r="T125" s="554"/>
      <c r="U125" s="554"/>
      <c r="V125" s="554"/>
      <c r="W125" s="554"/>
      <c r="X125" s="502">
        <f>+X126</f>
        <v>0</v>
      </c>
      <c r="Y125" s="2991"/>
      <c r="Z125" s="843"/>
    </row>
    <row r="126" spans="1:26" hidden="1">
      <c r="A126" s="2987"/>
      <c r="B126" s="484" t="s">
        <v>24</v>
      </c>
      <c r="C126" s="2994"/>
      <c r="D126" s="449">
        <f t="shared" ref="D126" si="162">M126+O126+P126+Q126+R126+S126+T126+U126+V126+W126</f>
        <v>0</v>
      </c>
      <c r="E126" s="456">
        <f>+F126+G126+H126</f>
        <v>0</v>
      </c>
      <c r="F126" s="457">
        <v>0</v>
      </c>
      <c r="G126" s="456">
        <v>0</v>
      </c>
      <c r="H126" s="494">
        <v>0</v>
      </c>
      <c r="I126" s="494"/>
      <c r="J126" s="494">
        <f>12200-12200</f>
        <v>0</v>
      </c>
      <c r="K126" s="456"/>
      <c r="L126" s="494"/>
      <c r="M126" s="450"/>
      <c r="N126" s="494"/>
      <c r="O126" s="456">
        <v>0</v>
      </c>
      <c r="P126" s="457">
        <v>0</v>
      </c>
      <c r="Q126" s="457"/>
      <c r="R126" s="457"/>
      <c r="S126" s="457"/>
      <c r="T126" s="457"/>
      <c r="U126" s="457"/>
      <c r="V126" s="457"/>
      <c r="W126" s="457"/>
      <c r="X126" s="409">
        <f>SUM(P126:T126)</f>
        <v>0</v>
      </c>
      <c r="Y126" s="2991"/>
    </row>
    <row r="127" spans="1:26" hidden="1">
      <c r="A127" s="2987"/>
      <c r="B127" s="540" t="s">
        <v>30</v>
      </c>
      <c r="C127" s="2994"/>
      <c r="D127" s="459">
        <f>+D128</f>
        <v>0</v>
      </c>
      <c r="E127" s="459">
        <f t="shared" ref="E127:P127" si="163">+E128</f>
        <v>0</v>
      </c>
      <c r="F127" s="459">
        <f t="shared" si="163"/>
        <v>0</v>
      </c>
      <c r="G127" s="459">
        <f t="shared" si="163"/>
        <v>0</v>
      </c>
      <c r="H127" s="459">
        <f t="shared" si="163"/>
        <v>0</v>
      </c>
      <c r="I127" s="459">
        <f t="shared" si="163"/>
        <v>0</v>
      </c>
      <c r="J127" s="459">
        <f t="shared" si="163"/>
        <v>0</v>
      </c>
      <c r="K127" s="459">
        <f t="shared" si="163"/>
        <v>0</v>
      </c>
      <c r="L127" s="459">
        <f t="shared" si="163"/>
        <v>0</v>
      </c>
      <c r="M127" s="459">
        <f t="shared" si="163"/>
        <v>0</v>
      </c>
      <c r="N127" s="459">
        <f t="shared" si="163"/>
        <v>0</v>
      </c>
      <c r="O127" s="459">
        <f t="shared" si="163"/>
        <v>0</v>
      </c>
      <c r="P127" s="459">
        <f t="shared" si="163"/>
        <v>0</v>
      </c>
      <c r="Q127" s="459"/>
      <c r="R127" s="459"/>
      <c r="S127" s="459"/>
      <c r="T127" s="459"/>
      <c r="U127" s="459"/>
      <c r="V127" s="459"/>
      <c r="W127" s="459"/>
      <c r="X127" s="502">
        <f>+X128</f>
        <v>0</v>
      </c>
      <c r="Y127" s="2991"/>
    </row>
    <row r="128" spans="1:26" hidden="1">
      <c r="A128" s="2987"/>
      <c r="B128" s="561" t="s">
        <v>33</v>
      </c>
      <c r="C128" s="3014"/>
      <c r="D128" s="449">
        <f t="shared" ref="D128" si="164">M128+O128+P128+Q128+R128+S128+T128+U128+V128+W128</f>
        <v>0</v>
      </c>
      <c r="E128" s="456">
        <f>+F128+G128+H128</f>
        <v>0</v>
      </c>
      <c r="F128" s="462">
        <v>0</v>
      </c>
      <c r="G128" s="487">
        <v>0</v>
      </c>
      <c r="H128" s="487">
        <v>0</v>
      </c>
      <c r="I128" s="487">
        <f>122000-122000</f>
        <v>0</v>
      </c>
      <c r="J128" s="487"/>
      <c r="K128" s="454"/>
      <c r="L128" s="454"/>
      <c r="M128" s="450"/>
      <c r="N128" s="454"/>
      <c r="O128" s="454">
        <v>0</v>
      </c>
      <c r="P128" s="462">
        <v>0</v>
      </c>
      <c r="Q128" s="462"/>
      <c r="R128" s="462"/>
      <c r="S128" s="462"/>
      <c r="T128" s="462"/>
      <c r="U128" s="462"/>
      <c r="V128" s="462"/>
      <c r="W128" s="462"/>
      <c r="X128" s="409">
        <f>SUM(P128:T128)</f>
        <v>0</v>
      </c>
      <c r="Y128" s="3004"/>
    </row>
    <row r="129" spans="1:26" s="988" customFormat="1" ht="12.75" hidden="1" customHeight="1">
      <c r="A129" s="2988"/>
      <c r="B129" s="505" t="s">
        <v>34</v>
      </c>
      <c r="C129" s="375"/>
      <c r="D129" s="464">
        <f>+D130</f>
        <v>0</v>
      </c>
      <c r="E129" s="464">
        <f t="shared" ref="E129:P130" si="165">+E130</f>
        <v>0</v>
      </c>
      <c r="F129" s="464">
        <f t="shared" si="165"/>
        <v>0</v>
      </c>
      <c r="G129" s="464">
        <f t="shared" si="165"/>
        <v>0</v>
      </c>
      <c r="H129" s="464">
        <f t="shared" si="165"/>
        <v>0</v>
      </c>
      <c r="I129" s="464">
        <f t="shared" si="165"/>
        <v>0</v>
      </c>
      <c r="J129" s="464">
        <f t="shared" si="165"/>
        <v>0</v>
      </c>
      <c r="K129" s="464">
        <f t="shared" si="165"/>
        <v>0</v>
      </c>
      <c r="L129" s="464">
        <f t="shared" si="165"/>
        <v>0</v>
      </c>
      <c r="M129" s="464">
        <f t="shared" si="165"/>
        <v>0</v>
      </c>
      <c r="N129" s="464">
        <f t="shared" si="165"/>
        <v>0</v>
      </c>
      <c r="O129" s="464">
        <f t="shared" si="165"/>
        <v>0</v>
      </c>
      <c r="P129" s="464">
        <f t="shared" si="165"/>
        <v>0</v>
      </c>
      <c r="Q129" s="464"/>
      <c r="R129" s="464"/>
      <c r="S129" s="464"/>
      <c r="T129" s="464"/>
      <c r="U129" s="464"/>
      <c r="V129" s="464"/>
      <c r="W129" s="464"/>
      <c r="X129" s="2935" t="s">
        <v>35</v>
      </c>
      <c r="Y129" s="3035" t="s">
        <v>122</v>
      </c>
    </row>
    <row r="130" spans="1:26" s="990" customFormat="1" ht="12.75" hidden="1" customHeight="1">
      <c r="A130" s="2988"/>
      <c r="B130" s="504" t="s">
        <v>30</v>
      </c>
      <c r="C130" s="2978" t="s">
        <v>102</v>
      </c>
      <c r="D130" s="511">
        <f>+D131</f>
        <v>0</v>
      </c>
      <c r="E130" s="511">
        <f t="shared" si="165"/>
        <v>0</v>
      </c>
      <c r="F130" s="511">
        <f t="shared" si="165"/>
        <v>0</v>
      </c>
      <c r="G130" s="511">
        <f t="shared" si="165"/>
        <v>0</v>
      </c>
      <c r="H130" s="511">
        <f t="shared" si="165"/>
        <v>0</v>
      </c>
      <c r="I130" s="511">
        <f t="shared" si="165"/>
        <v>0</v>
      </c>
      <c r="J130" s="511">
        <f t="shared" si="165"/>
        <v>0</v>
      </c>
      <c r="K130" s="511">
        <f t="shared" si="165"/>
        <v>0</v>
      </c>
      <c r="L130" s="536">
        <f t="shared" si="165"/>
        <v>0</v>
      </c>
      <c r="M130" s="536">
        <f t="shared" si="165"/>
        <v>0</v>
      </c>
      <c r="N130" s="536">
        <f t="shared" si="165"/>
        <v>0</v>
      </c>
      <c r="O130" s="536">
        <f t="shared" si="165"/>
        <v>0</v>
      </c>
      <c r="P130" s="511">
        <f t="shared" si="165"/>
        <v>0</v>
      </c>
      <c r="Q130" s="511"/>
      <c r="R130" s="511"/>
      <c r="S130" s="511"/>
      <c r="T130" s="511"/>
      <c r="U130" s="511"/>
      <c r="V130" s="511"/>
      <c r="W130" s="511"/>
      <c r="X130" s="2936"/>
      <c r="Y130" s="3033"/>
    </row>
    <row r="131" spans="1:26" s="988" customFormat="1" ht="13.5" hidden="1" thickBot="1">
      <c r="A131" s="2989"/>
      <c r="B131" s="512" t="s">
        <v>33</v>
      </c>
      <c r="C131" s="2995"/>
      <c r="D131" s="449">
        <f t="shared" ref="D131" si="166">M131+O131+P131+Q131+R131+S131+T131+U131+V131+W131</f>
        <v>0</v>
      </c>
      <c r="E131" s="497">
        <f>+F131+G131+H131</f>
        <v>0</v>
      </c>
      <c r="F131" s="1068">
        <v>0</v>
      </c>
      <c r="G131" s="557">
        <v>0</v>
      </c>
      <c r="H131" s="557">
        <v>0</v>
      </c>
      <c r="I131" s="557">
        <v>0</v>
      </c>
      <c r="J131" s="557">
        <f>101397-101397</f>
        <v>0</v>
      </c>
      <c r="K131" s="557"/>
      <c r="L131" s="557"/>
      <c r="M131" s="450"/>
      <c r="N131" s="557"/>
      <c r="O131" s="557"/>
      <c r="P131" s="1069">
        <v>0</v>
      </c>
      <c r="Q131" s="515"/>
      <c r="R131" s="515"/>
      <c r="S131" s="515"/>
      <c r="T131" s="515"/>
      <c r="U131" s="515"/>
      <c r="V131" s="515"/>
      <c r="W131" s="515"/>
      <c r="X131" s="2937"/>
      <c r="Y131" s="3034"/>
    </row>
    <row r="132" spans="1:26" ht="21.75" hidden="1" customHeight="1">
      <c r="A132" s="2986"/>
      <c r="B132" s="433"/>
      <c r="C132" s="434" t="s">
        <v>98</v>
      </c>
      <c r="D132" s="435"/>
      <c r="E132" s="558"/>
      <c r="F132" s="558"/>
      <c r="G132" s="559"/>
      <c r="H132" s="559"/>
      <c r="I132" s="559"/>
      <c r="J132" s="559"/>
      <c r="K132" s="559"/>
      <c r="L132" s="559"/>
      <c r="M132" s="438"/>
      <c r="N132" s="438"/>
      <c r="O132" s="438"/>
      <c r="P132" s="438"/>
      <c r="Q132" s="438"/>
      <c r="R132" s="438"/>
      <c r="S132" s="525"/>
      <c r="T132" s="525"/>
      <c r="U132" s="525"/>
      <c r="V132" s="525"/>
      <c r="W132" s="525"/>
      <c r="X132" s="549"/>
      <c r="Y132" s="2990" t="s">
        <v>103</v>
      </c>
    </row>
    <row r="133" spans="1:26" ht="13.5" hidden="1" customHeight="1">
      <c r="A133" s="2987"/>
      <c r="B133" s="399" t="s">
        <v>22</v>
      </c>
      <c r="C133" s="375"/>
      <c r="D133" s="478">
        <f>+D134+D137</f>
        <v>0</v>
      </c>
      <c r="E133" s="478">
        <f t="shared" ref="E133:O133" si="167">+E134+E137</f>
        <v>0</v>
      </c>
      <c r="F133" s="478">
        <f t="shared" si="167"/>
        <v>0</v>
      </c>
      <c r="G133" s="478">
        <f t="shared" si="167"/>
        <v>0</v>
      </c>
      <c r="H133" s="478">
        <f t="shared" si="167"/>
        <v>0</v>
      </c>
      <c r="I133" s="478">
        <f t="shared" si="167"/>
        <v>0</v>
      </c>
      <c r="J133" s="478">
        <f t="shared" si="167"/>
        <v>0</v>
      </c>
      <c r="K133" s="478">
        <f t="shared" si="167"/>
        <v>0</v>
      </c>
      <c r="L133" s="478">
        <f t="shared" si="167"/>
        <v>0</v>
      </c>
      <c r="M133" s="478"/>
      <c r="N133" s="478">
        <f t="shared" si="167"/>
        <v>0</v>
      </c>
      <c r="O133" s="478">
        <f t="shared" si="167"/>
        <v>0</v>
      </c>
      <c r="P133" s="478">
        <f>+P134+P137</f>
        <v>0</v>
      </c>
      <c r="Q133" s="478"/>
      <c r="R133" s="478"/>
      <c r="S133" s="924"/>
      <c r="T133" s="924"/>
      <c r="U133" s="924"/>
      <c r="V133" s="924"/>
      <c r="W133" s="924"/>
      <c r="X133" s="541"/>
      <c r="Y133" s="2991"/>
      <c r="Z133" s="843"/>
    </row>
    <row r="134" spans="1:26" ht="13.5" hidden="1" customHeight="1">
      <c r="A134" s="2987"/>
      <c r="B134" s="445" t="s">
        <v>36</v>
      </c>
      <c r="C134" s="2978" t="s">
        <v>101</v>
      </c>
      <c r="D134" s="560">
        <f>+D135+D136</f>
        <v>0</v>
      </c>
      <c r="E134" s="560">
        <f t="shared" ref="E134:P134" si="168">+E135+E136</f>
        <v>0</v>
      </c>
      <c r="F134" s="560">
        <f t="shared" si="168"/>
        <v>0</v>
      </c>
      <c r="G134" s="560">
        <f t="shared" si="168"/>
        <v>0</v>
      </c>
      <c r="H134" s="560">
        <f t="shared" si="168"/>
        <v>0</v>
      </c>
      <c r="I134" s="560">
        <f t="shared" si="168"/>
        <v>0</v>
      </c>
      <c r="J134" s="560">
        <f t="shared" si="168"/>
        <v>0</v>
      </c>
      <c r="K134" s="560">
        <f t="shared" si="168"/>
        <v>0</v>
      </c>
      <c r="L134" s="560">
        <f t="shared" si="168"/>
        <v>0</v>
      </c>
      <c r="M134" s="560"/>
      <c r="N134" s="560">
        <f t="shared" si="168"/>
        <v>0</v>
      </c>
      <c r="O134" s="560">
        <f t="shared" si="168"/>
        <v>0</v>
      </c>
      <c r="P134" s="560">
        <f t="shared" si="168"/>
        <v>0</v>
      </c>
      <c r="Q134" s="560"/>
      <c r="R134" s="560"/>
      <c r="S134" s="929"/>
      <c r="T134" s="929"/>
      <c r="U134" s="929"/>
      <c r="V134" s="929"/>
      <c r="W134" s="929"/>
      <c r="X134" s="483"/>
      <c r="Y134" s="2991"/>
      <c r="Z134" s="843"/>
    </row>
    <row r="135" spans="1:26" hidden="1">
      <c r="A135" s="2987"/>
      <c r="B135" s="484" t="s">
        <v>24</v>
      </c>
      <c r="C135" s="2994"/>
      <c r="D135" s="466">
        <f>+E135+I135+J135+K135+L135</f>
        <v>0</v>
      </c>
      <c r="E135" s="457">
        <f>+F135+G135+H135</f>
        <v>0</v>
      </c>
      <c r="F135" s="457"/>
      <c r="G135" s="456"/>
      <c r="H135" s="494"/>
      <c r="I135" s="494"/>
      <c r="J135" s="494"/>
      <c r="K135" s="456">
        <v>0</v>
      </c>
      <c r="L135" s="494"/>
      <c r="M135" s="494"/>
      <c r="N135" s="456">
        <v>0</v>
      </c>
      <c r="O135" s="456">
        <v>0</v>
      </c>
      <c r="P135" s="457">
        <v>0</v>
      </c>
      <c r="Q135" s="457"/>
      <c r="R135" s="457"/>
      <c r="S135" s="776"/>
      <c r="T135" s="776"/>
      <c r="U135" s="776"/>
      <c r="V135" s="776"/>
      <c r="W135" s="776"/>
      <c r="X135" s="486"/>
      <c r="Y135" s="2991"/>
    </row>
    <row r="136" spans="1:26" ht="10.5" hidden="1" customHeight="1">
      <c r="A136" s="2987"/>
      <c r="B136" s="542" t="s">
        <v>27</v>
      </c>
      <c r="C136" s="2994"/>
      <c r="D136" s="466">
        <f>+E136+I136+J136+K136+L136</f>
        <v>0</v>
      </c>
      <c r="E136" s="457">
        <f>+F136+G136+H136</f>
        <v>0</v>
      </c>
      <c r="F136" s="454"/>
      <c r="G136" s="454"/>
      <c r="H136" s="487"/>
      <c r="I136" s="487">
        <v>0</v>
      </c>
      <c r="J136" s="487"/>
      <c r="K136" s="454">
        <v>0</v>
      </c>
      <c r="L136" s="454">
        <v>0</v>
      </c>
      <c r="M136" s="454"/>
      <c r="N136" s="454">
        <v>0</v>
      </c>
      <c r="O136" s="454">
        <v>0</v>
      </c>
      <c r="P136" s="454">
        <v>0</v>
      </c>
      <c r="Q136" s="454"/>
      <c r="R136" s="454"/>
      <c r="S136" s="776"/>
      <c r="T136" s="776"/>
      <c r="U136" s="776"/>
      <c r="V136" s="776"/>
      <c r="W136" s="776"/>
      <c r="X136" s="486"/>
      <c r="Y136" s="2991"/>
    </row>
    <row r="137" spans="1:26" ht="12.75" hidden="1" customHeight="1">
      <c r="A137" s="2987"/>
      <c r="B137" s="518" t="s">
        <v>30</v>
      </c>
      <c r="C137" s="2994"/>
      <c r="D137" s="459">
        <f>+D138</f>
        <v>0</v>
      </c>
      <c r="E137" s="459">
        <f t="shared" ref="E137:P137" si="169">+E138</f>
        <v>0</v>
      </c>
      <c r="F137" s="459">
        <f t="shared" si="169"/>
        <v>0</v>
      </c>
      <c r="G137" s="459">
        <f t="shared" si="169"/>
        <v>0</v>
      </c>
      <c r="H137" s="459">
        <f t="shared" si="169"/>
        <v>0</v>
      </c>
      <c r="I137" s="459">
        <f t="shared" si="169"/>
        <v>0</v>
      </c>
      <c r="J137" s="459">
        <f t="shared" si="169"/>
        <v>0</v>
      </c>
      <c r="K137" s="459">
        <f t="shared" si="169"/>
        <v>0</v>
      </c>
      <c r="L137" s="459">
        <f t="shared" si="169"/>
        <v>0</v>
      </c>
      <c r="M137" s="459"/>
      <c r="N137" s="459">
        <f t="shared" si="169"/>
        <v>0</v>
      </c>
      <c r="O137" s="459">
        <f t="shared" si="169"/>
        <v>0</v>
      </c>
      <c r="P137" s="459">
        <f t="shared" si="169"/>
        <v>0</v>
      </c>
      <c r="Q137" s="459"/>
      <c r="R137" s="459"/>
      <c r="S137" s="927"/>
      <c r="T137" s="927"/>
      <c r="U137" s="927"/>
      <c r="V137" s="927"/>
      <c r="W137" s="927"/>
      <c r="X137" s="483"/>
      <c r="Y137" s="2991"/>
    </row>
    <row r="138" spans="1:26" ht="11.25" hidden="1" customHeight="1">
      <c r="A138" s="2987"/>
      <c r="B138" s="561" t="s">
        <v>33</v>
      </c>
      <c r="C138" s="3014"/>
      <c r="D138" s="453">
        <f>+E138+I138+J138+K138+L138</f>
        <v>0</v>
      </c>
      <c r="E138" s="454">
        <f>+F138+G138+H138</f>
        <v>0</v>
      </c>
      <c r="F138" s="462">
        <v>0</v>
      </c>
      <c r="G138" s="487"/>
      <c r="H138" s="487"/>
      <c r="I138" s="487"/>
      <c r="J138" s="487"/>
      <c r="K138" s="487">
        <v>0</v>
      </c>
      <c r="L138" s="454">
        <v>0</v>
      </c>
      <c r="M138" s="454"/>
      <c r="N138" s="454">
        <v>0</v>
      </c>
      <c r="O138" s="454">
        <v>0</v>
      </c>
      <c r="P138" s="462">
        <v>0</v>
      </c>
      <c r="Q138" s="462"/>
      <c r="R138" s="462"/>
      <c r="S138" s="776"/>
      <c r="T138" s="776"/>
      <c r="U138" s="776"/>
      <c r="V138" s="776"/>
      <c r="W138" s="776"/>
      <c r="X138" s="486"/>
      <c r="Y138" s="2991"/>
    </row>
    <row r="139" spans="1:26" s="988" customFormat="1" ht="12.75" hidden="1" customHeight="1">
      <c r="A139" s="2988"/>
      <c r="B139" s="374" t="s">
        <v>34</v>
      </c>
      <c r="C139" s="375"/>
      <c r="D139" s="464">
        <f>+D142+D140</f>
        <v>0</v>
      </c>
      <c r="E139" s="464">
        <f t="shared" ref="E139:P139" si="170">+E142+E140</f>
        <v>0</v>
      </c>
      <c r="F139" s="464">
        <f t="shared" si="170"/>
        <v>0</v>
      </c>
      <c r="G139" s="464">
        <f t="shared" si="170"/>
        <v>0</v>
      </c>
      <c r="H139" s="464">
        <f t="shared" si="170"/>
        <v>0</v>
      </c>
      <c r="I139" s="464">
        <f t="shared" si="170"/>
        <v>0</v>
      </c>
      <c r="J139" s="464">
        <f t="shared" si="170"/>
        <v>0</v>
      </c>
      <c r="K139" s="464">
        <f t="shared" si="170"/>
        <v>0</v>
      </c>
      <c r="L139" s="464">
        <f t="shared" si="170"/>
        <v>0</v>
      </c>
      <c r="M139" s="464"/>
      <c r="N139" s="464">
        <f t="shared" si="170"/>
        <v>0</v>
      </c>
      <c r="O139" s="464">
        <f t="shared" si="170"/>
        <v>0</v>
      </c>
      <c r="P139" s="464">
        <f t="shared" si="170"/>
        <v>0</v>
      </c>
      <c r="Q139" s="464"/>
      <c r="R139" s="464"/>
      <c r="S139" s="613"/>
      <c r="T139" s="613"/>
      <c r="U139" s="613"/>
      <c r="V139" s="613"/>
      <c r="W139" s="613"/>
      <c r="X139" s="544"/>
      <c r="Y139" s="2992"/>
    </row>
    <row r="140" spans="1:26" ht="13.5" hidden="1" customHeight="1">
      <c r="A140" s="2988"/>
      <c r="B140" s="445" t="s">
        <v>36</v>
      </c>
      <c r="C140" s="2978" t="s">
        <v>102</v>
      </c>
      <c r="D140" s="465">
        <f>+D141</f>
        <v>0</v>
      </c>
      <c r="E140" s="465">
        <f t="shared" ref="E140:P140" si="171">+E141</f>
        <v>0</v>
      </c>
      <c r="F140" s="465">
        <f t="shared" si="171"/>
        <v>0</v>
      </c>
      <c r="G140" s="465">
        <f t="shared" si="171"/>
        <v>0</v>
      </c>
      <c r="H140" s="465">
        <f t="shared" si="171"/>
        <v>0</v>
      </c>
      <c r="I140" s="465">
        <f t="shared" si="171"/>
        <v>0</v>
      </c>
      <c r="J140" s="465">
        <f t="shared" si="171"/>
        <v>0</v>
      </c>
      <c r="K140" s="465">
        <f t="shared" si="171"/>
        <v>0</v>
      </c>
      <c r="L140" s="465">
        <f t="shared" si="171"/>
        <v>0</v>
      </c>
      <c r="M140" s="465"/>
      <c r="N140" s="465">
        <f t="shared" si="171"/>
        <v>0</v>
      </c>
      <c r="O140" s="465">
        <f t="shared" si="171"/>
        <v>0</v>
      </c>
      <c r="P140" s="465">
        <f t="shared" si="171"/>
        <v>0</v>
      </c>
      <c r="Q140" s="465"/>
      <c r="R140" s="465"/>
      <c r="S140" s="927"/>
      <c r="T140" s="927"/>
      <c r="U140" s="927"/>
      <c r="V140" s="927"/>
      <c r="W140" s="927"/>
      <c r="X140" s="488"/>
      <c r="Y140" s="2992"/>
    </row>
    <row r="141" spans="1:26" ht="11.25" hidden="1" customHeight="1">
      <c r="A141" s="2988"/>
      <c r="B141" s="542" t="s">
        <v>27</v>
      </c>
      <c r="C141" s="2980"/>
      <c r="D141" s="466">
        <f>+E141+I141+J141+K141+L141+N141+O141</f>
        <v>0</v>
      </c>
      <c r="E141" s="467">
        <f>+F141+G141+H141</f>
        <v>0</v>
      </c>
      <c r="F141" s="467">
        <v>0</v>
      </c>
      <c r="G141" s="467">
        <v>0</v>
      </c>
      <c r="H141" s="467">
        <v>0</v>
      </c>
      <c r="I141" s="467">
        <v>0</v>
      </c>
      <c r="J141" s="467"/>
      <c r="K141" s="467">
        <v>0</v>
      </c>
      <c r="L141" s="467">
        <v>0</v>
      </c>
      <c r="M141" s="467"/>
      <c r="N141" s="467">
        <v>0</v>
      </c>
      <c r="O141" s="467">
        <v>0</v>
      </c>
      <c r="P141" s="467">
        <v>0</v>
      </c>
      <c r="Q141" s="467"/>
      <c r="R141" s="467"/>
      <c r="S141" s="550"/>
      <c r="T141" s="550"/>
      <c r="U141" s="550"/>
      <c r="V141" s="550"/>
      <c r="W141" s="550"/>
      <c r="X141" s="545"/>
      <c r="Y141" s="2992"/>
    </row>
    <row r="142" spans="1:26" s="990" customFormat="1" ht="12.75" hidden="1" customHeight="1">
      <c r="A142" s="2988"/>
      <c r="B142" s="518" t="s">
        <v>30</v>
      </c>
      <c r="C142" s="2980"/>
      <c r="D142" s="511">
        <f>+D143</f>
        <v>0</v>
      </c>
      <c r="E142" s="511">
        <f t="shared" ref="E142:P142" si="172">+E143</f>
        <v>0</v>
      </c>
      <c r="F142" s="511">
        <f t="shared" si="172"/>
        <v>0</v>
      </c>
      <c r="G142" s="511">
        <f t="shared" si="172"/>
        <v>0</v>
      </c>
      <c r="H142" s="511">
        <f t="shared" si="172"/>
        <v>0</v>
      </c>
      <c r="I142" s="536">
        <f t="shared" si="172"/>
        <v>0</v>
      </c>
      <c r="J142" s="536">
        <f t="shared" si="172"/>
        <v>0</v>
      </c>
      <c r="K142" s="511">
        <f t="shared" si="172"/>
        <v>0</v>
      </c>
      <c r="L142" s="511">
        <f t="shared" si="172"/>
        <v>0</v>
      </c>
      <c r="M142" s="511"/>
      <c r="N142" s="511">
        <f t="shared" si="172"/>
        <v>0</v>
      </c>
      <c r="O142" s="511">
        <f t="shared" si="172"/>
        <v>0</v>
      </c>
      <c r="P142" s="511">
        <f t="shared" si="172"/>
        <v>0</v>
      </c>
      <c r="Q142" s="511"/>
      <c r="R142" s="511"/>
      <c r="S142" s="614"/>
      <c r="T142" s="614"/>
      <c r="U142" s="614"/>
      <c r="V142" s="614"/>
      <c r="W142" s="614"/>
      <c r="X142" s="520"/>
      <c r="Y142" s="2992"/>
    </row>
    <row r="143" spans="1:26" s="988" customFormat="1" ht="13.5" hidden="1" thickBot="1">
      <c r="A143" s="2989"/>
      <c r="B143" s="512" t="s">
        <v>33</v>
      </c>
      <c r="C143" s="3016"/>
      <c r="D143" s="533">
        <f>+E143+I143+J143+K143+L143</f>
        <v>0</v>
      </c>
      <c r="E143" s="491">
        <f>+F143+G143+H143</f>
        <v>0</v>
      </c>
      <c r="F143" s="555">
        <v>0</v>
      </c>
      <c r="G143" s="556">
        <v>0</v>
      </c>
      <c r="H143" s="557">
        <v>0</v>
      </c>
      <c r="I143" s="556"/>
      <c r="J143" s="556"/>
      <c r="K143" s="556"/>
      <c r="L143" s="556">
        <v>0</v>
      </c>
      <c r="M143" s="556"/>
      <c r="N143" s="556">
        <v>0</v>
      </c>
      <c r="O143" s="556">
        <v>0</v>
      </c>
      <c r="P143" s="515">
        <v>0</v>
      </c>
      <c r="Q143" s="515"/>
      <c r="R143" s="515"/>
      <c r="S143" s="515"/>
      <c r="T143" s="515"/>
      <c r="U143" s="515"/>
      <c r="V143" s="515"/>
      <c r="W143" s="515"/>
      <c r="X143" s="562"/>
      <c r="Y143" s="2993"/>
    </row>
    <row r="144" spans="1:26" ht="24.75" customHeight="1">
      <c r="A144" s="2986" t="s">
        <v>82</v>
      </c>
      <c r="B144" s="1070" t="s">
        <v>347</v>
      </c>
      <c r="C144" s="434" t="s">
        <v>98</v>
      </c>
      <c r="D144" s="474"/>
      <c r="E144" s="563"/>
      <c r="F144" s="474"/>
      <c r="G144" s="563"/>
      <c r="H144" s="563"/>
      <c r="I144" s="569"/>
      <c r="J144" s="569"/>
      <c r="K144" s="569"/>
      <c r="L144" s="569"/>
      <c r="M144" s="548"/>
      <c r="N144" s="548"/>
      <c r="O144" s="548"/>
      <c r="P144" s="548"/>
      <c r="Q144" s="548"/>
      <c r="R144" s="548"/>
      <c r="S144" s="548"/>
      <c r="T144" s="548"/>
      <c r="U144" s="548"/>
      <c r="V144" s="548"/>
      <c r="W144" s="548"/>
      <c r="X144" s="439"/>
      <c r="Y144" s="535"/>
    </row>
    <row r="145" spans="1:26" ht="13.5" customHeight="1">
      <c r="A145" s="2987"/>
      <c r="B145" s="1949" t="s">
        <v>22</v>
      </c>
      <c r="C145" s="2381"/>
      <c r="D145" s="2382">
        <f>+D146+D149</f>
        <v>21403332</v>
      </c>
      <c r="E145" s="2382">
        <f t="shared" ref="E145:O145" si="173">+E146+E149</f>
        <v>41480</v>
      </c>
      <c r="F145" s="2382">
        <f t="shared" si="173"/>
        <v>0</v>
      </c>
      <c r="G145" s="2382">
        <f t="shared" si="173"/>
        <v>0</v>
      </c>
      <c r="H145" s="2382">
        <f t="shared" si="173"/>
        <v>7838</v>
      </c>
      <c r="I145" s="2382">
        <f t="shared" si="173"/>
        <v>201799</v>
      </c>
      <c r="J145" s="2382">
        <f t="shared" si="173"/>
        <v>5853415</v>
      </c>
      <c r="K145" s="2382">
        <f t="shared" si="173"/>
        <v>15106381</v>
      </c>
      <c r="L145" s="2382">
        <f t="shared" si="173"/>
        <v>257</v>
      </c>
      <c r="M145" s="2382">
        <f t="shared" ref="M145" si="174">+M146+M149</f>
        <v>21203332</v>
      </c>
      <c r="N145" s="2382">
        <f t="shared" si="173"/>
        <v>0</v>
      </c>
      <c r="O145" s="2382">
        <f t="shared" si="173"/>
        <v>0</v>
      </c>
      <c r="P145" s="2382">
        <f>+P146+P149</f>
        <v>200000</v>
      </c>
      <c r="Q145" s="2382"/>
      <c r="R145" s="2382"/>
      <c r="S145" s="2382"/>
      <c r="T145" s="2382"/>
      <c r="U145" s="2382"/>
      <c r="V145" s="2382"/>
      <c r="W145" s="2382"/>
      <c r="X145" s="2383">
        <f>+X146+X149</f>
        <v>200000</v>
      </c>
      <c r="Y145" s="2991" t="s">
        <v>104</v>
      </c>
      <c r="Z145" s="843"/>
    </row>
    <row r="146" spans="1:26" ht="12.75" customHeight="1">
      <c r="A146" s="2987"/>
      <c r="B146" s="526" t="s">
        <v>36</v>
      </c>
      <c r="C146" s="3024" t="s">
        <v>101</v>
      </c>
      <c r="D146" s="2384">
        <f>+D147+D148</f>
        <v>8942798</v>
      </c>
      <c r="E146" s="2384">
        <f t="shared" ref="E146:P146" si="175">+E147+E148</f>
        <v>0</v>
      </c>
      <c r="F146" s="2384">
        <f t="shared" si="175"/>
        <v>0</v>
      </c>
      <c r="G146" s="2384">
        <f t="shared" si="175"/>
        <v>0</v>
      </c>
      <c r="H146" s="2384">
        <f t="shared" si="175"/>
        <v>0</v>
      </c>
      <c r="I146" s="2384">
        <f t="shared" si="175"/>
        <v>0</v>
      </c>
      <c r="J146" s="2384">
        <f t="shared" si="175"/>
        <v>2000000</v>
      </c>
      <c r="K146" s="2384">
        <f t="shared" si="175"/>
        <v>6742541</v>
      </c>
      <c r="L146" s="2384">
        <f t="shared" si="175"/>
        <v>257</v>
      </c>
      <c r="M146" s="2384">
        <f t="shared" ref="M146" si="176">+M147+M148</f>
        <v>8742798</v>
      </c>
      <c r="N146" s="2384">
        <f t="shared" si="175"/>
        <v>0</v>
      </c>
      <c r="O146" s="2384">
        <f t="shared" si="175"/>
        <v>0</v>
      </c>
      <c r="P146" s="2384">
        <f t="shared" si="175"/>
        <v>200000</v>
      </c>
      <c r="Q146" s="2384"/>
      <c r="R146" s="2384"/>
      <c r="S146" s="2384"/>
      <c r="T146" s="2384"/>
      <c r="U146" s="2384"/>
      <c r="V146" s="2384"/>
      <c r="W146" s="2384"/>
      <c r="X146" s="2385">
        <f>+P146+Q146+R146+S146</f>
        <v>200000</v>
      </c>
      <c r="Y146" s="2991"/>
      <c r="Z146" s="843"/>
    </row>
    <row r="147" spans="1:26" ht="10.5" customHeight="1">
      <c r="A147" s="2987"/>
      <c r="B147" s="503" t="s">
        <v>24</v>
      </c>
      <c r="C147" s="2980"/>
      <c r="D147" s="1930">
        <f t="shared" ref="D147:D148" si="177">M147+O147+P147+Q147+R147+S147+T147+U147+V147+W147</f>
        <v>1452934</v>
      </c>
      <c r="E147" s="2312">
        <v>0</v>
      </c>
      <c r="F147" s="2386">
        <v>0</v>
      </c>
      <c r="G147" s="2312">
        <v>0</v>
      </c>
      <c r="H147" s="2336">
        <v>0</v>
      </c>
      <c r="I147" s="2336"/>
      <c r="J147" s="2336">
        <v>0</v>
      </c>
      <c r="K147" s="2336">
        <f>3145326+93584-1989864+3268+363</f>
        <v>1252677</v>
      </c>
      <c r="L147" s="2336">
        <f>300000-100000-150000-49743</f>
        <v>257</v>
      </c>
      <c r="M147" s="2387">
        <f>+E147+I147+J147+K147+L147+N147</f>
        <v>1252934</v>
      </c>
      <c r="N147" s="2388">
        <f>200000+150000-150000-200000</f>
        <v>0</v>
      </c>
      <c r="O147" s="2386">
        <f>200000-200000</f>
        <v>0</v>
      </c>
      <c r="P147" s="2386">
        <v>200000</v>
      </c>
      <c r="Q147" s="2386"/>
      <c r="R147" s="2386"/>
      <c r="S147" s="2386"/>
      <c r="T147" s="2386"/>
      <c r="U147" s="2386"/>
      <c r="V147" s="2386"/>
      <c r="W147" s="2386"/>
      <c r="X147" s="2389">
        <f>SUM(P147:T147)</f>
        <v>200000</v>
      </c>
      <c r="Y147" s="2991"/>
    </row>
    <row r="148" spans="1:26">
      <c r="A148" s="2987"/>
      <c r="B148" s="542" t="s">
        <v>27</v>
      </c>
      <c r="C148" s="2980"/>
      <c r="D148" s="1930">
        <f t="shared" si="177"/>
        <v>7489864</v>
      </c>
      <c r="E148" s="2312">
        <v>0</v>
      </c>
      <c r="F148" s="2386"/>
      <c r="G148" s="2312"/>
      <c r="H148" s="2336"/>
      <c r="I148" s="2336">
        <v>0</v>
      </c>
      <c r="J148" s="2336">
        <v>2000000</v>
      </c>
      <c r="K148" s="2312">
        <f>3500000+1989864</f>
        <v>5489864</v>
      </c>
      <c r="L148" s="2312">
        <v>0</v>
      </c>
      <c r="M148" s="2387">
        <f>+E148+I148+J148+K148+L148+N148</f>
        <v>7489864</v>
      </c>
      <c r="N148" s="2386">
        <v>0</v>
      </c>
      <c r="O148" s="2386">
        <v>0</v>
      </c>
      <c r="P148" s="2386">
        <v>0</v>
      </c>
      <c r="Q148" s="2386"/>
      <c r="R148" s="2386"/>
      <c r="S148" s="2386"/>
      <c r="T148" s="2386"/>
      <c r="U148" s="2386"/>
      <c r="V148" s="2386"/>
      <c r="W148" s="2386"/>
      <c r="X148" s="2389">
        <f>SUM(P148:T148)</f>
        <v>0</v>
      </c>
      <c r="Y148" s="2991"/>
    </row>
    <row r="149" spans="1:26" ht="12" customHeight="1">
      <c r="A149" s="2987"/>
      <c r="B149" s="518" t="s">
        <v>30</v>
      </c>
      <c r="C149" s="2980"/>
      <c r="D149" s="2390">
        <f>+D150</f>
        <v>12460534</v>
      </c>
      <c r="E149" s="2391">
        <f t="shared" ref="E149:K149" si="178">+E150</f>
        <v>41480</v>
      </c>
      <c r="F149" s="2390">
        <f t="shared" si="178"/>
        <v>0</v>
      </c>
      <c r="G149" s="2391">
        <f t="shared" si="178"/>
        <v>0</v>
      </c>
      <c r="H149" s="2391">
        <f t="shared" si="178"/>
        <v>7838</v>
      </c>
      <c r="I149" s="2391">
        <f t="shared" si="178"/>
        <v>201799</v>
      </c>
      <c r="J149" s="2391">
        <f t="shared" si="178"/>
        <v>3853415</v>
      </c>
      <c r="K149" s="2391">
        <f t="shared" si="178"/>
        <v>8363840</v>
      </c>
      <c r="L149" s="2391">
        <f>+L150</f>
        <v>0</v>
      </c>
      <c r="M149" s="2391">
        <f>+M150</f>
        <v>12460534</v>
      </c>
      <c r="N149" s="2391">
        <f>+N150</f>
        <v>0</v>
      </c>
      <c r="O149" s="2391">
        <f>+O150</f>
        <v>0</v>
      </c>
      <c r="P149" s="2391">
        <f>+P150</f>
        <v>0</v>
      </c>
      <c r="Q149" s="2391"/>
      <c r="R149" s="2391"/>
      <c r="S149" s="2390"/>
      <c r="T149" s="2390"/>
      <c r="U149" s="2390"/>
      <c r="V149" s="2390"/>
      <c r="W149" s="2390"/>
      <c r="X149" s="2385">
        <f>+X150</f>
        <v>0</v>
      </c>
      <c r="Y149" s="2991"/>
    </row>
    <row r="150" spans="1:26" ht="11.25" customHeight="1">
      <c r="A150" s="2987"/>
      <c r="B150" s="503" t="s">
        <v>33</v>
      </c>
      <c r="C150" s="2981"/>
      <c r="D150" s="2340">
        <f t="shared" ref="D150" si="179">M150+O150+P150+Q150+R150+S150+T150+U150+V150+W150</f>
        <v>12460534</v>
      </c>
      <c r="E150" s="2312">
        <f>6538+34942</f>
        <v>41480</v>
      </c>
      <c r="F150" s="2386">
        <v>0</v>
      </c>
      <c r="G150" s="2312">
        <v>0</v>
      </c>
      <c r="H150" s="2336">
        <v>7838</v>
      </c>
      <c r="I150" s="2336">
        <f>31810+169989</f>
        <v>201799</v>
      </c>
      <c r="J150" s="2336">
        <v>3853415</v>
      </c>
      <c r="K150" s="2312">
        <f>8461055-93584-3268-363</f>
        <v>8363840</v>
      </c>
      <c r="L150" s="2312">
        <v>0</v>
      </c>
      <c r="M150" s="2387">
        <f>+E150+I150+J150+K150+L150+N150</f>
        <v>12460534</v>
      </c>
      <c r="N150" s="2386">
        <v>0</v>
      </c>
      <c r="O150" s="2386">
        <v>0</v>
      </c>
      <c r="P150" s="2386">
        <v>0</v>
      </c>
      <c r="Q150" s="2386"/>
      <c r="R150" s="2386"/>
      <c r="S150" s="2386"/>
      <c r="T150" s="2386"/>
      <c r="U150" s="2386"/>
      <c r="V150" s="2386"/>
      <c r="W150" s="2386"/>
      <c r="X150" s="2389">
        <f>SUM(P150:T150)</f>
        <v>0</v>
      </c>
      <c r="Y150" s="3004"/>
    </row>
    <row r="151" spans="1:26" s="848" customFormat="1" ht="12" customHeight="1">
      <c r="A151" s="2988"/>
      <c r="B151" s="517" t="s">
        <v>34</v>
      </c>
      <c r="C151" s="538"/>
      <c r="D151" s="571">
        <f>+D152+D154</f>
        <v>19950398</v>
      </c>
      <c r="E151" s="571">
        <f t="shared" ref="E151:P151" si="180">+E152+E154</f>
        <v>0</v>
      </c>
      <c r="F151" s="571">
        <f t="shared" si="180"/>
        <v>0</v>
      </c>
      <c r="G151" s="571">
        <f t="shared" si="180"/>
        <v>0</v>
      </c>
      <c r="H151" s="571">
        <f t="shared" si="180"/>
        <v>0</v>
      </c>
      <c r="I151" s="571">
        <f t="shared" si="180"/>
        <v>0</v>
      </c>
      <c r="J151" s="571">
        <f t="shared" si="180"/>
        <v>2000000</v>
      </c>
      <c r="K151" s="571">
        <f t="shared" si="180"/>
        <v>15067686</v>
      </c>
      <c r="L151" s="571">
        <f t="shared" si="180"/>
        <v>2882712</v>
      </c>
      <c r="M151" s="571">
        <f t="shared" ref="M151" si="181">+M152+M154</f>
        <v>19950398</v>
      </c>
      <c r="N151" s="571">
        <f t="shared" si="180"/>
        <v>0</v>
      </c>
      <c r="O151" s="571">
        <f t="shared" si="180"/>
        <v>0</v>
      </c>
      <c r="P151" s="571">
        <f t="shared" si="180"/>
        <v>0</v>
      </c>
      <c r="Q151" s="571"/>
      <c r="R151" s="571"/>
      <c r="S151" s="571"/>
      <c r="T151" s="571"/>
      <c r="U151" s="571"/>
      <c r="V151" s="571"/>
      <c r="W151" s="571"/>
      <c r="X151" s="2938" t="s">
        <v>35</v>
      </c>
      <c r="Y151" s="3045" t="s">
        <v>122</v>
      </c>
      <c r="Z151" s="2422"/>
    </row>
    <row r="152" spans="1:26" ht="13.5" customHeight="1">
      <c r="A152" s="2988"/>
      <c r="B152" s="1941" t="s">
        <v>36</v>
      </c>
      <c r="C152" s="3024" t="s">
        <v>102</v>
      </c>
      <c r="D152" s="465">
        <f>+D153</f>
        <v>7489864</v>
      </c>
      <c r="E152" s="465">
        <f t="shared" ref="E152:P152" si="182">+E153</f>
        <v>0</v>
      </c>
      <c r="F152" s="465">
        <f t="shared" si="182"/>
        <v>0</v>
      </c>
      <c r="G152" s="465">
        <f t="shared" si="182"/>
        <v>0</v>
      </c>
      <c r="H152" s="465">
        <f t="shared" si="182"/>
        <v>0</v>
      </c>
      <c r="I152" s="465">
        <f t="shared" si="182"/>
        <v>0</v>
      </c>
      <c r="J152" s="465">
        <f t="shared" si="182"/>
        <v>2000000</v>
      </c>
      <c r="K152" s="465">
        <f t="shared" si="182"/>
        <v>3500000</v>
      </c>
      <c r="L152" s="465">
        <f t="shared" si="182"/>
        <v>1989864</v>
      </c>
      <c r="M152" s="465">
        <f t="shared" si="182"/>
        <v>7489864</v>
      </c>
      <c r="N152" s="465">
        <f t="shared" si="182"/>
        <v>0</v>
      </c>
      <c r="O152" s="465">
        <f t="shared" si="182"/>
        <v>0</v>
      </c>
      <c r="P152" s="465">
        <f t="shared" si="182"/>
        <v>0</v>
      </c>
      <c r="Q152" s="465"/>
      <c r="R152" s="465"/>
      <c r="S152" s="465"/>
      <c r="T152" s="465"/>
      <c r="U152" s="465"/>
      <c r="V152" s="465"/>
      <c r="W152" s="465"/>
      <c r="X152" s="2939"/>
      <c r="Y152" s="3033"/>
    </row>
    <row r="153" spans="1:26" ht="13.5" customHeight="1">
      <c r="A153" s="2988"/>
      <c r="B153" s="542" t="s">
        <v>27</v>
      </c>
      <c r="C153" s="2980"/>
      <c r="D153" s="1930">
        <f t="shared" ref="D153" si="183">M153+O153+P153+Q153+R153+S153+T153+U153+V153+W153</f>
        <v>7489864</v>
      </c>
      <c r="E153" s="2392">
        <f>+F153+G153+H153</f>
        <v>0</v>
      </c>
      <c r="F153" s="2392">
        <v>0</v>
      </c>
      <c r="G153" s="2392">
        <v>0</v>
      </c>
      <c r="H153" s="2392">
        <v>0</v>
      </c>
      <c r="I153" s="2392">
        <v>0</v>
      </c>
      <c r="J153" s="2392">
        <v>2000000</v>
      </c>
      <c r="K153" s="2392">
        <v>3500000</v>
      </c>
      <c r="L153" s="2392">
        <f>800000+1189864</f>
        <v>1989864</v>
      </c>
      <c r="M153" s="2387">
        <f>+E153+I153+J153+K153+L153+N153</f>
        <v>7489864</v>
      </c>
      <c r="N153" s="2392">
        <v>0</v>
      </c>
      <c r="O153" s="2392">
        <v>0</v>
      </c>
      <c r="P153" s="2392">
        <v>0</v>
      </c>
      <c r="Q153" s="2392"/>
      <c r="R153" s="2392"/>
      <c r="S153" s="2392"/>
      <c r="T153" s="2392"/>
      <c r="U153" s="2392"/>
      <c r="V153" s="2392"/>
      <c r="W153" s="2392"/>
      <c r="X153" s="2939"/>
      <c r="Y153" s="3033"/>
    </row>
    <row r="154" spans="1:26" s="990" customFormat="1" ht="12.75" customHeight="1">
      <c r="A154" s="2988"/>
      <c r="B154" s="518" t="s">
        <v>30</v>
      </c>
      <c r="C154" s="2980"/>
      <c r="D154" s="2393">
        <f t="shared" ref="D154:P154" si="184">+D155</f>
        <v>12460534</v>
      </c>
      <c r="E154" s="2394">
        <f t="shared" si="184"/>
        <v>0</v>
      </c>
      <c r="F154" s="2394">
        <f t="shared" si="184"/>
        <v>0</v>
      </c>
      <c r="G154" s="2394">
        <f t="shared" si="184"/>
        <v>0</v>
      </c>
      <c r="H154" s="2394">
        <f t="shared" si="184"/>
        <v>0</v>
      </c>
      <c r="I154" s="2394">
        <f t="shared" si="184"/>
        <v>0</v>
      </c>
      <c r="J154" s="2394">
        <f t="shared" si="184"/>
        <v>0</v>
      </c>
      <c r="K154" s="2394">
        <f t="shared" si="184"/>
        <v>11567686</v>
      </c>
      <c r="L154" s="2394">
        <f t="shared" si="184"/>
        <v>892848</v>
      </c>
      <c r="M154" s="2394">
        <f t="shared" si="184"/>
        <v>12460534</v>
      </c>
      <c r="N154" s="2394">
        <f t="shared" si="184"/>
        <v>0</v>
      </c>
      <c r="O154" s="2394">
        <f t="shared" si="184"/>
        <v>0</v>
      </c>
      <c r="P154" s="2394">
        <f t="shared" si="184"/>
        <v>0</v>
      </c>
      <c r="Q154" s="2394"/>
      <c r="R154" s="2394"/>
      <c r="S154" s="2394"/>
      <c r="T154" s="2394"/>
      <c r="U154" s="2394"/>
      <c r="V154" s="2394"/>
      <c r="W154" s="2394"/>
      <c r="X154" s="2939"/>
      <c r="Y154" s="3033"/>
    </row>
    <row r="155" spans="1:26" s="988" customFormat="1" ht="12.75" customHeight="1" thickBot="1">
      <c r="A155" s="2989"/>
      <c r="B155" s="512" t="s">
        <v>33</v>
      </c>
      <c r="C155" s="3016"/>
      <c r="D155" s="1221">
        <f t="shared" ref="D155" si="185">M155+O155+P155+Q155+R155+S155+T155+U155+V155+W155</f>
        <v>12460534</v>
      </c>
      <c r="E155" s="491">
        <f>+F155+G155+H155</f>
        <v>0</v>
      </c>
      <c r="F155" s="555">
        <v>0</v>
      </c>
      <c r="G155" s="556">
        <v>0</v>
      </c>
      <c r="H155" s="557">
        <v>0</v>
      </c>
      <c r="I155" s="557">
        <v>0</v>
      </c>
      <c r="J155" s="557">
        <f>1283619-1283619</f>
        <v>0</v>
      </c>
      <c r="K155" s="557">
        <v>11567686</v>
      </c>
      <c r="L155" s="557">
        <f>990063-93584-3268-363</f>
        <v>892848</v>
      </c>
      <c r="M155" s="1221">
        <f>+E155+I155+J155+K155+L155+N155</f>
        <v>12460534</v>
      </c>
      <c r="N155" s="515">
        <v>0</v>
      </c>
      <c r="O155" s="515">
        <v>0</v>
      </c>
      <c r="P155" s="515">
        <v>0</v>
      </c>
      <c r="Q155" s="515"/>
      <c r="R155" s="515"/>
      <c r="S155" s="515"/>
      <c r="T155" s="515"/>
      <c r="U155" s="515"/>
      <c r="V155" s="515"/>
      <c r="W155" s="515"/>
      <c r="X155" s="2940"/>
      <c r="Y155" s="3034"/>
    </row>
    <row r="156" spans="1:26" ht="27" customHeight="1">
      <c r="A156" s="2986" t="s">
        <v>83</v>
      </c>
      <c r="B156" s="433" t="s">
        <v>458</v>
      </c>
      <c r="C156" s="434" t="s">
        <v>98</v>
      </c>
      <c r="D156" s="572"/>
      <c r="E156" s="546"/>
      <c r="F156" s="547"/>
      <c r="G156" s="546"/>
      <c r="H156" s="546"/>
      <c r="I156" s="546"/>
      <c r="J156" s="546"/>
      <c r="K156" s="546"/>
      <c r="L156" s="546"/>
      <c r="M156" s="548"/>
      <c r="N156" s="548"/>
      <c r="O156" s="548"/>
      <c r="P156" s="548"/>
      <c r="Q156" s="548"/>
      <c r="R156" s="548"/>
      <c r="S156" s="548"/>
      <c r="T156" s="548"/>
      <c r="U156" s="548"/>
      <c r="V156" s="548"/>
      <c r="W156" s="548"/>
      <c r="X156" s="439"/>
      <c r="Y156" s="535"/>
      <c r="Z156" s="843"/>
    </row>
    <row r="157" spans="1:26" ht="13.5" customHeight="1">
      <c r="A157" s="2987"/>
      <c r="B157" s="499" t="s">
        <v>22</v>
      </c>
      <c r="C157" s="375"/>
      <c r="D157" s="478">
        <f>+D158+D160</f>
        <v>28034558</v>
      </c>
      <c r="E157" s="478">
        <f t="shared" ref="E157:O157" si="186">+E158+E160</f>
        <v>17047</v>
      </c>
      <c r="F157" s="478">
        <f t="shared" si="186"/>
        <v>0</v>
      </c>
      <c r="G157" s="478">
        <f t="shared" si="186"/>
        <v>17047</v>
      </c>
      <c r="H157" s="478">
        <f t="shared" si="186"/>
        <v>0</v>
      </c>
      <c r="I157" s="478">
        <f t="shared" si="186"/>
        <v>365000</v>
      </c>
      <c r="J157" s="478">
        <f t="shared" si="186"/>
        <v>262261</v>
      </c>
      <c r="K157" s="478">
        <f t="shared" si="186"/>
        <v>7988162</v>
      </c>
      <c r="L157" s="478">
        <f t="shared" si="186"/>
        <v>11833174</v>
      </c>
      <c r="M157" s="478">
        <f t="shared" ref="M157" si="187">+M158+M160</f>
        <v>27933609</v>
      </c>
      <c r="N157" s="478">
        <f t="shared" si="186"/>
        <v>7467965</v>
      </c>
      <c r="O157" s="478">
        <f t="shared" si="186"/>
        <v>32489</v>
      </c>
      <c r="P157" s="478">
        <f>+P158+P160</f>
        <v>68460</v>
      </c>
      <c r="Q157" s="478"/>
      <c r="R157" s="478"/>
      <c r="S157" s="478"/>
      <c r="T157" s="478"/>
      <c r="U157" s="478"/>
      <c r="V157" s="478"/>
      <c r="W157" s="478"/>
      <c r="X157" s="480">
        <f>+X158+X160</f>
        <v>68460</v>
      </c>
      <c r="Y157" s="2991" t="s">
        <v>104</v>
      </c>
      <c r="Z157" s="843"/>
    </row>
    <row r="158" spans="1:26" ht="13.5" customHeight="1">
      <c r="A158" s="2987"/>
      <c r="B158" s="500" t="s">
        <v>36</v>
      </c>
      <c r="C158" s="2978" t="s">
        <v>101</v>
      </c>
      <c r="D158" s="481">
        <f>+D159</f>
        <v>1895087</v>
      </c>
      <c r="E158" s="481">
        <f t="shared" ref="E158:P158" si="188">+E159</f>
        <v>0</v>
      </c>
      <c r="F158" s="481">
        <f t="shared" si="188"/>
        <v>0</v>
      </c>
      <c r="G158" s="481">
        <f t="shared" si="188"/>
        <v>16536</v>
      </c>
      <c r="H158" s="481">
        <f t="shared" si="188"/>
        <v>0</v>
      </c>
      <c r="I158" s="481">
        <f t="shared" si="188"/>
        <v>0</v>
      </c>
      <c r="J158" s="481">
        <f t="shared" si="188"/>
        <v>58161</v>
      </c>
      <c r="K158" s="481">
        <f t="shared" si="188"/>
        <v>21209</v>
      </c>
      <c r="L158" s="481">
        <f t="shared" si="188"/>
        <v>1092705</v>
      </c>
      <c r="M158" s="481">
        <f t="shared" si="188"/>
        <v>1794138</v>
      </c>
      <c r="N158" s="481">
        <f t="shared" si="188"/>
        <v>622063</v>
      </c>
      <c r="O158" s="481">
        <f t="shared" si="188"/>
        <v>32489</v>
      </c>
      <c r="P158" s="481">
        <f t="shared" si="188"/>
        <v>68460</v>
      </c>
      <c r="Q158" s="481"/>
      <c r="R158" s="481"/>
      <c r="S158" s="481"/>
      <c r="T158" s="481"/>
      <c r="U158" s="481"/>
      <c r="V158" s="481"/>
      <c r="W158" s="481"/>
      <c r="X158" s="482">
        <f>+X159</f>
        <v>68460</v>
      </c>
      <c r="Y158" s="2991"/>
    </row>
    <row r="159" spans="1:26" ht="12.75" customHeight="1">
      <c r="A159" s="2987"/>
      <c r="B159" s="484" t="s">
        <v>24</v>
      </c>
      <c r="C159" s="2994"/>
      <c r="D159" s="449">
        <f t="shared" ref="D159" si="189">M159+O159+P159+Q159+R159+S159+T159+U159+V159+W159</f>
        <v>1895087</v>
      </c>
      <c r="E159" s="456">
        <v>0</v>
      </c>
      <c r="F159" s="457">
        <v>0</v>
      </c>
      <c r="G159" s="494">
        <v>16536</v>
      </c>
      <c r="H159" s="494">
        <v>0</v>
      </c>
      <c r="I159" s="494">
        <v>0</v>
      </c>
      <c r="J159" s="494">
        <v>58161</v>
      </c>
      <c r="K159" s="494">
        <f>197+21012</f>
        <v>21209</v>
      </c>
      <c r="L159" s="494">
        <f>3399803+400000+834804+1189864-4317794-460271+32960+13339</f>
        <v>1092705</v>
      </c>
      <c r="M159" s="450">
        <f>+E159+I159+J159+K159+L159+N159</f>
        <v>1794138</v>
      </c>
      <c r="N159" s="494">
        <f>1123290+2958425-139639-2739729-332960-144487-102897+60</f>
        <v>622063</v>
      </c>
      <c r="O159" s="494">
        <f>125000-42451-24500-25560</f>
        <v>32489</v>
      </c>
      <c r="P159" s="530">
        <f>24500+43960</f>
        <v>68460</v>
      </c>
      <c r="Q159" s="457"/>
      <c r="R159" s="457"/>
      <c r="S159" s="457"/>
      <c r="T159" s="457"/>
      <c r="U159" s="457"/>
      <c r="V159" s="457"/>
      <c r="W159" s="457"/>
      <c r="X159" s="409">
        <f>SUM(P159:T159)</f>
        <v>68460</v>
      </c>
      <c r="Y159" s="2991"/>
    </row>
    <row r="160" spans="1:26" ht="12.75" customHeight="1">
      <c r="A160" s="2987"/>
      <c r="B160" s="504" t="s">
        <v>30</v>
      </c>
      <c r="C160" s="2994"/>
      <c r="D160" s="459">
        <f>+D161</f>
        <v>26139471</v>
      </c>
      <c r="E160" s="459">
        <f t="shared" ref="E160:P160" si="190">+E161</f>
        <v>17047</v>
      </c>
      <c r="F160" s="459">
        <f t="shared" si="190"/>
        <v>0</v>
      </c>
      <c r="G160" s="459">
        <f t="shared" si="190"/>
        <v>511</v>
      </c>
      <c r="H160" s="459">
        <f t="shared" si="190"/>
        <v>0</v>
      </c>
      <c r="I160" s="459">
        <f t="shared" si="190"/>
        <v>365000</v>
      </c>
      <c r="J160" s="459">
        <f t="shared" si="190"/>
        <v>204100</v>
      </c>
      <c r="K160" s="459">
        <f t="shared" si="190"/>
        <v>7966953</v>
      </c>
      <c r="L160" s="459">
        <f t="shared" si="190"/>
        <v>10740469</v>
      </c>
      <c r="M160" s="459">
        <f t="shared" si="190"/>
        <v>26139471</v>
      </c>
      <c r="N160" s="459">
        <f t="shared" si="190"/>
        <v>6845902</v>
      </c>
      <c r="O160" s="459">
        <f t="shared" si="190"/>
        <v>0</v>
      </c>
      <c r="P160" s="459">
        <f t="shared" si="190"/>
        <v>0</v>
      </c>
      <c r="Q160" s="459"/>
      <c r="R160" s="459"/>
      <c r="S160" s="459"/>
      <c r="T160" s="459"/>
      <c r="U160" s="459"/>
      <c r="V160" s="459"/>
      <c r="W160" s="459"/>
      <c r="X160" s="482">
        <f>+X161</f>
        <v>0</v>
      </c>
      <c r="Y160" s="2991"/>
    </row>
    <row r="161" spans="1:29" ht="12" customHeight="1">
      <c r="A161" s="2987"/>
      <c r="B161" s="503" t="s">
        <v>33</v>
      </c>
      <c r="C161" s="3014"/>
      <c r="D161" s="449">
        <f t="shared" ref="D161" si="191">M161+O161+P161+Q161+R161+S161+T161+U161+V161+W161</f>
        <v>26139471</v>
      </c>
      <c r="E161" s="456">
        <f>+F161+G161+H161+16536</f>
        <v>17047</v>
      </c>
      <c r="F161" s="457">
        <v>0</v>
      </c>
      <c r="G161" s="494">
        <v>511</v>
      </c>
      <c r="H161" s="494">
        <v>0</v>
      </c>
      <c r="I161" s="494">
        <f>10950+354050</f>
        <v>365000</v>
      </c>
      <c r="J161" s="494">
        <f>262261-58161</f>
        <v>204100</v>
      </c>
      <c r="K161" s="494">
        <f>7987965-21012</f>
        <v>7966953</v>
      </c>
      <c r="L161" s="456">
        <f>11767727+1000000-2178767-95637+293445-32960-13339</f>
        <v>10740469</v>
      </c>
      <c r="M161" s="450">
        <f>+E161+I161+J161+K161+L161+N161</f>
        <v>26139471</v>
      </c>
      <c r="N161" s="456">
        <f>5500000+1511039+235276-293445+32960-122228-17640-60</f>
        <v>6845902</v>
      </c>
      <c r="O161" s="456">
        <v>0</v>
      </c>
      <c r="P161" s="457">
        <v>0</v>
      </c>
      <c r="Q161" s="457"/>
      <c r="R161" s="457"/>
      <c r="S161" s="457"/>
      <c r="T161" s="457"/>
      <c r="U161" s="457"/>
      <c r="V161" s="457"/>
      <c r="W161" s="457"/>
      <c r="X161" s="409">
        <f>SUM(P161:T161)</f>
        <v>0</v>
      </c>
      <c r="Y161" s="3004"/>
    </row>
    <row r="162" spans="1:29" s="988" customFormat="1" ht="12.75" customHeight="1">
      <c r="A162" s="2988"/>
      <c r="B162" s="505" t="s">
        <v>34</v>
      </c>
      <c r="C162" s="375"/>
      <c r="D162" s="464">
        <f>+D165+D163</f>
        <v>26980952</v>
      </c>
      <c r="E162" s="464">
        <f t="shared" ref="E162:P162" si="192">+E165+E163</f>
        <v>0</v>
      </c>
      <c r="F162" s="464">
        <f t="shared" si="192"/>
        <v>0</v>
      </c>
      <c r="G162" s="464">
        <f t="shared" si="192"/>
        <v>0</v>
      </c>
      <c r="H162" s="464">
        <f t="shared" si="192"/>
        <v>0</v>
      </c>
      <c r="I162" s="464">
        <f t="shared" si="192"/>
        <v>0</v>
      </c>
      <c r="J162" s="464">
        <f t="shared" si="192"/>
        <v>0</v>
      </c>
      <c r="K162" s="464">
        <f t="shared" si="192"/>
        <v>0</v>
      </c>
      <c r="L162" s="464">
        <f t="shared" si="192"/>
        <v>18716756</v>
      </c>
      <c r="M162" s="464">
        <f t="shared" ref="M162" si="193">+M165+M163</f>
        <v>25892824</v>
      </c>
      <c r="N162" s="464">
        <f t="shared" si="192"/>
        <v>7176068</v>
      </c>
      <c r="O162" s="464">
        <f t="shared" si="192"/>
        <v>1088128</v>
      </c>
      <c r="P162" s="464">
        <f t="shared" si="192"/>
        <v>0</v>
      </c>
      <c r="Q162" s="464"/>
      <c r="R162" s="464"/>
      <c r="S162" s="464"/>
      <c r="T162" s="464"/>
      <c r="U162" s="464"/>
      <c r="V162" s="464"/>
      <c r="W162" s="464"/>
      <c r="X162" s="2941" t="s">
        <v>35</v>
      </c>
      <c r="Y162" s="3035" t="s">
        <v>122</v>
      </c>
      <c r="Z162" s="987"/>
    </row>
    <row r="163" spans="1:29" ht="13.5" customHeight="1">
      <c r="A163" s="2988"/>
      <c r="B163" s="500" t="s">
        <v>36</v>
      </c>
      <c r="C163" s="3037" t="s">
        <v>101</v>
      </c>
      <c r="D163" s="465">
        <f>+D164</f>
        <v>841481</v>
      </c>
      <c r="E163" s="465">
        <f t="shared" ref="E163:P163" si="194">+E164</f>
        <v>0</v>
      </c>
      <c r="F163" s="465">
        <f t="shared" si="194"/>
        <v>0</v>
      </c>
      <c r="G163" s="465">
        <f t="shared" si="194"/>
        <v>0</v>
      </c>
      <c r="H163" s="465">
        <f t="shared" si="194"/>
        <v>0</v>
      </c>
      <c r="I163" s="465">
        <f t="shared" si="194"/>
        <v>0</v>
      </c>
      <c r="J163" s="465">
        <f t="shared" si="194"/>
        <v>0</v>
      </c>
      <c r="K163" s="465">
        <f t="shared" si="194"/>
        <v>0</v>
      </c>
      <c r="L163" s="465">
        <f t="shared" si="194"/>
        <v>841481</v>
      </c>
      <c r="M163" s="465">
        <f t="shared" si="194"/>
        <v>841481</v>
      </c>
      <c r="N163" s="465">
        <f t="shared" si="194"/>
        <v>0</v>
      </c>
      <c r="O163" s="465">
        <f t="shared" si="194"/>
        <v>0</v>
      </c>
      <c r="P163" s="465">
        <f t="shared" si="194"/>
        <v>0</v>
      </c>
      <c r="Q163" s="465"/>
      <c r="R163" s="465"/>
      <c r="S163" s="465"/>
      <c r="T163" s="465"/>
      <c r="U163" s="465"/>
      <c r="V163" s="465"/>
      <c r="W163" s="465"/>
      <c r="X163" s="2939"/>
      <c r="Y163" s="3033"/>
    </row>
    <row r="164" spans="1:29" ht="13.5" customHeight="1">
      <c r="A164" s="2988"/>
      <c r="B164" s="542" t="s">
        <v>38</v>
      </c>
      <c r="C164" s="3038"/>
      <c r="D164" s="449">
        <f t="shared" ref="D164" si="195">M164+O164+P164+Q164+R164+S164+T164+U164+V164+W164</f>
        <v>841481</v>
      </c>
      <c r="E164" s="467">
        <f>+F164+G164+H164</f>
        <v>0</v>
      </c>
      <c r="F164" s="467">
        <v>0</v>
      </c>
      <c r="G164" s="467">
        <v>0</v>
      </c>
      <c r="H164" s="467">
        <v>0</v>
      </c>
      <c r="I164" s="467">
        <v>0</v>
      </c>
      <c r="J164" s="467"/>
      <c r="K164" s="467"/>
      <c r="L164" s="467">
        <f>834804+6677</f>
        <v>841481</v>
      </c>
      <c r="M164" s="450">
        <f>+E164+I164+J164+K164+L164+N164</f>
        <v>841481</v>
      </c>
      <c r="N164" s="467">
        <v>0</v>
      </c>
      <c r="O164" s="467">
        <v>0</v>
      </c>
      <c r="P164" s="467">
        <v>0</v>
      </c>
      <c r="Q164" s="467"/>
      <c r="R164" s="467"/>
      <c r="S164" s="467"/>
      <c r="T164" s="467"/>
      <c r="U164" s="467"/>
      <c r="V164" s="467"/>
      <c r="W164" s="467"/>
      <c r="X164" s="2939"/>
      <c r="Y164" s="3033"/>
    </row>
    <row r="165" spans="1:29" s="990" customFormat="1" ht="12.75" customHeight="1">
      <c r="A165" s="2988"/>
      <c r="B165" s="504" t="s">
        <v>30</v>
      </c>
      <c r="C165" s="2978" t="s">
        <v>102</v>
      </c>
      <c r="D165" s="511">
        <f>+D166</f>
        <v>26139471</v>
      </c>
      <c r="E165" s="511">
        <f t="shared" ref="E165:P165" si="196">+E166</f>
        <v>0</v>
      </c>
      <c r="F165" s="511">
        <f t="shared" si="196"/>
        <v>0</v>
      </c>
      <c r="G165" s="511">
        <f t="shared" si="196"/>
        <v>0</v>
      </c>
      <c r="H165" s="511">
        <f t="shared" si="196"/>
        <v>0</v>
      </c>
      <c r="I165" s="511">
        <f t="shared" si="196"/>
        <v>0</v>
      </c>
      <c r="J165" s="511">
        <f t="shared" si="196"/>
        <v>0</v>
      </c>
      <c r="K165" s="511">
        <f t="shared" si="196"/>
        <v>0</v>
      </c>
      <c r="L165" s="511">
        <f t="shared" si="196"/>
        <v>17875275</v>
      </c>
      <c r="M165" s="511">
        <f t="shared" si="196"/>
        <v>25051343</v>
      </c>
      <c r="N165" s="511">
        <f t="shared" si="196"/>
        <v>7176068</v>
      </c>
      <c r="O165" s="511">
        <f t="shared" si="196"/>
        <v>1088128</v>
      </c>
      <c r="P165" s="511">
        <f t="shared" si="196"/>
        <v>0</v>
      </c>
      <c r="Q165" s="511"/>
      <c r="R165" s="511"/>
      <c r="S165" s="511"/>
      <c r="T165" s="511"/>
      <c r="U165" s="511"/>
      <c r="V165" s="511"/>
      <c r="W165" s="511"/>
      <c r="X165" s="2939"/>
      <c r="Y165" s="3033"/>
    </row>
    <row r="166" spans="1:29" s="988" customFormat="1" ht="12.75" customHeight="1" thickBot="1">
      <c r="A166" s="2989"/>
      <c r="B166" s="512" t="s">
        <v>33</v>
      </c>
      <c r="C166" s="2995"/>
      <c r="D166" s="1222">
        <f t="shared" ref="D166" si="197">M166+O166+P166+Q166+R166+S166+T166+U166+V166+W166</f>
        <v>26139471</v>
      </c>
      <c r="E166" s="491">
        <f>+F166+G166+H166</f>
        <v>0</v>
      </c>
      <c r="F166" s="555">
        <v>0</v>
      </c>
      <c r="G166" s="556">
        <v>0</v>
      </c>
      <c r="H166" s="557">
        <v>0</v>
      </c>
      <c r="I166" s="557">
        <v>0</v>
      </c>
      <c r="J166" s="556">
        <f>41461-41461</f>
        <v>0</v>
      </c>
      <c r="K166" s="556">
        <v>0</v>
      </c>
      <c r="L166" s="557">
        <f>19300000-1300000-124725</f>
        <v>17875275</v>
      </c>
      <c r="M166" s="1221">
        <f>+E166+I166+J166+K166+L166+N166</f>
        <v>25051343</v>
      </c>
      <c r="N166" s="557">
        <f>1100000+6500000+553099+264364-1228054-13341</f>
        <v>7176068</v>
      </c>
      <c r="O166" s="556">
        <f>1228054-108887-30979-60</f>
        <v>1088128</v>
      </c>
      <c r="P166" s="515">
        <v>0</v>
      </c>
      <c r="Q166" s="515"/>
      <c r="R166" s="515"/>
      <c r="S166" s="515"/>
      <c r="T166" s="515"/>
      <c r="U166" s="515"/>
      <c r="V166" s="515"/>
      <c r="W166" s="515"/>
      <c r="X166" s="2940"/>
      <c r="Y166" s="3034"/>
    </row>
    <row r="167" spans="1:29" ht="25.5" customHeight="1">
      <c r="A167" s="2986" t="s">
        <v>138</v>
      </c>
      <c r="B167" s="1223" t="s">
        <v>391</v>
      </c>
      <c r="C167" s="434" t="s">
        <v>98</v>
      </c>
      <c r="D167" s="474"/>
      <c r="E167" s="498"/>
      <c r="F167" s="475"/>
      <c r="G167" s="476"/>
      <c r="H167" s="476"/>
      <c r="I167" s="436"/>
      <c r="J167" s="436"/>
      <c r="K167" s="436"/>
      <c r="L167" s="436"/>
      <c r="M167" s="438"/>
      <c r="N167" s="438"/>
      <c r="O167" s="438"/>
      <c r="P167" s="438"/>
      <c r="Q167" s="438"/>
      <c r="R167" s="438"/>
      <c r="S167" s="438"/>
      <c r="T167" s="438"/>
      <c r="U167" s="438"/>
      <c r="V167" s="438"/>
      <c r="W167" s="438"/>
      <c r="X167" s="439"/>
      <c r="Y167" s="535"/>
      <c r="AC167" s="991"/>
    </row>
    <row r="168" spans="1:29" ht="11.25" customHeight="1">
      <c r="A168" s="2987"/>
      <c r="B168" s="499" t="s">
        <v>22</v>
      </c>
      <c r="C168" s="375"/>
      <c r="D168" s="478">
        <f>+D169+D171</f>
        <v>12483753</v>
      </c>
      <c r="E168" s="478">
        <f t="shared" ref="E168:P168" si="198">+E169+E171</f>
        <v>10549</v>
      </c>
      <c r="F168" s="478">
        <f t="shared" si="198"/>
        <v>0</v>
      </c>
      <c r="G168" s="478">
        <f t="shared" si="198"/>
        <v>0</v>
      </c>
      <c r="H168" s="478">
        <f t="shared" si="198"/>
        <v>0</v>
      </c>
      <c r="I168" s="478">
        <f t="shared" si="198"/>
        <v>18660</v>
      </c>
      <c r="J168" s="478">
        <f t="shared" si="198"/>
        <v>114255</v>
      </c>
      <c r="K168" s="478">
        <f t="shared" si="198"/>
        <v>166758</v>
      </c>
      <c r="L168" s="478">
        <f t="shared" si="198"/>
        <v>9811984</v>
      </c>
      <c r="M168" s="478">
        <f t="shared" ref="M168" si="199">+M169+M171</f>
        <v>12403753</v>
      </c>
      <c r="N168" s="478">
        <f t="shared" si="198"/>
        <v>2281547</v>
      </c>
      <c r="O168" s="478">
        <f t="shared" si="198"/>
        <v>0</v>
      </c>
      <c r="P168" s="478">
        <f t="shared" si="198"/>
        <v>80000</v>
      </c>
      <c r="Q168" s="478"/>
      <c r="R168" s="478"/>
      <c r="S168" s="478"/>
      <c r="T168" s="478"/>
      <c r="U168" s="478"/>
      <c r="V168" s="478"/>
      <c r="W168" s="478"/>
      <c r="X168" s="480">
        <f>+X169+X171</f>
        <v>80000</v>
      </c>
      <c r="Y168" s="2991" t="s">
        <v>104</v>
      </c>
      <c r="Z168" s="843"/>
      <c r="AA168" s="843"/>
      <c r="AB168" s="843"/>
      <c r="AC168" s="843"/>
    </row>
    <row r="169" spans="1:29" ht="13.5" customHeight="1">
      <c r="A169" s="2987"/>
      <c r="B169" s="500" t="s">
        <v>36</v>
      </c>
      <c r="C169" s="2978" t="s">
        <v>101</v>
      </c>
      <c r="D169" s="481">
        <f>+D170</f>
        <v>2583530</v>
      </c>
      <c r="E169" s="481">
        <f t="shared" ref="E169:P169" si="200">+E170</f>
        <v>10549</v>
      </c>
      <c r="F169" s="481">
        <f t="shared" si="200"/>
        <v>0</v>
      </c>
      <c r="G169" s="481">
        <f t="shared" si="200"/>
        <v>0</v>
      </c>
      <c r="H169" s="481">
        <f t="shared" si="200"/>
        <v>0</v>
      </c>
      <c r="I169" s="481">
        <f t="shared" si="200"/>
        <v>0</v>
      </c>
      <c r="J169" s="481">
        <f t="shared" si="200"/>
        <v>2295</v>
      </c>
      <c r="K169" s="481">
        <f t="shared" si="200"/>
        <v>0</v>
      </c>
      <c r="L169" s="481">
        <f t="shared" si="200"/>
        <v>539085</v>
      </c>
      <c r="M169" s="481">
        <f t="shared" si="200"/>
        <v>2503530</v>
      </c>
      <c r="N169" s="481">
        <f t="shared" si="200"/>
        <v>1951601</v>
      </c>
      <c r="O169" s="481">
        <f t="shared" si="200"/>
        <v>0</v>
      </c>
      <c r="P169" s="481">
        <f t="shared" si="200"/>
        <v>80000</v>
      </c>
      <c r="Q169" s="481"/>
      <c r="R169" s="481"/>
      <c r="S169" s="481"/>
      <c r="T169" s="481"/>
      <c r="U169" s="481"/>
      <c r="V169" s="481"/>
      <c r="W169" s="481"/>
      <c r="X169" s="502">
        <f>+X170</f>
        <v>80000</v>
      </c>
      <c r="Y169" s="2991"/>
      <c r="Z169" s="843"/>
    </row>
    <row r="170" spans="1:29" ht="12" customHeight="1">
      <c r="A170" s="2987"/>
      <c r="B170" s="484" t="s">
        <v>24</v>
      </c>
      <c r="C170" s="2980"/>
      <c r="D170" s="449">
        <f t="shared" ref="D170" si="201">M170+O170+P170+Q170+R170+S170+T170+U170+V170+W170</f>
        <v>2583530</v>
      </c>
      <c r="E170" s="1224">
        <v>10549</v>
      </c>
      <c r="F170" s="456"/>
      <c r="G170" s="456">
        <v>0</v>
      </c>
      <c r="H170" s="494">
        <v>0</v>
      </c>
      <c r="I170" s="494">
        <v>0</v>
      </c>
      <c r="J170" s="494">
        <v>2295</v>
      </c>
      <c r="K170" s="494">
        <f>43675-43675</f>
        <v>0</v>
      </c>
      <c r="L170" s="456">
        <v>539085</v>
      </c>
      <c r="M170" s="450">
        <f>+E170+I170+J170+K170+L170+N170</f>
        <v>2503530</v>
      </c>
      <c r="N170" s="494">
        <f>1046821-447215-41080+424445+968630</f>
        <v>1951601</v>
      </c>
      <c r="O170" s="494">
        <f>41080-41080</f>
        <v>0</v>
      </c>
      <c r="P170" s="457">
        <v>80000</v>
      </c>
      <c r="Q170" s="457"/>
      <c r="R170" s="457"/>
      <c r="S170" s="457"/>
      <c r="T170" s="457"/>
      <c r="U170" s="457"/>
      <c r="V170" s="457"/>
      <c r="W170" s="457"/>
      <c r="X170" s="409">
        <f>SUM(P170:T170)</f>
        <v>80000</v>
      </c>
      <c r="Y170" s="2991"/>
      <c r="Z170" s="843"/>
    </row>
    <row r="171" spans="1:29" ht="12.75" customHeight="1">
      <c r="A171" s="2987"/>
      <c r="B171" s="540" t="s">
        <v>30</v>
      </c>
      <c r="C171" s="2980"/>
      <c r="D171" s="459">
        <f>+D172</f>
        <v>9900223</v>
      </c>
      <c r="E171" s="459">
        <f t="shared" ref="E171:P171" si="202">+E172</f>
        <v>0</v>
      </c>
      <c r="F171" s="459">
        <f t="shared" si="202"/>
        <v>0</v>
      </c>
      <c r="G171" s="459">
        <f t="shared" si="202"/>
        <v>0</v>
      </c>
      <c r="H171" s="459">
        <f t="shared" si="202"/>
        <v>0</v>
      </c>
      <c r="I171" s="459">
        <f t="shared" si="202"/>
        <v>18660</v>
      </c>
      <c r="J171" s="459">
        <f t="shared" si="202"/>
        <v>111960</v>
      </c>
      <c r="K171" s="459">
        <f t="shared" si="202"/>
        <v>166758</v>
      </c>
      <c r="L171" s="459">
        <f t="shared" si="202"/>
        <v>9272899</v>
      </c>
      <c r="M171" s="459">
        <f t="shared" si="202"/>
        <v>9900223</v>
      </c>
      <c r="N171" s="459">
        <f t="shared" si="202"/>
        <v>329946</v>
      </c>
      <c r="O171" s="459">
        <f t="shared" si="202"/>
        <v>0</v>
      </c>
      <c r="P171" s="459">
        <f t="shared" si="202"/>
        <v>0</v>
      </c>
      <c r="Q171" s="459"/>
      <c r="R171" s="459"/>
      <c r="S171" s="459"/>
      <c r="T171" s="459"/>
      <c r="U171" s="459"/>
      <c r="V171" s="459"/>
      <c r="W171" s="459"/>
      <c r="X171" s="502">
        <f>+X172</f>
        <v>0</v>
      </c>
      <c r="Y171" s="2991"/>
    </row>
    <row r="172" spans="1:29" ht="12" customHeight="1">
      <c r="A172" s="2987"/>
      <c r="B172" s="503" t="s">
        <v>33</v>
      </c>
      <c r="C172" s="2981"/>
      <c r="D172" s="449">
        <f t="shared" ref="D172" si="203">M172+O172+P172+Q172+R172+S172+T172+U172+V172+W172</f>
        <v>9900223</v>
      </c>
      <c r="E172" s="456">
        <f>+F172+G172+H172</f>
        <v>0</v>
      </c>
      <c r="F172" s="457">
        <v>0</v>
      </c>
      <c r="G172" s="494">
        <v>0</v>
      </c>
      <c r="H172" s="494">
        <v>0</v>
      </c>
      <c r="I172" s="494">
        <f>64968+9107-53465-1950</f>
        <v>18660</v>
      </c>
      <c r="J172" s="494">
        <f>397798+55766-327369-14235</f>
        <v>111960</v>
      </c>
      <c r="K172" s="494">
        <f>123083+43675</f>
        <v>166758</v>
      </c>
      <c r="L172" s="456">
        <f>10974278+2562159-1640000-1811402-273051-539085</f>
        <v>9272899</v>
      </c>
      <c r="M172" s="450">
        <f>+E172+I172+J172+K172+L172+N172</f>
        <v>9900223</v>
      </c>
      <c r="N172" s="456">
        <f>1811402+89236-177617-424445-968630</f>
        <v>329946</v>
      </c>
      <c r="O172" s="456">
        <v>0</v>
      </c>
      <c r="P172" s="457">
        <v>0</v>
      </c>
      <c r="Q172" s="457"/>
      <c r="R172" s="457"/>
      <c r="S172" s="457"/>
      <c r="T172" s="457"/>
      <c r="U172" s="457"/>
      <c r="V172" s="457"/>
      <c r="W172" s="457"/>
      <c r="X172" s="409">
        <f>SUM(P172:T172)</f>
        <v>0</v>
      </c>
      <c r="Y172" s="3004"/>
    </row>
    <row r="173" spans="1:29" s="988" customFormat="1" ht="12.75" customHeight="1">
      <c r="A173" s="2987"/>
      <c r="B173" s="505" t="s">
        <v>34</v>
      </c>
      <c r="C173" s="375"/>
      <c r="D173" s="464">
        <f>+D174</f>
        <v>9900223</v>
      </c>
      <c r="E173" s="464">
        <f t="shared" ref="E173:P174" si="204">+E174</f>
        <v>0</v>
      </c>
      <c r="F173" s="464">
        <f t="shared" si="204"/>
        <v>0</v>
      </c>
      <c r="G173" s="464">
        <f t="shared" si="204"/>
        <v>0</v>
      </c>
      <c r="H173" s="464">
        <f t="shared" si="204"/>
        <v>0</v>
      </c>
      <c r="I173" s="464">
        <f t="shared" si="204"/>
        <v>0</v>
      </c>
      <c r="J173" s="464">
        <f t="shared" si="204"/>
        <v>0</v>
      </c>
      <c r="K173" s="464">
        <f t="shared" si="204"/>
        <v>0</v>
      </c>
      <c r="L173" s="464">
        <f t="shared" si="204"/>
        <v>8420990</v>
      </c>
      <c r="M173" s="464">
        <f t="shared" si="204"/>
        <v>9900223</v>
      </c>
      <c r="N173" s="464">
        <f t="shared" si="204"/>
        <v>1479233</v>
      </c>
      <c r="O173" s="464">
        <f t="shared" si="204"/>
        <v>0</v>
      </c>
      <c r="P173" s="464">
        <f t="shared" si="204"/>
        <v>0</v>
      </c>
      <c r="Q173" s="464"/>
      <c r="R173" s="464"/>
      <c r="S173" s="464"/>
      <c r="T173" s="464"/>
      <c r="U173" s="464"/>
      <c r="V173" s="464"/>
      <c r="W173" s="464"/>
      <c r="X173" s="2941" t="s">
        <v>35</v>
      </c>
      <c r="Y173" s="3036" t="s">
        <v>122</v>
      </c>
      <c r="Z173" s="987"/>
    </row>
    <row r="174" spans="1:29" s="990" customFormat="1" ht="12.75" customHeight="1">
      <c r="A174" s="2987"/>
      <c r="B174" s="504" t="s">
        <v>30</v>
      </c>
      <c r="C174" s="2978" t="s">
        <v>102</v>
      </c>
      <c r="D174" s="511">
        <f>+D175</f>
        <v>9900223</v>
      </c>
      <c r="E174" s="511">
        <f t="shared" si="204"/>
        <v>0</v>
      </c>
      <c r="F174" s="511">
        <f t="shared" si="204"/>
        <v>0</v>
      </c>
      <c r="G174" s="511">
        <f t="shared" si="204"/>
        <v>0</v>
      </c>
      <c r="H174" s="511">
        <f t="shared" si="204"/>
        <v>0</v>
      </c>
      <c r="I174" s="511">
        <f t="shared" si="204"/>
        <v>0</v>
      </c>
      <c r="J174" s="511">
        <f t="shared" si="204"/>
        <v>0</v>
      </c>
      <c r="K174" s="536">
        <f t="shared" si="204"/>
        <v>0</v>
      </c>
      <c r="L174" s="536">
        <f t="shared" si="204"/>
        <v>8420990</v>
      </c>
      <c r="M174" s="536">
        <f t="shared" si="204"/>
        <v>9900223</v>
      </c>
      <c r="N174" s="536">
        <f t="shared" si="204"/>
        <v>1479233</v>
      </c>
      <c r="O174" s="536">
        <f t="shared" si="204"/>
        <v>0</v>
      </c>
      <c r="P174" s="511">
        <f t="shared" si="204"/>
        <v>0</v>
      </c>
      <c r="Q174" s="511"/>
      <c r="R174" s="511"/>
      <c r="S174" s="511"/>
      <c r="T174" s="511"/>
      <c r="U174" s="511"/>
      <c r="V174" s="511"/>
      <c r="W174" s="511"/>
      <c r="X174" s="2939"/>
      <c r="Y174" s="2991"/>
    </row>
    <row r="175" spans="1:29" s="988" customFormat="1" ht="12.75" customHeight="1" thickBot="1">
      <c r="A175" s="3023"/>
      <c r="B175" s="512" t="s">
        <v>33</v>
      </c>
      <c r="C175" s="2995"/>
      <c r="D175" s="1221">
        <f t="shared" ref="D175" si="205">M175+O175+P175+Q175+R175+S175+T175+U175+V175+W175</f>
        <v>9900223</v>
      </c>
      <c r="E175" s="491">
        <f>+F175+G175+H175</f>
        <v>0</v>
      </c>
      <c r="F175" s="555">
        <v>0</v>
      </c>
      <c r="G175" s="556">
        <v>0</v>
      </c>
      <c r="H175" s="557">
        <v>0</v>
      </c>
      <c r="I175" s="557">
        <v>0</v>
      </c>
      <c r="J175" s="556">
        <v>0</v>
      </c>
      <c r="K175" s="556">
        <v>0</v>
      </c>
      <c r="L175" s="556">
        <f>9125000+2225000-640000-2837772+548762</f>
        <v>8420990</v>
      </c>
      <c r="M175" s="1221">
        <f>+E175+I175+J175+K175+L175+N175</f>
        <v>9900223</v>
      </c>
      <c r="N175" s="556">
        <f>2500000-1000000+2837772-748762-177617-963611-968549</f>
        <v>1479233</v>
      </c>
      <c r="O175" s="556">
        <f>963611-424445-539085-81</f>
        <v>0</v>
      </c>
      <c r="P175" s="515">
        <v>0</v>
      </c>
      <c r="Q175" s="515"/>
      <c r="R175" s="515"/>
      <c r="S175" s="515"/>
      <c r="T175" s="515"/>
      <c r="U175" s="515"/>
      <c r="V175" s="515"/>
      <c r="W175" s="515"/>
      <c r="X175" s="2940"/>
      <c r="Y175" s="3025"/>
    </row>
    <row r="176" spans="1:29" ht="27.75" customHeight="1">
      <c r="A176" s="2986" t="s">
        <v>105</v>
      </c>
      <c r="B176" s="1223" t="s">
        <v>392</v>
      </c>
      <c r="C176" s="473" t="s">
        <v>98</v>
      </c>
      <c r="D176" s="572"/>
      <c r="E176" s="546"/>
      <c r="F176" s="547"/>
      <c r="G176" s="546"/>
      <c r="H176" s="546"/>
      <c r="I176" s="546"/>
      <c r="J176" s="546"/>
      <c r="K176" s="546"/>
      <c r="L176" s="546"/>
      <c r="M176" s="546"/>
      <c r="N176" s="546"/>
      <c r="O176" s="546"/>
      <c r="P176" s="548"/>
      <c r="Q176" s="548"/>
      <c r="R176" s="548"/>
      <c r="S176" s="548"/>
      <c r="T176" s="548"/>
      <c r="U176" s="548"/>
      <c r="V176" s="548"/>
      <c r="W176" s="548"/>
      <c r="X176" s="439"/>
      <c r="Y176" s="535"/>
      <c r="Z176" s="843"/>
    </row>
    <row r="177" spans="1:26" ht="12" customHeight="1">
      <c r="A177" s="2987"/>
      <c r="B177" s="505" t="s">
        <v>22</v>
      </c>
      <c r="C177" s="375"/>
      <c r="D177" s="1927">
        <f>+D178+D181</f>
        <v>28879881</v>
      </c>
      <c r="E177" s="1927">
        <f t="shared" ref="E177:P177" si="206">+E178+E181</f>
        <v>81977</v>
      </c>
      <c r="F177" s="1927">
        <f t="shared" si="206"/>
        <v>0</v>
      </c>
      <c r="G177" s="1927">
        <f t="shared" si="206"/>
        <v>0</v>
      </c>
      <c r="H177" s="1927">
        <f t="shared" si="206"/>
        <v>0</v>
      </c>
      <c r="I177" s="1927">
        <f t="shared" si="206"/>
        <v>521360</v>
      </c>
      <c r="J177" s="1927">
        <f t="shared" si="206"/>
        <v>92783</v>
      </c>
      <c r="K177" s="1927">
        <f t="shared" si="206"/>
        <v>861723</v>
      </c>
      <c r="L177" s="1927">
        <f t="shared" si="206"/>
        <v>7019176</v>
      </c>
      <c r="M177" s="1927">
        <f t="shared" ref="M177" si="207">+M178+M181</f>
        <v>28794965</v>
      </c>
      <c r="N177" s="1927">
        <f t="shared" si="206"/>
        <v>20217946</v>
      </c>
      <c r="O177" s="1549">
        <f t="shared" si="206"/>
        <v>14915</v>
      </c>
      <c r="P177" s="1927">
        <f t="shared" si="206"/>
        <v>70001</v>
      </c>
      <c r="Q177" s="1927"/>
      <c r="R177" s="1927"/>
      <c r="S177" s="1927"/>
      <c r="T177" s="1927"/>
      <c r="U177" s="1927"/>
      <c r="V177" s="1927"/>
      <c r="W177" s="1927"/>
      <c r="X177" s="1544">
        <f>+X178+X181</f>
        <v>70001</v>
      </c>
      <c r="Y177" s="2991" t="s">
        <v>104</v>
      </c>
    </row>
    <row r="178" spans="1:26" ht="13.5" customHeight="1">
      <c r="A178" s="2987"/>
      <c r="B178" s="528" t="s">
        <v>36</v>
      </c>
      <c r="C178" s="3024" t="s">
        <v>101</v>
      </c>
      <c r="D178" s="1928">
        <f>+D179+D180</f>
        <v>4785577</v>
      </c>
      <c r="E178" s="1928">
        <f t="shared" ref="E178:P178" si="208">+E179+E180</f>
        <v>0</v>
      </c>
      <c r="F178" s="1928">
        <f t="shared" si="208"/>
        <v>0</v>
      </c>
      <c r="G178" s="1928">
        <f t="shared" si="208"/>
        <v>0</v>
      </c>
      <c r="H178" s="1928">
        <f t="shared" si="208"/>
        <v>0</v>
      </c>
      <c r="I178" s="1928">
        <f t="shared" si="208"/>
        <v>154560</v>
      </c>
      <c r="J178" s="1928">
        <f t="shared" si="208"/>
        <v>66783</v>
      </c>
      <c r="K178" s="1928">
        <f t="shared" si="208"/>
        <v>18985</v>
      </c>
      <c r="L178" s="1928">
        <f t="shared" si="208"/>
        <v>772976</v>
      </c>
      <c r="M178" s="1928">
        <f t="shared" ref="M178" si="209">+M179+M180</f>
        <v>4700661</v>
      </c>
      <c r="N178" s="1928">
        <f t="shared" si="208"/>
        <v>3687357</v>
      </c>
      <c r="O178" s="1928">
        <f t="shared" si="208"/>
        <v>14915</v>
      </c>
      <c r="P178" s="1928">
        <f t="shared" si="208"/>
        <v>70001</v>
      </c>
      <c r="Q178" s="1928"/>
      <c r="R178" s="1928"/>
      <c r="S178" s="1928"/>
      <c r="T178" s="1928"/>
      <c r="U178" s="1928"/>
      <c r="V178" s="1928"/>
      <c r="W178" s="1928"/>
      <c r="X178" s="1929">
        <f>+X179+X180</f>
        <v>70001</v>
      </c>
      <c r="Y178" s="2991"/>
      <c r="Z178" s="843"/>
    </row>
    <row r="179" spans="1:26" ht="11.25" customHeight="1">
      <c r="A179" s="2987"/>
      <c r="B179" s="503" t="s">
        <v>24</v>
      </c>
      <c r="C179" s="2994"/>
      <c r="D179" s="1930">
        <f t="shared" ref="D179:D182" si="210">M179+O179+P179+Q179+R179+S179+T179+U179+V179+W179</f>
        <v>3785577</v>
      </c>
      <c r="E179" s="1548">
        <f>79518+2459-81977</f>
        <v>0</v>
      </c>
      <c r="F179" s="1931">
        <v>0</v>
      </c>
      <c r="G179" s="1550">
        <v>0</v>
      </c>
      <c r="H179" s="1550">
        <v>0</v>
      </c>
      <c r="I179" s="1550">
        <v>154560</v>
      </c>
      <c r="J179" s="1550">
        <v>66783</v>
      </c>
      <c r="K179" s="1550">
        <v>18985</v>
      </c>
      <c r="L179" s="1550">
        <f>2700000-2217033+514066-34101-189956</f>
        <v>772976</v>
      </c>
      <c r="M179" s="1932">
        <f>+E179+I179+J179+K179+L179+N179</f>
        <v>3700661</v>
      </c>
      <c r="N179" s="1550">
        <f>600000+2935934+34101-504029-361236-33703+16290</f>
        <v>2687357</v>
      </c>
      <c r="O179" s="1550">
        <f>175000+30300-120384-70001</f>
        <v>14915</v>
      </c>
      <c r="P179" s="1933">
        <v>70001</v>
      </c>
      <c r="Q179" s="1931"/>
      <c r="R179" s="1931"/>
      <c r="S179" s="1931"/>
      <c r="T179" s="1931"/>
      <c r="U179" s="1931"/>
      <c r="V179" s="1931"/>
      <c r="W179" s="1931"/>
      <c r="X179" s="1934">
        <f>SUM(P179:T179)</f>
        <v>70001</v>
      </c>
      <c r="Y179" s="2991"/>
      <c r="Z179" s="843"/>
    </row>
    <row r="180" spans="1:26" ht="11.25" customHeight="1">
      <c r="A180" s="2987"/>
      <c r="B180" s="503" t="s">
        <v>27</v>
      </c>
      <c r="C180" s="2994"/>
      <c r="D180" s="1930">
        <f t="shared" si="210"/>
        <v>1000000</v>
      </c>
      <c r="E180" s="1931"/>
      <c r="F180" s="1931"/>
      <c r="G180" s="1933"/>
      <c r="H180" s="1933"/>
      <c r="I180" s="1933"/>
      <c r="J180" s="1933"/>
      <c r="K180" s="1933"/>
      <c r="L180" s="1933"/>
      <c r="M180" s="1932">
        <f>+E180+I180+J180+K180+L180+N180</f>
        <v>1000000</v>
      </c>
      <c r="N180" s="1933">
        <v>1000000</v>
      </c>
      <c r="O180" s="1548"/>
      <c r="P180" s="1931"/>
      <c r="Q180" s="1931"/>
      <c r="R180" s="1931"/>
      <c r="S180" s="1931"/>
      <c r="T180" s="1931"/>
      <c r="U180" s="1931"/>
      <c r="V180" s="1931"/>
      <c r="W180" s="1931"/>
      <c r="X180" s="1934">
        <f>SUM(P180:T180)</f>
        <v>0</v>
      </c>
      <c r="Y180" s="2991"/>
      <c r="Z180" s="843"/>
    </row>
    <row r="181" spans="1:26" ht="11.25" customHeight="1">
      <c r="A181" s="2987"/>
      <c r="B181" s="504" t="s">
        <v>30</v>
      </c>
      <c r="C181" s="2994"/>
      <c r="D181" s="1935">
        <f>+D182</f>
        <v>24094304</v>
      </c>
      <c r="E181" s="1935">
        <f t="shared" ref="E181:P181" si="211">+E182</f>
        <v>81977</v>
      </c>
      <c r="F181" s="1935">
        <f t="shared" si="211"/>
        <v>0</v>
      </c>
      <c r="G181" s="1935">
        <f t="shared" si="211"/>
        <v>0</v>
      </c>
      <c r="H181" s="1935">
        <f t="shared" si="211"/>
        <v>0</v>
      </c>
      <c r="I181" s="1935">
        <f t="shared" si="211"/>
        <v>366800</v>
      </c>
      <c r="J181" s="1935">
        <f t="shared" si="211"/>
        <v>26000</v>
      </c>
      <c r="K181" s="1935">
        <f t="shared" si="211"/>
        <v>842738</v>
      </c>
      <c r="L181" s="1935">
        <f t="shared" si="211"/>
        <v>6246200</v>
      </c>
      <c r="M181" s="1935">
        <f t="shared" si="211"/>
        <v>24094304</v>
      </c>
      <c r="N181" s="1935">
        <f t="shared" si="211"/>
        <v>16530589</v>
      </c>
      <c r="O181" s="1545">
        <f t="shared" si="211"/>
        <v>0</v>
      </c>
      <c r="P181" s="1935">
        <f t="shared" si="211"/>
        <v>0</v>
      </c>
      <c r="Q181" s="1935"/>
      <c r="R181" s="1935"/>
      <c r="S181" s="1935"/>
      <c r="T181" s="1935"/>
      <c r="U181" s="1935"/>
      <c r="V181" s="1935"/>
      <c r="W181" s="1935"/>
      <c r="X181" s="1929">
        <f>+X182</f>
        <v>0</v>
      </c>
      <c r="Y181" s="2991"/>
    </row>
    <row r="182" spans="1:26" ht="11.25" customHeight="1">
      <c r="A182" s="2987"/>
      <c r="B182" s="1936" t="s">
        <v>33</v>
      </c>
      <c r="C182" s="3014"/>
      <c r="D182" s="1930">
        <f t="shared" si="210"/>
        <v>24094304</v>
      </c>
      <c r="E182" s="1937">
        <v>81977</v>
      </c>
      <c r="F182" s="1938">
        <v>0</v>
      </c>
      <c r="G182" s="1939">
        <v>0</v>
      </c>
      <c r="H182" s="1939">
        <v>0</v>
      </c>
      <c r="I182" s="1939">
        <v>366800</v>
      </c>
      <c r="J182" s="1939">
        <v>26000</v>
      </c>
      <c r="K182" s="1939">
        <v>842738</v>
      </c>
      <c r="L182" s="1937">
        <f>5217033-514066+1353277+189956</f>
        <v>6246200</v>
      </c>
      <c r="M182" s="1932">
        <f>+E182+I182+J182+K182+L182+N182</f>
        <v>24094304</v>
      </c>
      <c r="N182" s="1937">
        <f>24725124-6435934-1353277-170971-210286-7777-16290</f>
        <v>16530589</v>
      </c>
      <c r="O182" s="1937">
        <v>0</v>
      </c>
      <c r="P182" s="1938">
        <v>0</v>
      </c>
      <c r="Q182" s="1938"/>
      <c r="R182" s="1938"/>
      <c r="S182" s="1938"/>
      <c r="T182" s="1938"/>
      <c r="U182" s="1938"/>
      <c r="V182" s="1938"/>
      <c r="W182" s="1938"/>
      <c r="X182" s="1934">
        <f>SUM(P182:T182)</f>
        <v>0</v>
      </c>
      <c r="Y182" s="3004"/>
    </row>
    <row r="183" spans="1:26" s="988" customFormat="1" ht="11.25" customHeight="1">
      <c r="A183" s="2988"/>
      <c r="B183" s="505" t="s">
        <v>34</v>
      </c>
      <c r="C183" s="375"/>
      <c r="D183" s="1940">
        <f>+D186+D184</f>
        <v>25094304</v>
      </c>
      <c r="E183" s="1940">
        <f t="shared" ref="E183:P183" si="212">+E186+E184</f>
        <v>0</v>
      </c>
      <c r="F183" s="1940">
        <f t="shared" si="212"/>
        <v>0</v>
      </c>
      <c r="G183" s="1940">
        <f t="shared" si="212"/>
        <v>0</v>
      </c>
      <c r="H183" s="1940">
        <f t="shared" si="212"/>
        <v>0</v>
      </c>
      <c r="I183" s="1940">
        <f t="shared" si="212"/>
        <v>0</v>
      </c>
      <c r="J183" s="1940">
        <f t="shared" si="212"/>
        <v>0</v>
      </c>
      <c r="K183" s="1940">
        <f t="shared" si="212"/>
        <v>0</v>
      </c>
      <c r="L183" s="1940">
        <f t="shared" si="212"/>
        <v>0</v>
      </c>
      <c r="M183" s="1940">
        <f t="shared" ref="M183" si="213">+M186+M184</f>
        <v>25094304</v>
      </c>
      <c r="N183" s="1940">
        <f t="shared" si="212"/>
        <v>25094304</v>
      </c>
      <c r="O183" s="1940">
        <f t="shared" si="212"/>
        <v>0</v>
      </c>
      <c r="P183" s="1940">
        <f t="shared" si="212"/>
        <v>0</v>
      </c>
      <c r="Q183" s="1940"/>
      <c r="R183" s="1940"/>
      <c r="S183" s="1940"/>
      <c r="T183" s="1940"/>
      <c r="U183" s="1940"/>
      <c r="V183" s="1940"/>
      <c r="W183" s="1940"/>
      <c r="X183" s="3046" t="s">
        <v>35</v>
      </c>
      <c r="Y183" s="3045" t="s">
        <v>122</v>
      </c>
    </row>
    <row r="184" spans="1:26" ht="13.5" customHeight="1">
      <c r="A184" s="2988"/>
      <c r="B184" s="2645" t="s">
        <v>36</v>
      </c>
      <c r="C184" s="3024" t="s">
        <v>102</v>
      </c>
      <c r="D184" s="465">
        <f>+D185</f>
        <v>1000000</v>
      </c>
      <c r="E184" s="465">
        <f t="shared" ref="E184:P184" si="214">+E185</f>
        <v>0</v>
      </c>
      <c r="F184" s="465">
        <f t="shared" si="214"/>
        <v>0</v>
      </c>
      <c r="G184" s="465">
        <f t="shared" si="214"/>
        <v>0</v>
      </c>
      <c r="H184" s="465">
        <f t="shared" si="214"/>
        <v>0</v>
      </c>
      <c r="I184" s="465">
        <f t="shared" si="214"/>
        <v>0</v>
      </c>
      <c r="J184" s="465">
        <f t="shared" si="214"/>
        <v>0</v>
      </c>
      <c r="K184" s="465">
        <f t="shared" si="214"/>
        <v>0</v>
      </c>
      <c r="L184" s="465">
        <f t="shared" si="214"/>
        <v>0</v>
      </c>
      <c r="M184" s="465">
        <f t="shared" si="214"/>
        <v>1000000</v>
      </c>
      <c r="N184" s="465">
        <f t="shared" si="214"/>
        <v>1000000</v>
      </c>
      <c r="O184" s="465">
        <f t="shared" si="214"/>
        <v>0</v>
      </c>
      <c r="P184" s="465">
        <f t="shared" si="214"/>
        <v>0</v>
      </c>
      <c r="Q184" s="465"/>
      <c r="R184" s="465"/>
      <c r="S184" s="465"/>
      <c r="T184" s="465"/>
      <c r="U184" s="465"/>
      <c r="V184" s="465"/>
      <c r="W184" s="465"/>
      <c r="X184" s="3047"/>
      <c r="Y184" s="3033"/>
    </row>
    <row r="185" spans="1:26" ht="11.25" customHeight="1">
      <c r="A185" s="2988"/>
      <c r="B185" s="542" t="s">
        <v>27</v>
      </c>
      <c r="C185" s="2980"/>
      <c r="D185" s="1930">
        <f t="shared" ref="D185" si="215">M185+O185+P185+Q185+R185+S185+T185+U185+V185+W185</f>
        <v>1000000</v>
      </c>
      <c r="E185" s="1547">
        <f>+F185+G185+H185</f>
        <v>0</v>
      </c>
      <c r="F185" s="1547">
        <v>0</v>
      </c>
      <c r="G185" s="1547">
        <v>0</v>
      </c>
      <c r="H185" s="1547">
        <v>0</v>
      </c>
      <c r="I185" s="1547">
        <v>0</v>
      </c>
      <c r="J185" s="1547">
        <v>0</v>
      </c>
      <c r="K185" s="1547">
        <v>0</v>
      </c>
      <c r="L185" s="1547">
        <v>0</v>
      </c>
      <c r="M185" s="1932">
        <f>+E185+I185+J185+K185+L185+N185</f>
        <v>1000000</v>
      </c>
      <c r="N185" s="1547">
        <v>1000000</v>
      </c>
      <c r="O185" s="1547">
        <v>0</v>
      </c>
      <c r="P185" s="1547">
        <v>0</v>
      </c>
      <c r="Q185" s="1547"/>
      <c r="R185" s="1547"/>
      <c r="S185" s="1547"/>
      <c r="T185" s="1547"/>
      <c r="U185" s="1547"/>
      <c r="V185" s="1547"/>
      <c r="W185" s="1547"/>
      <c r="X185" s="3047"/>
      <c r="Y185" s="3033"/>
    </row>
    <row r="186" spans="1:26" s="990" customFormat="1">
      <c r="A186" s="2988"/>
      <c r="B186" s="504" t="s">
        <v>30</v>
      </c>
      <c r="C186" s="2980"/>
      <c r="D186" s="1942">
        <f>+D187</f>
        <v>24094304</v>
      </c>
      <c r="E186" s="1942">
        <f t="shared" ref="E186:P186" si="216">+E187</f>
        <v>0</v>
      </c>
      <c r="F186" s="1942">
        <f t="shared" si="216"/>
        <v>0</v>
      </c>
      <c r="G186" s="1942">
        <f t="shared" si="216"/>
        <v>0</v>
      </c>
      <c r="H186" s="1942">
        <f t="shared" si="216"/>
        <v>0</v>
      </c>
      <c r="I186" s="1942">
        <f t="shared" si="216"/>
        <v>0</v>
      </c>
      <c r="J186" s="1942">
        <f t="shared" si="216"/>
        <v>0</v>
      </c>
      <c r="K186" s="1942">
        <f t="shared" si="216"/>
        <v>0</v>
      </c>
      <c r="L186" s="1942">
        <f t="shared" si="216"/>
        <v>0</v>
      </c>
      <c r="M186" s="1942">
        <f t="shared" si="216"/>
        <v>24094304</v>
      </c>
      <c r="N186" s="1942">
        <f t="shared" si="216"/>
        <v>24094304</v>
      </c>
      <c r="O186" s="1943">
        <f t="shared" si="216"/>
        <v>0</v>
      </c>
      <c r="P186" s="1942">
        <f t="shared" si="216"/>
        <v>0</v>
      </c>
      <c r="Q186" s="1942"/>
      <c r="R186" s="1942"/>
      <c r="S186" s="1942"/>
      <c r="T186" s="1942"/>
      <c r="U186" s="1942"/>
      <c r="V186" s="1942"/>
      <c r="W186" s="1942"/>
      <c r="X186" s="3047"/>
      <c r="Y186" s="3033"/>
    </row>
    <row r="187" spans="1:26" s="988" customFormat="1" ht="13.5" thickBot="1">
      <c r="A187" s="2989"/>
      <c r="B187" s="512" t="s">
        <v>33</v>
      </c>
      <c r="C187" s="3016"/>
      <c r="D187" s="1221">
        <f>M187+O187+P187+Q187+R187+S187+T187+U187+V187+W187</f>
        <v>24094304</v>
      </c>
      <c r="E187" s="491">
        <f>+F187+G187+H187</f>
        <v>0</v>
      </c>
      <c r="F187" s="534">
        <v>0</v>
      </c>
      <c r="G187" s="534">
        <v>0</v>
      </c>
      <c r="H187" s="534">
        <v>0</v>
      </c>
      <c r="I187" s="534">
        <v>0</v>
      </c>
      <c r="J187" s="534">
        <v>0</v>
      </c>
      <c r="K187" s="534">
        <v>0</v>
      </c>
      <c r="L187" s="534">
        <f>4000000-500000-3500000</f>
        <v>0</v>
      </c>
      <c r="M187" s="1221">
        <f>+E187+I187+J187+K187+L187+N187</f>
        <v>24094304</v>
      </c>
      <c r="N187" s="534">
        <f>25000000-5950000+3500000+1623178-54807-7777-16290</f>
        <v>24094304</v>
      </c>
      <c r="O187" s="534">
        <f>2500000-500000-1844521-155479</f>
        <v>0</v>
      </c>
      <c r="P187" s="1071">
        <v>0</v>
      </c>
      <c r="Q187" s="1071"/>
      <c r="R187" s="1071"/>
      <c r="S187" s="1071"/>
      <c r="T187" s="1071"/>
      <c r="U187" s="1071"/>
      <c r="V187" s="1071"/>
      <c r="W187" s="1071"/>
      <c r="X187" s="3048"/>
      <c r="Y187" s="3034"/>
    </row>
    <row r="188" spans="1:26" ht="26.25" customHeight="1">
      <c r="A188" s="2986" t="s">
        <v>106</v>
      </c>
      <c r="B188" s="1223" t="s">
        <v>602</v>
      </c>
      <c r="C188" s="434" t="s">
        <v>98</v>
      </c>
      <c r="D188" s="572"/>
      <c r="E188" s="547"/>
      <c r="F188" s="547"/>
      <c r="G188" s="546"/>
      <c r="H188" s="546"/>
      <c r="I188" s="546"/>
      <c r="J188" s="546"/>
      <c r="K188" s="546"/>
      <c r="L188" s="546"/>
      <c r="M188" s="548"/>
      <c r="N188" s="548"/>
      <c r="O188" s="548"/>
      <c r="P188" s="548"/>
      <c r="Q188" s="548"/>
      <c r="R188" s="548"/>
      <c r="S188" s="548"/>
      <c r="T188" s="548"/>
      <c r="U188" s="548"/>
      <c r="V188" s="548"/>
      <c r="W188" s="548"/>
      <c r="X188" s="1225"/>
      <c r="Y188" s="535"/>
    </row>
    <row r="189" spans="1:26" ht="13.5" customHeight="1">
      <c r="A189" s="2987"/>
      <c r="B189" s="505" t="s">
        <v>22</v>
      </c>
      <c r="C189" s="375"/>
      <c r="D189" s="2627">
        <f>+D190+D192</f>
        <v>44204727</v>
      </c>
      <c r="E189" s="2627">
        <f t="shared" ref="E189:P189" si="217">+E190+E192</f>
        <v>45985</v>
      </c>
      <c r="F189" s="2627">
        <f t="shared" si="217"/>
        <v>0</v>
      </c>
      <c r="G189" s="2627">
        <f t="shared" si="217"/>
        <v>0</v>
      </c>
      <c r="H189" s="2627">
        <f t="shared" si="217"/>
        <v>0</v>
      </c>
      <c r="I189" s="2627">
        <f t="shared" si="217"/>
        <v>81340</v>
      </c>
      <c r="J189" s="2627">
        <f t="shared" si="217"/>
        <v>498045</v>
      </c>
      <c r="K189" s="2627">
        <f t="shared" si="217"/>
        <v>0</v>
      </c>
      <c r="L189" s="2627">
        <f t="shared" si="217"/>
        <v>14965</v>
      </c>
      <c r="M189" s="2627">
        <f t="shared" ref="M189" si="218">+M190+M192</f>
        <v>6211821</v>
      </c>
      <c r="N189" s="2627">
        <f t="shared" si="217"/>
        <v>5571486</v>
      </c>
      <c r="O189" s="2627">
        <f t="shared" si="217"/>
        <v>37942906</v>
      </c>
      <c r="P189" s="2627">
        <f t="shared" si="217"/>
        <v>50000</v>
      </c>
      <c r="Q189" s="2627"/>
      <c r="R189" s="2627"/>
      <c r="S189" s="2627"/>
      <c r="T189" s="2627"/>
      <c r="U189" s="2627"/>
      <c r="V189" s="2627"/>
      <c r="W189" s="2627"/>
      <c r="X189" s="2628">
        <f>+X190+X192</f>
        <v>50000</v>
      </c>
      <c r="Y189" s="2991" t="s">
        <v>104</v>
      </c>
      <c r="Z189" s="987">
        <f>+O189+P189</f>
        <v>37992906</v>
      </c>
    </row>
    <row r="190" spans="1:26" ht="13.5" customHeight="1">
      <c r="A190" s="2987"/>
      <c r="B190" s="528" t="s">
        <v>36</v>
      </c>
      <c r="C190" s="3043" t="s">
        <v>101</v>
      </c>
      <c r="D190" s="2629">
        <f>+D191</f>
        <v>2490369</v>
      </c>
      <c r="E190" s="2629">
        <f t="shared" ref="E190:P190" si="219">+E191</f>
        <v>45985</v>
      </c>
      <c r="F190" s="2629">
        <f t="shared" si="219"/>
        <v>0</v>
      </c>
      <c r="G190" s="2629">
        <f t="shared" si="219"/>
        <v>0</v>
      </c>
      <c r="H190" s="2629">
        <f t="shared" si="219"/>
        <v>0</v>
      </c>
      <c r="I190" s="2629">
        <f t="shared" si="219"/>
        <v>0</v>
      </c>
      <c r="J190" s="2629">
        <f t="shared" si="219"/>
        <v>10005</v>
      </c>
      <c r="K190" s="2629">
        <f t="shared" si="219"/>
        <v>0</v>
      </c>
      <c r="L190" s="2629">
        <f t="shared" si="219"/>
        <v>0</v>
      </c>
      <c r="M190" s="2629">
        <f t="shared" si="219"/>
        <v>111462</v>
      </c>
      <c r="N190" s="2629">
        <f t="shared" si="219"/>
        <v>55472</v>
      </c>
      <c r="O190" s="2629">
        <f t="shared" si="219"/>
        <v>2328907</v>
      </c>
      <c r="P190" s="2629">
        <f t="shared" si="219"/>
        <v>50000</v>
      </c>
      <c r="Q190" s="2629"/>
      <c r="R190" s="2629"/>
      <c r="S190" s="2629"/>
      <c r="T190" s="2629"/>
      <c r="U190" s="2629"/>
      <c r="V190" s="2629"/>
      <c r="W190" s="2629"/>
      <c r="X190" s="2630">
        <f>+X191</f>
        <v>50000</v>
      </c>
      <c r="Y190" s="2991"/>
      <c r="Z190" s="843"/>
    </row>
    <row r="191" spans="1:26" ht="13.5" customHeight="1">
      <c r="A191" s="2987"/>
      <c r="B191" s="503" t="s">
        <v>24</v>
      </c>
      <c r="C191" s="2994"/>
      <c r="D191" s="2631">
        <f t="shared" ref="D191" si="220">M191+O191+P191+Q191+R191+S191+T191+U191+V191+W191</f>
        <v>2490369</v>
      </c>
      <c r="E191" s="2632">
        <v>45985</v>
      </c>
      <c r="F191" s="2632">
        <v>0</v>
      </c>
      <c r="G191" s="2633"/>
      <c r="H191" s="2633">
        <v>0</v>
      </c>
      <c r="I191" s="2633">
        <v>0</v>
      </c>
      <c r="J191" s="2633">
        <v>10005</v>
      </c>
      <c r="K191" s="2633"/>
      <c r="L191" s="2633">
        <v>0</v>
      </c>
      <c r="M191" s="2634">
        <f>+E191+I191+J191+K191+L191+N191</f>
        <v>111462</v>
      </c>
      <c r="N191" s="2632">
        <f>7161720-7134721+16419+12054</f>
        <v>55472</v>
      </c>
      <c r="O191" s="2632">
        <f>22109790+1683456+807937-19380934-1550147-964153-100000-277042</f>
        <v>2328907</v>
      </c>
      <c r="P191" s="2632">
        <f>40000+10000</f>
        <v>50000</v>
      </c>
      <c r="Q191" s="2632"/>
      <c r="R191" s="2632"/>
      <c r="S191" s="2635"/>
      <c r="T191" s="2635"/>
      <c r="U191" s="2635"/>
      <c r="V191" s="2635"/>
      <c r="W191" s="2635"/>
      <c r="X191" s="2636">
        <f>SUM(P191:T191)</f>
        <v>50000</v>
      </c>
      <c r="Y191" s="2991"/>
    </row>
    <row r="192" spans="1:26" ht="13.5" customHeight="1">
      <c r="A192" s="2987"/>
      <c r="B192" s="504" t="s">
        <v>30</v>
      </c>
      <c r="C192" s="2994"/>
      <c r="D192" s="2637">
        <f>+D193</f>
        <v>41714358</v>
      </c>
      <c r="E192" s="2637">
        <f t="shared" ref="E192:P192" si="221">+E193</f>
        <v>0</v>
      </c>
      <c r="F192" s="2637">
        <f t="shared" si="221"/>
        <v>0</v>
      </c>
      <c r="G192" s="2637">
        <f t="shared" si="221"/>
        <v>0</v>
      </c>
      <c r="H192" s="2637">
        <f t="shared" si="221"/>
        <v>0</v>
      </c>
      <c r="I192" s="2637">
        <f t="shared" si="221"/>
        <v>81340</v>
      </c>
      <c r="J192" s="2637">
        <f t="shared" si="221"/>
        <v>488040</v>
      </c>
      <c r="K192" s="2637">
        <f t="shared" si="221"/>
        <v>0</v>
      </c>
      <c r="L192" s="2637">
        <f t="shared" si="221"/>
        <v>14965</v>
      </c>
      <c r="M192" s="2637">
        <f t="shared" si="221"/>
        <v>6100359</v>
      </c>
      <c r="N192" s="2637">
        <f t="shared" si="221"/>
        <v>5516014</v>
      </c>
      <c r="O192" s="2637">
        <f t="shared" si="221"/>
        <v>35613999</v>
      </c>
      <c r="P192" s="2637">
        <f t="shared" si="221"/>
        <v>0</v>
      </c>
      <c r="Q192" s="2637"/>
      <c r="R192" s="2637"/>
      <c r="S192" s="2637"/>
      <c r="T192" s="2637"/>
      <c r="U192" s="2637"/>
      <c r="V192" s="2637"/>
      <c r="W192" s="2637"/>
      <c r="X192" s="2630">
        <f>+X193</f>
        <v>0</v>
      </c>
      <c r="Y192" s="2991"/>
    </row>
    <row r="193" spans="1:26" ht="13.5" customHeight="1">
      <c r="A193" s="2987"/>
      <c r="B193" s="2646" t="s">
        <v>33</v>
      </c>
      <c r="C193" s="2994"/>
      <c r="D193" s="2631">
        <f t="shared" ref="D193" si="222">M193+O193+P193+Q193+R193+S193+T193+U193+V193+W193</f>
        <v>41714358</v>
      </c>
      <c r="E193" s="2632"/>
      <c r="F193" s="2635">
        <v>0</v>
      </c>
      <c r="G193" s="2638"/>
      <c r="H193" s="2633">
        <v>0</v>
      </c>
      <c r="I193" s="2633">
        <v>81340</v>
      </c>
      <c r="J193" s="2633">
        <v>488040</v>
      </c>
      <c r="K193" s="2633"/>
      <c r="L193" s="2632">
        <v>14965</v>
      </c>
      <c r="M193" s="2634">
        <f>+E193+I193+J193+K193+L193+N193</f>
        <v>6100359</v>
      </c>
      <c r="N193" s="2632">
        <f>2000000-453540+3998027-16419-12054</f>
        <v>5516014</v>
      </c>
      <c r="O193" s="2632">
        <f>10900000+453540+22517628+2459854-22346-666969-27708</f>
        <v>35613999</v>
      </c>
      <c r="P193" s="2632">
        <v>0</v>
      </c>
      <c r="Q193" s="2632"/>
      <c r="R193" s="2632"/>
      <c r="S193" s="2635"/>
      <c r="T193" s="2635"/>
      <c r="U193" s="2635"/>
      <c r="V193" s="2635"/>
      <c r="W193" s="2635"/>
      <c r="X193" s="2636">
        <f>SUM(P193:T193)</f>
        <v>0</v>
      </c>
      <c r="Y193" s="3004"/>
    </row>
    <row r="194" spans="1:26" s="988" customFormat="1" ht="12.75" customHeight="1">
      <c r="A194" s="2988"/>
      <c r="B194" s="374" t="s">
        <v>34</v>
      </c>
      <c r="C194" s="375"/>
      <c r="D194" s="2639">
        <f>+D195</f>
        <v>41714358</v>
      </c>
      <c r="E194" s="2639">
        <f t="shared" ref="E194:P195" si="223">+E195</f>
        <v>0</v>
      </c>
      <c r="F194" s="2639">
        <f t="shared" si="223"/>
        <v>0</v>
      </c>
      <c r="G194" s="2639">
        <f t="shared" si="223"/>
        <v>0</v>
      </c>
      <c r="H194" s="2639">
        <f t="shared" si="223"/>
        <v>0</v>
      </c>
      <c r="I194" s="2639">
        <f t="shared" si="223"/>
        <v>0</v>
      </c>
      <c r="J194" s="2639">
        <f t="shared" si="223"/>
        <v>0</v>
      </c>
      <c r="K194" s="2639">
        <f t="shared" si="223"/>
        <v>0</v>
      </c>
      <c r="L194" s="2639">
        <f t="shared" si="223"/>
        <v>0</v>
      </c>
      <c r="M194" s="2639">
        <f t="shared" si="223"/>
        <v>0</v>
      </c>
      <c r="N194" s="2639">
        <f t="shared" si="223"/>
        <v>0</v>
      </c>
      <c r="O194" s="2639">
        <f t="shared" si="223"/>
        <v>41667796</v>
      </c>
      <c r="P194" s="2639">
        <f t="shared" si="223"/>
        <v>46562</v>
      </c>
      <c r="Q194" s="2639"/>
      <c r="R194" s="2639"/>
      <c r="S194" s="2639"/>
      <c r="T194" s="2639"/>
      <c r="U194" s="2639"/>
      <c r="V194" s="2639"/>
      <c r="W194" s="2639"/>
      <c r="X194" s="2951" t="s">
        <v>35</v>
      </c>
      <c r="Y194" s="3044" t="s">
        <v>122</v>
      </c>
      <c r="Z194" s="987"/>
    </row>
    <row r="195" spans="1:26" s="990" customFormat="1" ht="12.75" customHeight="1">
      <c r="A195" s="2988"/>
      <c r="B195" s="518" t="s">
        <v>30</v>
      </c>
      <c r="C195" s="3043" t="s">
        <v>102</v>
      </c>
      <c r="D195" s="2640">
        <f>+D196</f>
        <v>41714358</v>
      </c>
      <c r="E195" s="2641">
        <f t="shared" si="223"/>
        <v>0</v>
      </c>
      <c r="F195" s="2641">
        <f t="shared" si="223"/>
        <v>0</v>
      </c>
      <c r="G195" s="2641">
        <f t="shared" si="223"/>
        <v>0</v>
      </c>
      <c r="H195" s="2641">
        <f t="shared" si="223"/>
        <v>0</v>
      </c>
      <c r="I195" s="2641">
        <f t="shared" si="223"/>
        <v>0</v>
      </c>
      <c r="J195" s="2641">
        <f t="shared" si="223"/>
        <v>0</v>
      </c>
      <c r="K195" s="2641">
        <f t="shared" si="223"/>
        <v>0</v>
      </c>
      <c r="L195" s="2641">
        <f t="shared" si="223"/>
        <v>0</v>
      </c>
      <c r="M195" s="2641">
        <f t="shared" si="223"/>
        <v>0</v>
      </c>
      <c r="N195" s="2641">
        <f t="shared" si="223"/>
        <v>0</v>
      </c>
      <c r="O195" s="2640">
        <f t="shared" si="223"/>
        <v>41667796</v>
      </c>
      <c r="P195" s="2640">
        <f t="shared" si="223"/>
        <v>46562</v>
      </c>
      <c r="Q195" s="2640"/>
      <c r="R195" s="2641"/>
      <c r="S195" s="2641"/>
      <c r="T195" s="2641"/>
      <c r="U195" s="2641"/>
      <c r="V195" s="2641"/>
      <c r="W195" s="2641"/>
      <c r="X195" s="2943"/>
      <c r="Y195" s="3033"/>
    </row>
    <row r="196" spans="1:26" s="990" customFormat="1" ht="12.75" customHeight="1" thickBot="1">
      <c r="A196" s="2989"/>
      <c r="B196" s="573" t="s">
        <v>33</v>
      </c>
      <c r="C196" s="2995"/>
      <c r="D196" s="2642">
        <f t="shared" ref="D196" si="224">M196+O196+P196+Q196+R196+S196+T196+U196+V196+W196</f>
        <v>41714358</v>
      </c>
      <c r="E196" s="565">
        <f>+F196+G196+H196</f>
        <v>0</v>
      </c>
      <c r="F196" s="566">
        <v>0</v>
      </c>
      <c r="G196" s="565">
        <v>0</v>
      </c>
      <c r="H196" s="565">
        <v>0</v>
      </c>
      <c r="I196" s="565">
        <v>0</v>
      </c>
      <c r="J196" s="565">
        <v>0</v>
      </c>
      <c r="K196" s="565">
        <v>0</v>
      </c>
      <c r="L196" s="565">
        <v>0</v>
      </c>
      <c r="M196" s="1221">
        <f>+E196+I196+J196+K196+L196+N196</f>
        <v>0</v>
      </c>
      <c r="N196" s="565">
        <v>0</v>
      </c>
      <c r="O196" s="567">
        <f>40000000+1750000-73279-8925</f>
        <v>41667796</v>
      </c>
      <c r="P196" s="1226">
        <f>2459854-1788765-593690-30837</f>
        <v>46562</v>
      </c>
      <c r="Q196" s="1226"/>
      <c r="R196" s="568"/>
      <c r="S196" s="568"/>
      <c r="T196" s="568"/>
      <c r="U196" s="568"/>
      <c r="V196" s="568"/>
      <c r="W196" s="568"/>
      <c r="X196" s="2944"/>
      <c r="Y196" s="3034"/>
    </row>
    <row r="197" spans="1:26" ht="26.25" hidden="1" customHeight="1">
      <c r="A197" s="2986" t="s">
        <v>107</v>
      </c>
      <c r="B197" s="1072">
        <v>0</v>
      </c>
      <c r="C197" s="434" t="s">
        <v>98</v>
      </c>
      <c r="D197" s="572"/>
      <c r="E197" s="547"/>
      <c r="F197" s="547"/>
      <c r="G197" s="546"/>
      <c r="H197" s="546"/>
      <c r="I197" s="546"/>
      <c r="J197" s="546"/>
      <c r="K197" s="546"/>
      <c r="L197" s="546"/>
      <c r="M197" s="548"/>
      <c r="N197" s="548"/>
      <c r="O197" s="548"/>
      <c r="P197" s="548"/>
      <c r="Q197" s="548"/>
      <c r="R197" s="548"/>
      <c r="S197" s="548"/>
      <c r="T197" s="548"/>
      <c r="U197" s="548"/>
      <c r="V197" s="548"/>
      <c r="W197" s="548"/>
      <c r="X197" s="439"/>
      <c r="Y197" s="535"/>
    </row>
    <row r="198" spans="1:26" ht="13.5" hidden="1" customHeight="1">
      <c r="A198" s="2987"/>
      <c r="B198" s="374" t="s">
        <v>22</v>
      </c>
      <c r="C198" s="375"/>
      <c r="D198" s="2382">
        <f>+D199+D201</f>
        <v>0</v>
      </c>
      <c r="E198" s="2382">
        <f t="shared" ref="E198:P198" si="225">+E199+E201</f>
        <v>0</v>
      </c>
      <c r="F198" s="2382">
        <f t="shared" si="225"/>
        <v>0</v>
      </c>
      <c r="G198" s="2382">
        <f t="shared" si="225"/>
        <v>0</v>
      </c>
      <c r="H198" s="2382">
        <f t="shared" si="225"/>
        <v>0</v>
      </c>
      <c r="I198" s="2382">
        <f t="shared" si="225"/>
        <v>0</v>
      </c>
      <c r="J198" s="2382">
        <f t="shared" si="225"/>
        <v>0</v>
      </c>
      <c r="K198" s="2382">
        <f t="shared" si="225"/>
        <v>0</v>
      </c>
      <c r="L198" s="2382">
        <f t="shared" si="225"/>
        <v>0</v>
      </c>
      <c r="M198" s="2382">
        <f t="shared" ref="M198" si="226">+M199+M201</f>
        <v>0</v>
      </c>
      <c r="N198" s="2382">
        <f t="shared" si="225"/>
        <v>0</v>
      </c>
      <c r="O198" s="2382">
        <f t="shared" si="225"/>
        <v>0</v>
      </c>
      <c r="P198" s="2382">
        <f t="shared" si="225"/>
        <v>0</v>
      </c>
      <c r="Q198" s="2382"/>
      <c r="R198" s="2382"/>
      <c r="S198" s="2382"/>
      <c r="T198" s="2382"/>
      <c r="U198" s="2382"/>
      <c r="V198" s="2382"/>
      <c r="W198" s="2382"/>
      <c r="X198" s="2383">
        <f>+X199+X201</f>
        <v>0</v>
      </c>
      <c r="Y198" s="2991" t="s">
        <v>104</v>
      </c>
      <c r="Z198" s="843"/>
    </row>
    <row r="199" spans="1:26" ht="13.5" hidden="1" customHeight="1">
      <c r="A199" s="2987"/>
      <c r="B199" s="526" t="s">
        <v>36</v>
      </c>
      <c r="C199" s="3024" t="s">
        <v>101</v>
      </c>
      <c r="D199" s="2395">
        <f>+D200</f>
        <v>0</v>
      </c>
      <c r="E199" s="2395">
        <f t="shared" ref="E199:P199" si="227">+E200</f>
        <v>0</v>
      </c>
      <c r="F199" s="2395">
        <f t="shared" si="227"/>
        <v>0</v>
      </c>
      <c r="G199" s="2395">
        <f t="shared" si="227"/>
        <v>0</v>
      </c>
      <c r="H199" s="2395">
        <f t="shared" si="227"/>
        <v>0</v>
      </c>
      <c r="I199" s="2395">
        <f t="shared" si="227"/>
        <v>0</v>
      </c>
      <c r="J199" s="2395">
        <f t="shared" si="227"/>
        <v>0</v>
      </c>
      <c r="K199" s="2395">
        <f t="shared" si="227"/>
        <v>0</v>
      </c>
      <c r="L199" s="2395">
        <f t="shared" si="227"/>
        <v>0</v>
      </c>
      <c r="M199" s="2395">
        <f t="shared" si="227"/>
        <v>0</v>
      </c>
      <c r="N199" s="2395">
        <f t="shared" si="227"/>
        <v>0</v>
      </c>
      <c r="O199" s="2395">
        <f t="shared" si="227"/>
        <v>0</v>
      </c>
      <c r="P199" s="2395">
        <f t="shared" si="227"/>
        <v>0</v>
      </c>
      <c r="Q199" s="2395"/>
      <c r="R199" s="2395"/>
      <c r="S199" s="2395"/>
      <c r="T199" s="2395"/>
      <c r="U199" s="2395"/>
      <c r="V199" s="2395"/>
      <c r="W199" s="2395"/>
      <c r="X199" s="2385">
        <f>+X200</f>
        <v>0</v>
      </c>
      <c r="Y199" s="2991"/>
      <c r="Z199" s="843"/>
    </row>
    <row r="200" spans="1:26" ht="13.5" hidden="1" customHeight="1" thickBot="1">
      <c r="A200" s="3023"/>
      <c r="B200" s="2065" t="s">
        <v>24</v>
      </c>
      <c r="C200" s="3016"/>
      <c r="D200" s="1222">
        <f t="shared" ref="D200" si="228">M200+O200+P200+Q200+R200+S200+T200+U200+V200+W200</f>
        <v>0</v>
      </c>
      <c r="E200" s="491">
        <f>+F200+G200+H200</f>
        <v>0</v>
      </c>
      <c r="F200" s="492">
        <v>0</v>
      </c>
      <c r="G200" s="491">
        <v>0</v>
      </c>
      <c r="H200" s="491">
        <v>0</v>
      </c>
      <c r="I200" s="497">
        <v>0</v>
      </c>
      <c r="J200" s="497">
        <v>0</v>
      </c>
      <c r="K200" s="497">
        <v>0</v>
      </c>
      <c r="L200" s="497">
        <f>4000000-4000000</f>
        <v>0</v>
      </c>
      <c r="M200" s="1221">
        <f>+E200+I200+J200+K200+L200+N200</f>
        <v>0</v>
      </c>
      <c r="N200" s="497">
        <f>4000000-1000000-3000000</f>
        <v>0</v>
      </c>
      <c r="O200" s="497">
        <f>3000000-3000000</f>
        <v>0</v>
      </c>
      <c r="P200" s="917">
        <v>0</v>
      </c>
      <c r="Q200" s="492"/>
      <c r="R200" s="492"/>
      <c r="S200" s="492"/>
      <c r="T200" s="492"/>
      <c r="U200" s="492"/>
      <c r="V200" s="492"/>
      <c r="W200" s="492"/>
      <c r="X200" s="774">
        <f>SUM(P200:T200)</f>
        <v>0</v>
      </c>
      <c r="Y200" s="3025"/>
    </row>
    <row r="201" spans="1:26" ht="13.5" hidden="1" customHeight="1" thickBot="1">
      <c r="A201" s="2419"/>
      <c r="B201" s="2469" t="s">
        <v>30</v>
      </c>
      <c r="C201" s="2420"/>
      <c r="D201" s="2470">
        <f>+D202</f>
        <v>0</v>
      </c>
      <c r="E201" s="2470">
        <f t="shared" ref="E201:P201" si="229">+E202</f>
        <v>0</v>
      </c>
      <c r="F201" s="2470">
        <f t="shared" si="229"/>
        <v>0</v>
      </c>
      <c r="G201" s="2470">
        <f t="shared" si="229"/>
        <v>0</v>
      </c>
      <c r="H201" s="2470">
        <f t="shared" si="229"/>
        <v>0</v>
      </c>
      <c r="I201" s="2470">
        <f t="shared" si="229"/>
        <v>0</v>
      </c>
      <c r="J201" s="2470">
        <f t="shared" si="229"/>
        <v>0</v>
      </c>
      <c r="K201" s="2470">
        <f t="shared" si="229"/>
        <v>0</v>
      </c>
      <c r="L201" s="2470">
        <f t="shared" si="229"/>
        <v>0</v>
      </c>
      <c r="M201" s="2470">
        <f t="shared" si="229"/>
        <v>0</v>
      </c>
      <c r="N201" s="2470">
        <f t="shared" si="229"/>
        <v>0</v>
      </c>
      <c r="O201" s="2470">
        <f t="shared" si="229"/>
        <v>0</v>
      </c>
      <c r="P201" s="2470">
        <f t="shared" si="229"/>
        <v>0</v>
      </c>
      <c r="Q201" s="2470"/>
      <c r="R201" s="2470"/>
      <c r="S201" s="2470"/>
      <c r="T201" s="2470"/>
      <c r="U201" s="2470"/>
      <c r="V201" s="2470"/>
      <c r="W201" s="2470"/>
      <c r="X201" s="2471">
        <f>+X202</f>
        <v>0</v>
      </c>
      <c r="Y201" s="2468"/>
    </row>
    <row r="202" spans="1:26" ht="13.5" hidden="1" customHeight="1" thickBot="1">
      <c r="A202" s="2419"/>
      <c r="B202" s="2464" t="s">
        <v>33</v>
      </c>
      <c r="C202" s="2420"/>
      <c r="D202" s="2465">
        <f t="shared" ref="D202" si="230">M202+O202+P202+Q202+R202+S202+T202+U202+V202+W202</f>
        <v>0</v>
      </c>
      <c r="E202" s="470">
        <f>+F202+G202+H202</f>
        <v>0</v>
      </c>
      <c r="F202" s="471">
        <v>0</v>
      </c>
      <c r="G202" s="471">
        <v>0</v>
      </c>
      <c r="H202" s="470">
        <v>0</v>
      </c>
      <c r="I202" s="2466"/>
      <c r="J202" s="2466"/>
      <c r="K202" s="2466"/>
      <c r="L202" s="470">
        <v>0</v>
      </c>
      <c r="M202" s="2465">
        <f>+E202+I202+J202+K202+L202+N202</f>
        <v>0</v>
      </c>
      <c r="N202" s="470">
        <v>0</v>
      </c>
      <c r="O202" s="470">
        <v>0</v>
      </c>
      <c r="P202" s="471">
        <v>0</v>
      </c>
      <c r="Q202" s="471"/>
      <c r="R202" s="471"/>
      <c r="S202" s="471"/>
      <c r="T202" s="471"/>
      <c r="U202" s="471"/>
      <c r="V202" s="471"/>
      <c r="W202" s="471"/>
      <c r="X202" s="2467">
        <f>SUM(P202:T202)</f>
        <v>0</v>
      </c>
      <c r="Y202" s="2463"/>
    </row>
    <row r="203" spans="1:26" s="988" customFormat="1" ht="12.75" hidden="1" customHeight="1">
      <c r="A203" s="2418"/>
      <c r="B203" s="517" t="s">
        <v>34</v>
      </c>
      <c r="C203" s="538"/>
      <c r="D203" s="539">
        <f>+D204</f>
        <v>0</v>
      </c>
      <c r="E203" s="539">
        <f t="shared" ref="E203:P204" si="231">+E204</f>
        <v>0</v>
      </c>
      <c r="F203" s="539">
        <f t="shared" si="231"/>
        <v>0</v>
      </c>
      <c r="G203" s="539">
        <f t="shared" si="231"/>
        <v>0</v>
      </c>
      <c r="H203" s="539">
        <f t="shared" si="231"/>
        <v>0</v>
      </c>
      <c r="I203" s="539">
        <f t="shared" si="231"/>
        <v>0</v>
      </c>
      <c r="J203" s="539">
        <f t="shared" si="231"/>
        <v>0</v>
      </c>
      <c r="K203" s="539">
        <f t="shared" si="231"/>
        <v>0</v>
      </c>
      <c r="L203" s="539">
        <f t="shared" si="231"/>
        <v>0</v>
      </c>
      <c r="M203" s="539">
        <f t="shared" si="231"/>
        <v>0</v>
      </c>
      <c r="N203" s="539">
        <f t="shared" si="231"/>
        <v>0</v>
      </c>
      <c r="O203" s="539">
        <f t="shared" si="231"/>
        <v>0</v>
      </c>
      <c r="P203" s="539">
        <f t="shared" si="231"/>
        <v>0</v>
      </c>
      <c r="Q203" s="539"/>
      <c r="R203" s="539"/>
      <c r="S203" s="539"/>
      <c r="T203" s="539"/>
      <c r="U203" s="539"/>
      <c r="V203" s="539"/>
      <c r="W203" s="539"/>
      <c r="X203" s="2943" t="s">
        <v>35</v>
      </c>
      <c r="Y203" s="3033" t="s">
        <v>122</v>
      </c>
    </row>
    <row r="204" spans="1:26" s="990" customFormat="1" ht="12.75" hidden="1" customHeight="1">
      <c r="A204" s="2418"/>
      <c r="B204" s="518" t="s">
        <v>30</v>
      </c>
      <c r="C204" s="3024" t="s">
        <v>102</v>
      </c>
      <c r="D204" s="2393">
        <f>+D205</f>
        <v>0</v>
      </c>
      <c r="E204" s="2393">
        <f t="shared" si="231"/>
        <v>0</v>
      </c>
      <c r="F204" s="2393">
        <f t="shared" si="231"/>
        <v>0</v>
      </c>
      <c r="G204" s="2393">
        <f t="shared" si="231"/>
        <v>0</v>
      </c>
      <c r="H204" s="2393">
        <f t="shared" si="231"/>
        <v>0</v>
      </c>
      <c r="I204" s="2393">
        <f t="shared" si="231"/>
        <v>0</v>
      </c>
      <c r="J204" s="2393">
        <f t="shared" si="231"/>
        <v>0</v>
      </c>
      <c r="K204" s="2393">
        <f t="shared" si="231"/>
        <v>0</v>
      </c>
      <c r="L204" s="2393">
        <f t="shared" si="231"/>
        <v>0</v>
      </c>
      <c r="M204" s="2393">
        <f t="shared" si="231"/>
        <v>0</v>
      </c>
      <c r="N204" s="2393">
        <f t="shared" si="231"/>
        <v>0</v>
      </c>
      <c r="O204" s="2393">
        <f t="shared" si="231"/>
        <v>0</v>
      </c>
      <c r="P204" s="2393">
        <f t="shared" si="231"/>
        <v>0</v>
      </c>
      <c r="Q204" s="2393"/>
      <c r="R204" s="2393"/>
      <c r="S204" s="2393"/>
      <c r="T204" s="2393"/>
      <c r="U204" s="2393"/>
      <c r="V204" s="2393"/>
      <c r="W204" s="2393"/>
      <c r="X204" s="2943"/>
      <c r="Y204" s="3033"/>
    </row>
    <row r="205" spans="1:26" s="990" customFormat="1" ht="12.75" hidden="1" customHeight="1" thickBot="1">
      <c r="A205" s="1233"/>
      <c r="B205" s="573" t="s">
        <v>33</v>
      </c>
      <c r="C205" s="2995"/>
      <c r="D205" s="1221">
        <f t="shared" ref="D205" si="232">M205+O205+P205+Q205+R205+S205+T205+U205+V205+W205</f>
        <v>0</v>
      </c>
      <c r="E205" s="574">
        <f>+F205+G205+H205</f>
        <v>0</v>
      </c>
      <c r="F205" s="566">
        <v>0</v>
      </c>
      <c r="G205" s="565">
        <v>0</v>
      </c>
      <c r="H205" s="565">
        <v>0</v>
      </c>
      <c r="I205" s="565">
        <v>0</v>
      </c>
      <c r="J205" s="565">
        <v>0</v>
      </c>
      <c r="K205" s="565"/>
      <c r="L205" s="565">
        <v>0</v>
      </c>
      <c r="M205" s="1221">
        <f>+E205+I205+J205+K205+L205+N205</f>
        <v>0</v>
      </c>
      <c r="N205" s="565">
        <v>0</v>
      </c>
      <c r="O205" s="565">
        <v>0</v>
      </c>
      <c r="P205" s="568">
        <v>0</v>
      </c>
      <c r="Q205" s="568"/>
      <c r="R205" s="568"/>
      <c r="S205" s="568"/>
      <c r="T205" s="568"/>
      <c r="U205" s="568"/>
      <c r="V205" s="568"/>
      <c r="W205" s="568"/>
      <c r="X205" s="2944"/>
      <c r="Y205" s="3034"/>
    </row>
    <row r="206" spans="1:26" hidden="1">
      <c r="A206" s="2986"/>
      <c r="B206" s="493"/>
      <c r="C206" s="473" t="s">
        <v>98</v>
      </c>
      <c r="D206" s="576"/>
      <c r="E206" s="577"/>
      <c r="F206" s="577"/>
      <c r="G206" s="577"/>
      <c r="H206" s="577"/>
      <c r="I206" s="577"/>
      <c r="J206" s="577"/>
      <c r="K206" s="577"/>
      <c r="L206" s="577"/>
      <c r="M206" s="578"/>
      <c r="N206" s="578"/>
      <c r="O206" s="577"/>
      <c r="P206" s="577"/>
      <c r="Q206" s="577"/>
      <c r="R206" s="577"/>
      <c r="S206" s="923"/>
      <c r="T206" s="923"/>
      <c r="U206" s="923"/>
      <c r="V206" s="923"/>
      <c r="W206" s="923"/>
      <c r="X206" s="439"/>
      <c r="Y206" s="2969"/>
    </row>
    <row r="207" spans="1:26" ht="13.5" hidden="1" customHeight="1">
      <c r="A207" s="2987"/>
      <c r="B207" s="505" t="s">
        <v>22</v>
      </c>
      <c r="C207" s="375"/>
      <c r="D207" s="579">
        <f>+D208</f>
        <v>0</v>
      </c>
      <c r="E207" s="579">
        <v>0</v>
      </c>
      <c r="F207" s="579"/>
      <c r="G207" s="579"/>
      <c r="H207" s="579"/>
      <c r="I207" s="579">
        <v>0</v>
      </c>
      <c r="J207" s="579">
        <v>0</v>
      </c>
      <c r="K207" s="579">
        <v>0</v>
      </c>
      <c r="L207" s="579">
        <f t="shared" ref="L207:P208" si="233">+L208</f>
        <v>0</v>
      </c>
      <c r="M207" s="579">
        <f t="shared" si="233"/>
        <v>0</v>
      </c>
      <c r="N207" s="579">
        <f t="shared" si="233"/>
        <v>0</v>
      </c>
      <c r="O207" s="579">
        <f t="shared" si="233"/>
        <v>0</v>
      </c>
      <c r="P207" s="579">
        <f t="shared" si="233"/>
        <v>0</v>
      </c>
      <c r="Q207" s="579">
        <v>0</v>
      </c>
      <c r="R207" s="579"/>
      <c r="S207" s="579"/>
      <c r="T207" s="579"/>
      <c r="U207" s="579"/>
      <c r="V207" s="579"/>
      <c r="W207" s="579"/>
      <c r="X207" s="401">
        <f>+X208</f>
        <v>0</v>
      </c>
      <c r="Y207" s="2970"/>
      <c r="Z207" s="987">
        <f>+O207+P207</f>
        <v>0</v>
      </c>
    </row>
    <row r="208" spans="1:26" ht="13.5" hidden="1" customHeight="1">
      <c r="A208" s="2987"/>
      <c r="B208" s="528" t="s">
        <v>117</v>
      </c>
      <c r="C208" s="2978"/>
      <c r="D208" s="581">
        <f>+D209</f>
        <v>0</v>
      </c>
      <c r="E208" s="580">
        <v>0</v>
      </c>
      <c r="F208" s="580"/>
      <c r="G208" s="580"/>
      <c r="H208" s="580"/>
      <c r="I208" s="580">
        <v>0</v>
      </c>
      <c r="J208" s="581">
        <v>0</v>
      </c>
      <c r="K208" s="582">
        <v>0</v>
      </c>
      <c r="L208" s="581">
        <f t="shared" si="233"/>
        <v>0</v>
      </c>
      <c r="M208" s="581">
        <f t="shared" si="233"/>
        <v>0</v>
      </c>
      <c r="N208" s="581">
        <f t="shared" si="233"/>
        <v>0</v>
      </c>
      <c r="O208" s="581">
        <f t="shared" si="233"/>
        <v>0</v>
      </c>
      <c r="P208" s="581">
        <f t="shared" si="233"/>
        <v>0</v>
      </c>
      <c r="Q208" s="583">
        <v>0</v>
      </c>
      <c r="R208" s="583"/>
      <c r="S208" s="583"/>
      <c r="T208" s="583"/>
      <c r="U208" s="583"/>
      <c r="V208" s="583"/>
      <c r="W208" s="583"/>
      <c r="X208" s="584">
        <f>+X209</f>
        <v>0</v>
      </c>
      <c r="Y208" s="2970"/>
    </row>
    <row r="209" spans="1:26" ht="13.5" hidden="1" customHeight="1">
      <c r="A209" s="2987"/>
      <c r="B209" s="489" t="s">
        <v>33</v>
      </c>
      <c r="C209" s="2980"/>
      <c r="D209" s="2058">
        <f t="shared" ref="D209" si="234">M209+O209+P209+Q209+R209+S209+T209+U209+V209+W209</f>
        <v>0</v>
      </c>
      <c r="E209" s="585"/>
      <c r="F209" s="586"/>
      <c r="G209" s="585"/>
      <c r="H209" s="585"/>
      <c r="I209" s="585"/>
      <c r="J209" s="587"/>
      <c r="K209" s="588"/>
      <c r="L209" s="589"/>
      <c r="M209" s="451"/>
      <c r="N209" s="589"/>
      <c r="O209" s="589"/>
      <c r="P209" s="589">
        <f>56000000-24565000-31435000</f>
        <v>0</v>
      </c>
      <c r="Q209" s="590">
        <v>0</v>
      </c>
      <c r="R209" s="590"/>
      <c r="S209" s="590"/>
      <c r="T209" s="590"/>
      <c r="U209" s="590"/>
      <c r="V209" s="590"/>
      <c r="W209" s="590"/>
      <c r="X209" s="409">
        <f>SUM(P209:T209)</f>
        <v>0</v>
      </c>
      <c r="Y209" s="2970"/>
    </row>
    <row r="210" spans="1:26" s="988" customFormat="1" ht="13.5" hidden="1" customHeight="1">
      <c r="A210" s="2987"/>
      <c r="B210" s="505" t="s">
        <v>34</v>
      </c>
      <c r="C210" s="375"/>
      <c r="D210" s="464">
        <f>+D211</f>
        <v>0</v>
      </c>
      <c r="E210" s="464">
        <v>0</v>
      </c>
      <c r="F210" s="464"/>
      <c r="G210" s="464"/>
      <c r="H210" s="464"/>
      <c r="I210" s="464">
        <v>0</v>
      </c>
      <c r="J210" s="464">
        <v>0</v>
      </c>
      <c r="K210" s="464">
        <v>0</v>
      </c>
      <c r="L210" s="464">
        <f t="shared" ref="L210:P211" si="235">+L211</f>
        <v>0</v>
      </c>
      <c r="M210" s="464">
        <f t="shared" si="235"/>
        <v>0</v>
      </c>
      <c r="N210" s="464">
        <f t="shared" si="235"/>
        <v>0</v>
      </c>
      <c r="O210" s="464">
        <f t="shared" si="235"/>
        <v>0</v>
      </c>
      <c r="P210" s="464">
        <f t="shared" si="235"/>
        <v>0</v>
      </c>
      <c r="Q210" s="464">
        <v>0</v>
      </c>
      <c r="R210" s="464"/>
      <c r="S210" s="464"/>
      <c r="T210" s="464"/>
      <c r="U210" s="464"/>
      <c r="V210" s="464"/>
      <c r="W210" s="464"/>
      <c r="X210" s="2942" t="s">
        <v>35</v>
      </c>
      <c r="Y210" s="2970"/>
    </row>
    <row r="211" spans="1:26" s="990" customFormat="1" ht="14.25" hidden="1" customHeight="1">
      <c r="A211" s="2988"/>
      <c r="B211" s="528" t="s">
        <v>117</v>
      </c>
      <c r="C211" s="2978"/>
      <c r="D211" s="536">
        <f>+D212</f>
        <v>0</v>
      </c>
      <c r="E211" s="511">
        <v>0</v>
      </c>
      <c r="F211" s="511"/>
      <c r="G211" s="511"/>
      <c r="H211" s="511"/>
      <c r="I211" s="511">
        <v>0</v>
      </c>
      <c r="J211" s="536">
        <v>0</v>
      </c>
      <c r="K211" s="582">
        <v>0</v>
      </c>
      <c r="L211" s="591">
        <f t="shared" si="235"/>
        <v>0</v>
      </c>
      <c r="M211" s="591">
        <f t="shared" si="235"/>
        <v>0</v>
      </c>
      <c r="N211" s="591">
        <f t="shared" si="235"/>
        <v>0</v>
      </c>
      <c r="O211" s="591">
        <f t="shared" si="235"/>
        <v>0</v>
      </c>
      <c r="P211" s="591">
        <f t="shared" si="235"/>
        <v>0</v>
      </c>
      <c r="Q211" s="511">
        <v>0</v>
      </c>
      <c r="R211" s="511"/>
      <c r="S211" s="511"/>
      <c r="T211" s="511"/>
      <c r="U211" s="511"/>
      <c r="V211" s="511"/>
      <c r="W211" s="511"/>
      <c r="X211" s="2943"/>
      <c r="Y211" s="2970"/>
    </row>
    <row r="212" spans="1:26" s="990" customFormat="1" ht="12.75" hidden="1" customHeight="1" thickBot="1">
      <c r="A212" s="2989"/>
      <c r="B212" s="575" t="s">
        <v>33</v>
      </c>
      <c r="C212" s="3016"/>
      <c r="D212" s="2058">
        <f t="shared" ref="D212" si="236">M212+O212+P212+Q212+R212+S212+T212+U212+V212+W212</f>
        <v>0</v>
      </c>
      <c r="E212" s="566">
        <v>0</v>
      </c>
      <c r="F212" s="566"/>
      <c r="G212" s="566"/>
      <c r="H212" s="566"/>
      <c r="I212" s="565">
        <v>0</v>
      </c>
      <c r="J212" s="566">
        <v>0</v>
      </c>
      <c r="K212" s="592">
        <v>0</v>
      </c>
      <c r="L212" s="593"/>
      <c r="M212" s="450"/>
      <c r="N212" s="593"/>
      <c r="O212" s="593"/>
      <c r="P212" s="593">
        <f>70000000-38565000-31435000</f>
        <v>0</v>
      </c>
      <c r="Q212" s="566">
        <v>0</v>
      </c>
      <c r="R212" s="566"/>
      <c r="S212" s="566"/>
      <c r="T212" s="566"/>
      <c r="U212" s="566"/>
      <c r="V212" s="566"/>
      <c r="W212" s="566"/>
      <c r="X212" s="2944"/>
      <c r="Y212" s="2971"/>
    </row>
    <row r="213" spans="1:26" ht="26.25" hidden="1" customHeight="1">
      <c r="A213" s="2986"/>
      <c r="B213" s="1073"/>
      <c r="C213" s="473" t="s">
        <v>98</v>
      </c>
      <c r="D213" s="572"/>
      <c r="E213" s="546"/>
      <c r="F213" s="547"/>
      <c r="G213" s="546"/>
      <c r="H213" s="546"/>
      <c r="I213" s="546"/>
      <c r="J213" s="546"/>
      <c r="K213" s="546"/>
      <c r="L213" s="546"/>
      <c r="M213" s="546"/>
      <c r="N213" s="546"/>
      <c r="O213" s="546"/>
      <c r="P213" s="548"/>
      <c r="Q213" s="548"/>
      <c r="R213" s="548"/>
      <c r="S213" s="548"/>
      <c r="T213" s="548"/>
      <c r="U213" s="548"/>
      <c r="V213" s="548"/>
      <c r="W213" s="548"/>
      <c r="X213" s="439"/>
      <c r="Y213" s="2990" t="s">
        <v>330</v>
      </c>
    </row>
    <row r="214" spans="1:26" ht="13.5" hidden="1" customHeight="1">
      <c r="A214" s="2987"/>
      <c r="B214" s="374" t="s">
        <v>22</v>
      </c>
      <c r="C214" s="375"/>
      <c r="D214" s="478">
        <f t="shared" ref="D214:P214" si="237">+D215+D217</f>
        <v>0</v>
      </c>
      <c r="E214" s="478">
        <f t="shared" si="237"/>
        <v>0</v>
      </c>
      <c r="F214" s="478">
        <f t="shared" si="237"/>
        <v>0</v>
      </c>
      <c r="G214" s="478">
        <f t="shared" si="237"/>
        <v>0</v>
      </c>
      <c r="H214" s="478">
        <f t="shared" si="237"/>
        <v>0</v>
      </c>
      <c r="I214" s="478">
        <f t="shared" si="237"/>
        <v>0</v>
      </c>
      <c r="J214" s="478">
        <f t="shared" si="237"/>
        <v>0</v>
      </c>
      <c r="K214" s="478">
        <f t="shared" si="237"/>
        <v>0</v>
      </c>
      <c r="L214" s="478">
        <f t="shared" si="237"/>
        <v>0</v>
      </c>
      <c r="M214" s="1074">
        <f t="shared" ref="M214" si="238">+M215+M217</f>
        <v>0</v>
      </c>
      <c r="N214" s="1074">
        <f t="shared" si="237"/>
        <v>0</v>
      </c>
      <c r="O214" s="478">
        <f t="shared" si="237"/>
        <v>0</v>
      </c>
      <c r="P214" s="478">
        <f t="shared" si="237"/>
        <v>0</v>
      </c>
      <c r="Q214" s="478"/>
      <c r="R214" s="478"/>
      <c r="S214" s="478"/>
      <c r="T214" s="478"/>
      <c r="U214" s="478"/>
      <c r="V214" s="478"/>
      <c r="W214" s="478"/>
      <c r="X214" s="480">
        <f>+X215+X217</f>
        <v>0</v>
      </c>
      <c r="Y214" s="2991"/>
      <c r="Z214" s="987">
        <f>+O214+P214</f>
        <v>0</v>
      </c>
    </row>
    <row r="215" spans="1:26" ht="13.5" hidden="1" customHeight="1">
      <c r="A215" s="2987"/>
      <c r="B215" s="526" t="s">
        <v>36</v>
      </c>
      <c r="C215" s="2978" t="s">
        <v>101</v>
      </c>
      <c r="D215" s="481">
        <f>+D216</f>
        <v>0</v>
      </c>
      <c r="E215" s="481">
        <f t="shared" ref="E215:P215" si="239">+E216</f>
        <v>0</v>
      </c>
      <c r="F215" s="481">
        <f t="shared" si="239"/>
        <v>0</v>
      </c>
      <c r="G215" s="481">
        <f t="shared" si="239"/>
        <v>0</v>
      </c>
      <c r="H215" s="481">
        <f t="shared" si="239"/>
        <v>0</v>
      </c>
      <c r="I215" s="481">
        <f t="shared" si="239"/>
        <v>0</v>
      </c>
      <c r="J215" s="481">
        <f t="shared" si="239"/>
        <v>0</v>
      </c>
      <c r="K215" s="481">
        <f t="shared" si="239"/>
        <v>0</v>
      </c>
      <c r="L215" s="481">
        <f t="shared" si="239"/>
        <v>0</v>
      </c>
      <c r="M215" s="1075">
        <f t="shared" si="239"/>
        <v>0</v>
      </c>
      <c r="N215" s="1075">
        <f t="shared" si="239"/>
        <v>0</v>
      </c>
      <c r="O215" s="481">
        <f t="shared" si="239"/>
        <v>0</v>
      </c>
      <c r="P215" s="481">
        <f t="shared" si="239"/>
        <v>0</v>
      </c>
      <c r="Q215" s="481"/>
      <c r="R215" s="481"/>
      <c r="S215" s="481"/>
      <c r="T215" s="481"/>
      <c r="U215" s="481"/>
      <c r="V215" s="481"/>
      <c r="W215" s="481"/>
      <c r="X215" s="502">
        <f>+X216</f>
        <v>0</v>
      </c>
      <c r="Y215" s="2991"/>
      <c r="Z215" s="843"/>
    </row>
    <row r="216" spans="1:26" ht="13.5" hidden="1" customHeight="1">
      <c r="A216" s="2987"/>
      <c r="B216" s="527" t="s">
        <v>24</v>
      </c>
      <c r="C216" s="2994"/>
      <c r="D216" s="449">
        <f t="shared" ref="D216" si="240">M216+O216+P216+Q216+R216+S216+T216+U216+V216+W216</f>
        <v>0</v>
      </c>
      <c r="E216" s="494">
        <f>+F216+G216+H216</f>
        <v>0</v>
      </c>
      <c r="F216" s="530">
        <v>0</v>
      </c>
      <c r="G216" s="494">
        <v>0</v>
      </c>
      <c r="H216" s="494">
        <v>0</v>
      </c>
      <c r="I216" s="494">
        <f>140382-140382</f>
        <v>0</v>
      </c>
      <c r="J216" s="532">
        <v>0</v>
      </c>
      <c r="K216" s="494">
        <v>0</v>
      </c>
      <c r="L216" s="494">
        <v>0</v>
      </c>
      <c r="M216" s="450">
        <f>+E216+I216+J216+K216+L216+N216</f>
        <v>0</v>
      </c>
      <c r="N216" s="1076">
        <v>0</v>
      </c>
      <c r="O216" s="530">
        <v>0</v>
      </c>
      <c r="P216" s="530">
        <f>2050000-2050000</f>
        <v>0</v>
      </c>
      <c r="Q216" s="457"/>
      <c r="R216" s="457"/>
      <c r="S216" s="457"/>
      <c r="T216" s="457"/>
      <c r="U216" s="457"/>
      <c r="V216" s="457"/>
      <c r="W216" s="457"/>
      <c r="X216" s="409">
        <f>SUM(P216:T216)</f>
        <v>0</v>
      </c>
      <c r="Y216" s="2991"/>
    </row>
    <row r="217" spans="1:26" ht="13.5" hidden="1" customHeight="1">
      <c r="A217" s="2987"/>
      <c r="B217" s="518" t="s">
        <v>30</v>
      </c>
      <c r="C217" s="2994"/>
      <c r="D217" s="459">
        <f>+D218</f>
        <v>0</v>
      </c>
      <c r="E217" s="459">
        <f t="shared" ref="E217:P217" si="241">+E218</f>
        <v>0</v>
      </c>
      <c r="F217" s="459">
        <f t="shared" si="241"/>
        <v>0</v>
      </c>
      <c r="G217" s="459">
        <f t="shared" si="241"/>
        <v>0</v>
      </c>
      <c r="H217" s="459">
        <f t="shared" si="241"/>
        <v>0</v>
      </c>
      <c r="I217" s="459">
        <f t="shared" si="241"/>
        <v>0</v>
      </c>
      <c r="J217" s="459">
        <f t="shared" si="241"/>
        <v>0</v>
      </c>
      <c r="K217" s="459">
        <f t="shared" si="241"/>
        <v>0</v>
      </c>
      <c r="L217" s="459">
        <f t="shared" si="241"/>
        <v>0</v>
      </c>
      <c r="M217" s="1035">
        <f t="shared" si="241"/>
        <v>0</v>
      </c>
      <c r="N217" s="1035">
        <f t="shared" si="241"/>
        <v>0</v>
      </c>
      <c r="O217" s="459">
        <f t="shared" si="241"/>
        <v>0</v>
      </c>
      <c r="P217" s="459">
        <f t="shared" si="241"/>
        <v>0</v>
      </c>
      <c r="Q217" s="459"/>
      <c r="R217" s="459"/>
      <c r="S217" s="459"/>
      <c r="T217" s="459"/>
      <c r="U217" s="459"/>
      <c r="V217" s="459"/>
      <c r="W217" s="459"/>
      <c r="X217" s="502">
        <f>+X218</f>
        <v>0</v>
      </c>
      <c r="Y217" s="2991"/>
    </row>
    <row r="218" spans="1:26" ht="13.5" hidden="1" customHeight="1">
      <c r="A218" s="2987"/>
      <c r="B218" s="463" t="s">
        <v>33</v>
      </c>
      <c r="C218" s="2994"/>
      <c r="D218" s="449">
        <f t="shared" ref="D218" si="242">M218+O218+P218+Q218+R218+S218+T218+U218+V218+W218</f>
        <v>0</v>
      </c>
      <c r="E218" s="456">
        <f>+F218+G218+H218</f>
        <v>0</v>
      </c>
      <c r="F218" s="457">
        <v>0</v>
      </c>
      <c r="G218" s="457">
        <v>0</v>
      </c>
      <c r="H218" s="456">
        <v>0</v>
      </c>
      <c r="I218" s="456">
        <f>163508-163508</f>
        <v>0</v>
      </c>
      <c r="J218" s="456"/>
      <c r="K218" s="456"/>
      <c r="L218" s="456">
        <v>0</v>
      </c>
      <c r="M218" s="450">
        <f>+E218+I218+J218+K218+L218+N218</f>
        <v>0</v>
      </c>
      <c r="N218" s="854">
        <v>0</v>
      </c>
      <c r="O218" s="456">
        <v>0</v>
      </c>
      <c r="P218" s="457">
        <v>0</v>
      </c>
      <c r="Q218" s="457"/>
      <c r="R218" s="457"/>
      <c r="S218" s="457"/>
      <c r="T218" s="457"/>
      <c r="U218" s="457"/>
      <c r="V218" s="457"/>
      <c r="W218" s="457"/>
      <c r="X218" s="409">
        <f>SUM(P218:T218)</f>
        <v>0</v>
      </c>
      <c r="Y218" s="2991"/>
    </row>
    <row r="219" spans="1:26" s="988" customFormat="1" ht="12.75" hidden="1" customHeight="1">
      <c r="A219" s="2987"/>
      <c r="B219" s="374" t="s">
        <v>34</v>
      </c>
      <c r="C219" s="375"/>
      <c r="D219" s="464">
        <f>+D220</f>
        <v>0</v>
      </c>
      <c r="E219" s="464">
        <f t="shared" ref="E219:P220" si="243">+E220</f>
        <v>0</v>
      </c>
      <c r="F219" s="464">
        <f t="shared" si="243"/>
        <v>0</v>
      </c>
      <c r="G219" s="464">
        <f t="shared" si="243"/>
        <v>0</v>
      </c>
      <c r="H219" s="464">
        <f t="shared" si="243"/>
        <v>0</v>
      </c>
      <c r="I219" s="464">
        <f t="shared" si="243"/>
        <v>0</v>
      </c>
      <c r="J219" s="464">
        <f t="shared" si="243"/>
        <v>0</v>
      </c>
      <c r="K219" s="464">
        <f t="shared" si="243"/>
        <v>0</v>
      </c>
      <c r="L219" s="464">
        <f t="shared" si="243"/>
        <v>0</v>
      </c>
      <c r="M219" s="1037">
        <f t="shared" si="243"/>
        <v>0</v>
      </c>
      <c r="N219" s="1037">
        <f t="shared" si="243"/>
        <v>0</v>
      </c>
      <c r="O219" s="464">
        <f t="shared" si="243"/>
        <v>0</v>
      </c>
      <c r="P219" s="464">
        <f t="shared" si="243"/>
        <v>0</v>
      </c>
      <c r="Q219" s="464"/>
      <c r="R219" s="464"/>
      <c r="S219" s="464"/>
      <c r="T219" s="464"/>
      <c r="U219" s="464"/>
      <c r="V219" s="464"/>
      <c r="W219" s="464"/>
      <c r="X219" s="2942" t="s">
        <v>35</v>
      </c>
      <c r="Y219" s="2992"/>
    </row>
    <row r="220" spans="1:26" s="990" customFormat="1" ht="12" hidden="1" customHeight="1">
      <c r="A220" s="2987"/>
      <c r="B220" s="518" t="s">
        <v>30</v>
      </c>
      <c r="C220" s="2978" t="s">
        <v>102</v>
      </c>
      <c r="D220" s="511">
        <f>+D221</f>
        <v>0</v>
      </c>
      <c r="E220" s="511">
        <f t="shared" si="243"/>
        <v>0</v>
      </c>
      <c r="F220" s="511">
        <f t="shared" si="243"/>
        <v>0</v>
      </c>
      <c r="G220" s="511">
        <f t="shared" si="243"/>
        <v>0</v>
      </c>
      <c r="H220" s="511">
        <f t="shared" si="243"/>
        <v>0</v>
      </c>
      <c r="I220" s="511">
        <f t="shared" si="243"/>
        <v>0</v>
      </c>
      <c r="J220" s="511">
        <f t="shared" si="243"/>
        <v>0</v>
      </c>
      <c r="K220" s="511">
        <f t="shared" si="243"/>
        <v>0</v>
      </c>
      <c r="L220" s="511">
        <f t="shared" si="243"/>
        <v>0</v>
      </c>
      <c r="M220" s="1077">
        <f t="shared" si="243"/>
        <v>0</v>
      </c>
      <c r="N220" s="1077">
        <f t="shared" si="243"/>
        <v>0</v>
      </c>
      <c r="O220" s="511">
        <f t="shared" si="243"/>
        <v>0</v>
      </c>
      <c r="P220" s="511">
        <f t="shared" si="243"/>
        <v>0</v>
      </c>
      <c r="Q220" s="511"/>
      <c r="R220" s="511"/>
      <c r="S220" s="511"/>
      <c r="T220" s="511"/>
      <c r="U220" s="511"/>
      <c r="V220" s="511"/>
      <c r="W220" s="511"/>
      <c r="X220" s="2943"/>
      <c r="Y220" s="2992"/>
    </row>
    <row r="221" spans="1:26" s="990" customFormat="1" ht="12.75" hidden="1" customHeight="1" thickBot="1">
      <c r="A221" s="3023"/>
      <c r="B221" s="573" t="s">
        <v>33</v>
      </c>
      <c r="C221" s="3016"/>
      <c r="D221" s="1221">
        <f t="shared" ref="D221" si="244">M221+O221+P221+Q221+R221+S221+T221+U221+V221+W221</f>
        <v>0</v>
      </c>
      <c r="E221" s="565">
        <f>+F221+G221+H221</f>
        <v>0</v>
      </c>
      <c r="F221" s="566">
        <v>0</v>
      </c>
      <c r="G221" s="565">
        <v>0</v>
      </c>
      <c r="H221" s="565">
        <v>0</v>
      </c>
      <c r="I221" s="565">
        <v>0</v>
      </c>
      <c r="J221" s="565">
        <v>0</v>
      </c>
      <c r="K221" s="565"/>
      <c r="L221" s="565">
        <v>0</v>
      </c>
      <c r="M221" s="1221">
        <f>+E221+I221+J221+K221+L221+N221</f>
        <v>0</v>
      </c>
      <c r="N221" s="1078">
        <v>0</v>
      </c>
      <c r="O221" s="565">
        <v>0</v>
      </c>
      <c r="P221" s="568">
        <v>0</v>
      </c>
      <c r="Q221" s="568"/>
      <c r="R221" s="568"/>
      <c r="S221" s="568"/>
      <c r="T221" s="568"/>
      <c r="U221" s="568"/>
      <c r="V221" s="568"/>
      <c r="W221" s="568"/>
      <c r="X221" s="2944"/>
      <c r="Y221" s="2993"/>
    </row>
    <row r="222" spans="1:26" s="990" customFormat="1" ht="16.5" customHeight="1" thickBot="1">
      <c r="A222" s="2454"/>
      <c r="B222" s="1060" t="s">
        <v>317</v>
      </c>
      <c r="C222" s="2455"/>
      <c r="D222" s="2456"/>
      <c r="E222" s="2457"/>
      <c r="F222" s="2457"/>
      <c r="G222" s="2458"/>
      <c r="H222" s="2458"/>
      <c r="I222" s="2458"/>
      <c r="J222" s="2458"/>
      <c r="K222" s="2458"/>
      <c r="L222" s="2458"/>
      <c r="M222" s="2459"/>
      <c r="N222" s="2460"/>
      <c r="O222" s="2460"/>
      <c r="P222" s="2460"/>
      <c r="Q222" s="2460"/>
      <c r="R222" s="2460"/>
      <c r="S222" s="2460"/>
      <c r="T222" s="2460"/>
      <c r="U222" s="2460"/>
      <c r="V222" s="2460"/>
      <c r="W222" s="2460"/>
      <c r="X222" s="2461"/>
      <c r="Y222" s="2462"/>
    </row>
    <row r="223" spans="1:26" s="990" customFormat="1" ht="40.5" customHeight="1">
      <c r="A223" s="2986" t="s">
        <v>107</v>
      </c>
      <c r="B223" s="2057" t="s">
        <v>612</v>
      </c>
      <c r="C223" s="473" t="s">
        <v>98</v>
      </c>
      <c r="D223" s="474"/>
      <c r="E223" s="475"/>
      <c r="F223" s="475"/>
      <c r="G223" s="476"/>
      <c r="H223" s="476"/>
      <c r="I223" s="436"/>
      <c r="J223" s="436"/>
      <c r="K223" s="436"/>
      <c r="L223" s="436"/>
      <c r="M223" s="438"/>
      <c r="N223" s="438"/>
      <c r="O223" s="438"/>
      <c r="P223" s="438"/>
      <c r="Q223" s="438"/>
      <c r="R223" s="438"/>
      <c r="S223" s="438"/>
      <c r="T223" s="438"/>
      <c r="U223" s="438"/>
      <c r="V223" s="438"/>
      <c r="W223" s="438"/>
      <c r="X223" s="439"/>
      <c r="Y223" s="440"/>
      <c r="Z223" s="1283" t="s">
        <v>515</v>
      </c>
    </row>
    <row r="224" spans="1:26" s="990" customFormat="1" ht="17.25" customHeight="1">
      <c r="A224" s="2987"/>
      <c r="B224" s="1949" t="s">
        <v>22</v>
      </c>
      <c r="C224" s="375"/>
      <c r="D224" s="1927">
        <f>+D225+D229</f>
        <v>11820815</v>
      </c>
      <c r="E224" s="1549">
        <f t="shared" ref="E224:P224" si="245">+E225+E229</f>
        <v>0</v>
      </c>
      <c r="F224" s="1549">
        <f t="shared" si="245"/>
        <v>0</v>
      </c>
      <c r="G224" s="1549">
        <f t="shared" si="245"/>
        <v>0</v>
      </c>
      <c r="H224" s="1549">
        <f t="shared" si="245"/>
        <v>0</v>
      </c>
      <c r="I224" s="1549">
        <f t="shared" si="245"/>
        <v>0</v>
      </c>
      <c r="J224" s="1549">
        <f>+J225+J229</f>
        <v>0</v>
      </c>
      <c r="K224" s="1549">
        <f t="shared" si="245"/>
        <v>0</v>
      </c>
      <c r="L224" s="1549">
        <f t="shared" si="245"/>
        <v>49692</v>
      </c>
      <c r="M224" s="1549">
        <f t="shared" ref="M224" si="246">+M225+M229</f>
        <v>450059</v>
      </c>
      <c r="N224" s="1549">
        <f t="shared" si="245"/>
        <v>400367</v>
      </c>
      <c r="O224" s="1549">
        <f t="shared" si="245"/>
        <v>790929</v>
      </c>
      <c r="P224" s="1549">
        <f t="shared" si="245"/>
        <v>10579827</v>
      </c>
      <c r="Q224" s="1549"/>
      <c r="R224" s="1549"/>
      <c r="S224" s="1549"/>
      <c r="T224" s="1549"/>
      <c r="U224" s="1549"/>
      <c r="V224" s="1549"/>
      <c r="W224" s="1549"/>
      <c r="X224" s="2686">
        <f>X225+X229</f>
        <v>10579827</v>
      </c>
      <c r="Y224" s="2991" t="s">
        <v>104</v>
      </c>
    </row>
    <row r="225" spans="1:26" s="990" customFormat="1" ht="14.25" customHeight="1">
      <c r="A225" s="2987"/>
      <c r="B225" s="1941" t="s">
        <v>36</v>
      </c>
      <c r="C225" s="3024" t="s">
        <v>101</v>
      </c>
      <c r="D225" s="1928">
        <f>+D226+D227+D228</f>
        <v>753795</v>
      </c>
      <c r="E225" s="1928">
        <f>+E226+E227</f>
        <v>0</v>
      </c>
      <c r="F225" s="1928">
        <f>+F226+F227</f>
        <v>0</v>
      </c>
      <c r="G225" s="1928">
        <f>+G226+G227</f>
        <v>0</v>
      </c>
      <c r="H225" s="1928">
        <f>+H226+H227</f>
        <v>0</v>
      </c>
      <c r="I225" s="1928">
        <f>+I226+I227</f>
        <v>0</v>
      </c>
      <c r="J225" s="1928">
        <f t="shared" ref="J225:P225" si="247">+J226+J227+J228</f>
        <v>0</v>
      </c>
      <c r="K225" s="1928">
        <f t="shared" si="247"/>
        <v>0</v>
      </c>
      <c r="L225" s="1928">
        <f t="shared" si="247"/>
        <v>49692</v>
      </c>
      <c r="M225" s="1928">
        <f>+M226+M227+M228</f>
        <v>95810</v>
      </c>
      <c r="N225" s="1928">
        <f t="shared" si="247"/>
        <v>46118</v>
      </c>
      <c r="O225" s="1928">
        <f t="shared" si="247"/>
        <v>13637</v>
      </c>
      <c r="P225" s="1928">
        <f t="shared" si="247"/>
        <v>644348</v>
      </c>
      <c r="Q225" s="1928"/>
      <c r="R225" s="1928"/>
      <c r="S225" s="1928"/>
      <c r="T225" s="1928"/>
      <c r="U225" s="1928"/>
      <c r="V225" s="1928"/>
      <c r="W225" s="1928"/>
      <c r="X225" s="1944">
        <f>X226</f>
        <v>644348</v>
      </c>
      <c r="Y225" s="2991"/>
    </row>
    <row r="226" spans="1:26" s="990" customFormat="1" ht="12.75" customHeight="1">
      <c r="A226" s="2987"/>
      <c r="B226" s="2059" t="s">
        <v>24</v>
      </c>
      <c r="C226" s="2980"/>
      <c r="D226" s="1930">
        <f t="shared" ref="D226" si="248">M226+O226+P226+Q226+R226+S226+T226+U226+V226+W226</f>
        <v>753795</v>
      </c>
      <c r="E226" s="1945">
        <v>0</v>
      </c>
      <c r="F226" s="1945"/>
      <c r="G226" s="1945"/>
      <c r="H226" s="1945"/>
      <c r="I226" s="1945"/>
      <c r="J226" s="1945"/>
      <c r="K226" s="1945"/>
      <c r="L226" s="1945">
        <f>95810-46118</f>
        <v>49692</v>
      </c>
      <c r="M226" s="1932">
        <f>+E226+I226+J226+K226+L226+N226</f>
        <v>95810</v>
      </c>
      <c r="N226" s="1945">
        <f>53137+46118-53137</f>
        <v>46118</v>
      </c>
      <c r="O226" s="1945">
        <f>150000-19769-116594</f>
        <v>13637</v>
      </c>
      <c r="P226" s="1945">
        <f>1701863+19769-1077284</f>
        <v>644348</v>
      </c>
      <c r="Q226" s="1945"/>
      <c r="R226" s="1945"/>
      <c r="S226" s="1945"/>
      <c r="T226" s="1945"/>
      <c r="U226" s="1945"/>
      <c r="V226" s="1945"/>
      <c r="W226" s="1945"/>
      <c r="X226" s="1934">
        <f>SUM(P226:T226)</f>
        <v>644348</v>
      </c>
      <c r="Y226" s="2991"/>
    </row>
    <row r="227" spans="1:26" s="990" customFormat="1" ht="14.25" hidden="1" customHeight="1">
      <c r="A227" s="2987"/>
      <c r="B227" s="1946" t="s">
        <v>29</v>
      </c>
      <c r="C227" s="2994"/>
      <c r="D227" s="1930">
        <f t="shared" ref="D227:D228" si="249">SUM(M227:T227)</f>
        <v>0</v>
      </c>
      <c r="E227" s="1937">
        <f>+F227+G227+H227</f>
        <v>0</v>
      </c>
      <c r="F227" s="1937"/>
      <c r="G227" s="1939"/>
      <c r="H227" s="1939"/>
      <c r="I227" s="1939"/>
      <c r="J227" s="1939"/>
      <c r="K227" s="1939"/>
      <c r="L227" s="1937">
        <v>0</v>
      </c>
      <c r="M227" s="1937"/>
      <c r="N227" s="1937">
        <v>0</v>
      </c>
      <c r="O227" s="1937">
        <v>0</v>
      </c>
      <c r="P227" s="1937">
        <v>0</v>
      </c>
      <c r="Q227" s="1938"/>
      <c r="R227" s="1937"/>
      <c r="S227" s="1937"/>
      <c r="T227" s="1937"/>
      <c r="U227" s="776"/>
      <c r="V227" s="776"/>
      <c r="W227" s="776"/>
      <c r="X227" s="2687"/>
      <c r="Y227" s="2991"/>
    </row>
    <row r="228" spans="1:26" s="990" customFormat="1" ht="14.25" hidden="1" customHeight="1">
      <c r="A228" s="2987"/>
      <c r="B228" s="1946" t="s">
        <v>27</v>
      </c>
      <c r="C228" s="2994"/>
      <c r="D228" s="1930">
        <f t="shared" si="249"/>
        <v>0</v>
      </c>
      <c r="E228" s="1937">
        <v>0</v>
      </c>
      <c r="F228" s="1937"/>
      <c r="G228" s="1939"/>
      <c r="H228" s="1939"/>
      <c r="I228" s="1939">
        <v>0</v>
      </c>
      <c r="J228" s="1939"/>
      <c r="K228" s="1939"/>
      <c r="L228" s="1937">
        <v>0</v>
      </c>
      <c r="M228" s="1937"/>
      <c r="N228" s="1937">
        <v>0</v>
      </c>
      <c r="O228" s="1937">
        <v>0</v>
      </c>
      <c r="P228" s="1937">
        <v>0</v>
      </c>
      <c r="Q228" s="1938"/>
      <c r="R228" s="1937"/>
      <c r="S228" s="1937"/>
      <c r="T228" s="1937"/>
      <c r="U228" s="776"/>
      <c r="V228" s="776"/>
      <c r="W228" s="776"/>
      <c r="X228" s="2687"/>
      <c r="Y228" s="2991"/>
    </row>
    <row r="229" spans="1:26" s="1030" customFormat="1" ht="14.25" customHeight="1">
      <c r="A229" s="2987"/>
      <c r="B229" s="1947" t="s">
        <v>30</v>
      </c>
      <c r="C229" s="2994"/>
      <c r="D229" s="1935">
        <f>+D230</f>
        <v>11067020</v>
      </c>
      <c r="E229" s="1935">
        <f t="shared" ref="E229:P229" si="250">+E230</f>
        <v>0</v>
      </c>
      <c r="F229" s="1935">
        <f t="shared" si="250"/>
        <v>0</v>
      </c>
      <c r="G229" s="1935">
        <f t="shared" si="250"/>
        <v>0</v>
      </c>
      <c r="H229" s="1935">
        <f t="shared" si="250"/>
        <v>0</v>
      </c>
      <c r="I229" s="1935">
        <f t="shared" si="250"/>
        <v>0</v>
      </c>
      <c r="J229" s="1935">
        <f t="shared" si="250"/>
        <v>0</v>
      </c>
      <c r="K229" s="1935">
        <f t="shared" si="250"/>
        <v>0</v>
      </c>
      <c r="L229" s="1935">
        <f t="shared" si="250"/>
        <v>0</v>
      </c>
      <c r="M229" s="1948">
        <f t="shared" si="250"/>
        <v>354249</v>
      </c>
      <c r="N229" s="1935">
        <f t="shared" si="250"/>
        <v>354249</v>
      </c>
      <c r="O229" s="1935">
        <f t="shared" si="250"/>
        <v>777292</v>
      </c>
      <c r="P229" s="1935">
        <f t="shared" si="250"/>
        <v>9935479</v>
      </c>
      <c r="Q229" s="1935"/>
      <c r="R229" s="1935"/>
      <c r="S229" s="1935"/>
      <c r="T229" s="1545"/>
      <c r="U229" s="1935"/>
      <c r="V229" s="1935"/>
      <c r="W229" s="1935"/>
      <c r="X229" s="1944">
        <f>X230</f>
        <v>9935479</v>
      </c>
      <c r="Y229" s="2991"/>
    </row>
    <row r="230" spans="1:26" s="990" customFormat="1" ht="12.75" customHeight="1">
      <c r="A230" s="2987"/>
      <c r="B230" s="1936" t="s">
        <v>33</v>
      </c>
      <c r="C230" s="3014"/>
      <c r="D230" s="1930">
        <f t="shared" ref="D230" si="251">M230+O230+P230+Q230+R230+S230+T230+U230+V230+W230</f>
        <v>11067020</v>
      </c>
      <c r="E230" s="1937">
        <f>+F230+G230+H230</f>
        <v>0</v>
      </c>
      <c r="F230" s="1937">
        <v>0</v>
      </c>
      <c r="G230" s="1939"/>
      <c r="H230" s="1939"/>
      <c r="I230" s="1939"/>
      <c r="J230" s="1939"/>
      <c r="K230" s="1939"/>
      <c r="L230" s="1937"/>
      <c r="M230" s="1932">
        <f>+E230+I230+J230+K230+L230+N230</f>
        <v>354249</v>
      </c>
      <c r="N230" s="1937">
        <f>301112+53137</f>
        <v>354249</v>
      </c>
      <c r="O230" s="1937">
        <f>850000-189302+116594</f>
        <v>777292</v>
      </c>
      <c r="P230" s="1937">
        <f>9643888+189302+102289</f>
        <v>9935479</v>
      </c>
      <c r="Q230" s="1938"/>
      <c r="R230" s="1937"/>
      <c r="S230" s="1937"/>
      <c r="T230" s="1937"/>
      <c r="U230" s="1938"/>
      <c r="V230" s="1938"/>
      <c r="W230" s="1938"/>
      <c r="X230" s="1934">
        <f>SUM(P230:T230)</f>
        <v>9935479</v>
      </c>
      <c r="Y230" s="3004"/>
    </row>
    <row r="231" spans="1:26" s="990" customFormat="1" ht="13.5" customHeight="1">
      <c r="A231" s="2988"/>
      <c r="B231" s="1949" t="s">
        <v>34</v>
      </c>
      <c r="C231" s="375"/>
      <c r="D231" s="1940">
        <f>+D235+D232</f>
        <v>11067020</v>
      </c>
      <c r="E231" s="1940">
        <f t="shared" ref="E231:M231" si="252">+E235+E232</f>
        <v>0</v>
      </c>
      <c r="F231" s="1940">
        <f t="shared" si="252"/>
        <v>0</v>
      </c>
      <c r="G231" s="1940">
        <f t="shared" si="252"/>
        <v>0</v>
      </c>
      <c r="H231" s="1940">
        <f t="shared" si="252"/>
        <v>0</v>
      </c>
      <c r="I231" s="1940">
        <f t="shared" si="252"/>
        <v>0</v>
      </c>
      <c r="J231" s="1940">
        <f t="shared" si="252"/>
        <v>0</v>
      </c>
      <c r="K231" s="1940">
        <f t="shared" si="252"/>
        <v>0</v>
      </c>
      <c r="L231" s="1940">
        <f t="shared" si="252"/>
        <v>0</v>
      </c>
      <c r="M231" s="2688">
        <f t="shared" si="252"/>
        <v>0</v>
      </c>
      <c r="N231" s="2688">
        <f t="shared" ref="N231:P231" si="253">+N235+N232</f>
        <v>0</v>
      </c>
      <c r="O231" s="2688">
        <f t="shared" si="253"/>
        <v>0</v>
      </c>
      <c r="P231" s="1940">
        <f t="shared" si="253"/>
        <v>10417020</v>
      </c>
      <c r="Q231" s="1940">
        <f t="shared" ref="Q231" si="254">+Q235+Q232</f>
        <v>650000</v>
      </c>
      <c r="R231" s="1940"/>
      <c r="S231" s="1940"/>
      <c r="T231" s="1940"/>
      <c r="U231" s="1940"/>
      <c r="V231" s="1940"/>
      <c r="W231" s="1940"/>
      <c r="X231" s="2964" t="s">
        <v>35</v>
      </c>
      <c r="Y231" s="3045" t="s">
        <v>122</v>
      </c>
      <c r="Z231" s="1922"/>
    </row>
    <row r="232" spans="1:26" s="990" customFormat="1" ht="14.25" hidden="1" customHeight="1">
      <c r="A232" s="2988"/>
      <c r="B232" s="1941" t="s">
        <v>36</v>
      </c>
      <c r="C232" s="3024" t="s">
        <v>309</v>
      </c>
      <c r="D232" s="465">
        <f>+D233+D234</f>
        <v>0</v>
      </c>
      <c r="E232" s="465">
        <f t="shared" ref="E232:M232" si="255">+E233+E234</f>
        <v>0</v>
      </c>
      <c r="F232" s="465">
        <f t="shared" si="255"/>
        <v>0</v>
      </c>
      <c r="G232" s="465">
        <f t="shared" si="255"/>
        <v>0</v>
      </c>
      <c r="H232" s="465">
        <f t="shared" si="255"/>
        <v>0</v>
      </c>
      <c r="I232" s="465">
        <f t="shared" si="255"/>
        <v>0</v>
      </c>
      <c r="J232" s="465">
        <f t="shared" si="255"/>
        <v>0</v>
      </c>
      <c r="K232" s="465">
        <f t="shared" si="255"/>
        <v>0</v>
      </c>
      <c r="L232" s="465">
        <f t="shared" si="255"/>
        <v>0</v>
      </c>
      <c r="M232" s="1038">
        <f t="shared" si="255"/>
        <v>0</v>
      </c>
      <c r="N232" s="1038">
        <f t="shared" ref="N232:P232" si="256">+N233+N234</f>
        <v>0</v>
      </c>
      <c r="O232" s="1038">
        <f t="shared" si="256"/>
        <v>0</v>
      </c>
      <c r="P232" s="465">
        <f t="shared" si="256"/>
        <v>0</v>
      </c>
      <c r="Q232" s="465">
        <f t="shared" ref="Q232" si="257">+Q233+Q234</f>
        <v>0</v>
      </c>
      <c r="R232" s="465"/>
      <c r="S232" s="465"/>
      <c r="T232" s="465"/>
      <c r="U232" s="465"/>
      <c r="V232" s="465"/>
      <c r="W232" s="465"/>
      <c r="X232" s="2953"/>
      <c r="Y232" s="3033"/>
    </row>
    <row r="233" spans="1:26" s="990" customFormat="1" ht="14.25" hidden="1" customHeight="1">
      <c r="A233" s="2988"/>
      <c r="B233" s="1946" t="s">
        <v>29</v>
      </c>
      <c r="C233" s="2980"/>
      <c r="D233" s="2689">
        <f t="shared" ref="D233" si="258">SUM(M233:T233)</f>
        <v>0</v>
      </c>
      <c r="E233" s="2690">
        <f t="shared" ref="E233:I233" si="259">+F233+J233+K233+L233+M233+O233+P233</f>
        <v>0</v>
      </c>
      <c r="F233" s="2690">
        <f t="shared" si="259"/>
        <v>0</v>
      </c>
      <c r="G233" s="2690">
        <f t="shared" si="259"/>
        <v>0</v>
      </c>
      <c r="H233" s="2690">
        <f t="shared" si="259"/>
        <v>0</v>
      </c>
      <c r="I233" s="2690">
        <f t="shared" si="259"/>
        <v>0</v>
      </c>
      <c r="J233" s="2690"/>
      <c r="K233" s="2690"/>
      <c r="L233" s="2690">
        <f>+M233+Q233+R233+S233+T233+Y233+Z233</f>
        <v>0</v>
      </c>
      <c r="M233" s="2691">
        <f>+N233+R233+S233+T233+Z233+AA233</f>
        <v>0</v>
      </c>
      <c r="N233" s="2689">
        <v>0</v>
      </c>
      <c r="O233" s="2689">
        <v>0</v>
      </c>
      <c r="P233" s="1547">
        <v>0</v>
      </c>
      <c r="Q233" s="1547">
        <v>0</v>
      </c>
      <c r="R233" s="1547"/>
      <c r="S233" s="1547"/>
      <c r="T233" s="1547"/>
      <c r="U233" s="1547"/>
      <c r="V233" s="1547"/>
      <c r="W233" s="1547"/>
      <c r="X233" s="2953"/>
      <c r="Y233" s="3033"/>
    </row>
    <row r="234" spans="1:26" s="990" customFormat="1" ht="3" hidden="1" customHeight="1">
      <c r="A234" s="2988"/>
      <c r="B234" s="1946" t="s">
        <v>27</v>
      </c>
      <c r="C234" s="2980"/>
      <c r="D234" s="2691">
        <f t="shared" ref="D234" si="260">SUM(M234:T234)</f>
        <v>0</v>
      </c>
      <c r="E234" s="2690">
        <f>+F234+J234+K234+L234+M234+O234+P234</f>
        <v>0</v>
      </c>
      <c r="F234" s="2690">
        <f t="shared" ref="F234:I234" si="261">+G234+K234+L234+M234+N234+P234+Q234</f>
        <v>0</v>
      </c>
      <c r="G234" s="2690">
        <f t="shared" si="261"/>
        <v>0</v>
      </c>
      <c r="H234" s="2690">
        <f t="shared" si="261"/>
        <v>0</v>
      </c>
      <c r="I234" s="2690">
        <f t="shared" si="261"/>
        <v>0</v>
      </c>
      <c r="J234" s="2690"/>
      <c r="K234" s="2690">
        <f>+L234+P234+Q234+R234+S234+Y234</f>
        <v>0</v>
      </c>
      <c r="L234" s="2690">
        <f>+M234+Q234+R234+S234+T234+Y234+Z234</f>
        <v>0</v>
      </c>
      <c r="M234" s="2691">
        <f>+N234+R234+S234+T234+Z234+AA234</f>
        <v>0</v>
      </c>
      <c r="N234" s="2691">
        <v>0</v>
      </c>
      <c r="O234" s="2691">
        <v>0</v>
      </c>
      <c r="P234" s="2690">
        <v>0</v>
      </c>
      <c r="Q234" s="2690">
        <v>0</v>
      </c>
      <c r="R234" s="2690"/>
      <c r="S234" s="2690"/>
      <c r="T234" s="2690"/>
      <c r="U234" s="2690"/>
      <c r="V234" s="2690"/>
      <c r="W234" s="2690"/>
      <c r="X234" s="2953"/>
      <c r="Y234" s="3033"/>
    </row>
    <row r="235" spans="1:26" s="1030" customFormat="1" ht="14.25" customHeight="1">
      <c r="A235" s="2988"/>
      <c r="B235" s="1947" t="s">
        <v>30</v>
      </c>
      <c r="C235" s="2980"/>
      <c r="D235" s="1935">
        <f>+D237+D236</f>
        <v>11067020</v>
      </c>
      <c r="E235" s="1935">
        <f t="shared" ref="E235:M235" si="262">+E237+E236</f>
        <v>0</v>
      </c>
      <c r="F235" s="1935">
        <f t="shared" si="262"/>
        <v>0</v>
      </c>
      <c r="G235" s="1935">
        <f t="shared" si="262"/>
        <v>0</v>
      </c>
      <c r="H235" s="1935">
        <f t="shared" si="262"/>
        <v>0</v>
      </c>
      <c r="I235" s="1935">
        <f t="shared" si="262"/>
        <v>0</v>
      </c>
      <c r="J235" s="1935">
        <f t="shared" si="262"/>
        <v>0</v>
      </c>
      <c r="K235" s="1935">
        <f t="shared" si="262"/>
        <v>0</v>
      </c>
      <c r="L235" s="1935">
        <f t="shared" si="262"/>
        <v>0</v>
      </c>
      <c r="M235" s="2692">
        <f t="shared" si="262"/>
        <v>0</v>
      </c>
      <c r="N235" s="2692">
        <f t="shared" ref="N235:P235" si="263">+N237+N236</f>
        <v>0</v>
      </c>
      <c r="O235" s="2692">
        <f t="shared" si="263"/>
        <v>0</v>
      </c>
      <c r="P235" s="1935">
        <f t="shared" si="263"/>
        <v>10417020</v>
      </c>
      <c r="Q235" s="1935">
        <f t="shared" ref="Q235" si="264">+Q237+Q236</f>
        <v>650000</v>
      </c>
      <c r="R235" s="2690"/>
      <c r="S235" s="2690"/>
      <c r="T235" s="2690"/>
      <c r="U235" s="2690"/>
      <c r="V235" s="2690"/>
      <c r="W235" s="2690"/>
      <c r="X235" s="2953"/>
      <c r="Y235" s="3033"/>
    </row>
    <row r="236" spans="1:26" s="990" customFormat="1" ht="14.25" hidden="1" customHeight="1">
      <c r="A236" s="2988"/>
      <c r="B236" s="1946" t="s">
        <v>29</v>
      </c>
      <c r="C236" s="2980"/>
      <c r="D236" s="1547">
        <f>+E236+I236+J236+K236+L236</f>
        <v>0</v>
      </c>
      <c r="E236" s="1937">
        <v>0</v>
      </c>
      <c r="F236" s="1937"/>
      <c r="G236" s="1939"/>
      <c r="H236" s="1939"/>
      <c r="I236" s="1939">
        <v>0</v>
      </c>
      <c r="J236" s="1939">
        <v>0</v>
      </c>
      <c r="K236" s="1939">
        <v>0</v>
      </c>
      <c r="L236" s="1937">
        <v>0</v>
      </c>
      <c r="M236" s="2693"/>
      <c r="N236" s="2693">
        <v>0</v>
      </c>
      <c r="O236" s="2693">
        <v>0</v>
      </c>
      <c r="P236" s="1937">
        <v>0</v>
      </c>
      <c r="Q236" s="1937"/>
      <c r="R236" s="2690"/>
      <c r="S236" s="2690"/>
      <c r="T236" s="2690"/>
      <c r="U236" s="2690"/>
      <c r="V236" s="2690"/>
      <c r="W236" s="2690"/>
      <c r="X236" s="2953"/>
      <c r="Y236" s="3033"/>
    </row>
    <row r="237" spans="1:26" s="1031" customFormat="1" ht="14.25" customHeight="1" thickBot="1">
      <c r="A237" s="2989"/>
      <c r="B237" s="2694" t="s">
        <v>33</v>
      </c>
      <c r="C237" s="3016"/>
      <c r="D237" s="1221">
        <f t="shared" ref="D237" si="265">M237+O237+P237+Q237+R237+S237+T237+U237+V237+W237</f>
        <v>11067020</v>
      </c>
      <c r="E237" s="1040">
        <f>+F237+G237+H237</f>
        <v>0</v>
      </c>
      <c r="F237" s="2695"/>
      <c r="G237" s="1040"/>
      <c r="H237" s="1040"/>
      <c r="I237" s="1040">
        <v>0</v>
      </c>
      <c r="J237" s="1040"/>
      <c r="K237" s="1040"/>
      <c r="L237" s="1040"/>
      <c r="M237" s="1228">
        <f>+E237+I237+J237+K237+L237+N237</f>
        <v>0</v>
      </c>
      <c r="N237" s="1041">
        <v>0</v>
      </c>
      <c r="O237" s="1041">
        <v>0</v>
      </c>
      <c r="P237" s="1040">
        <f>10145000+272020</f>
        <v>10417020</v>
      </c>
      <c r="Q237" s="1040">
        <v>650000</v>
      </c>
      <c r="R237" s="2696"/>
      <c r="S237" s="2696"/>
      <c r="T237" s="2696"/>
      <c r="U237" s="2696"/>
      <c r="V237" s="2696"/>
      <c r="W237" s="2696"/>
      <c r="X237" s="2954"/>
      <c r="Y237" s="3034"/>
    </row>
    <row r="238" spans="1:26" ht="27.75" customHeight="1">
      <c r="A238" s="2986" t="s">
        <v>108</v>
      </c>
      <c r="B238" s="493" t="s">
        <v>613</v>
      </c>
      <c r="C238" s="473" t="s">
        <v>98</v>
      </c>
      <c r="D238" s="572"/>
      <c r="E238" s="546"/>
      <c r="F238" s="547"/>
      <c r="G238" s="546"/>
      <c r="H238" s="546"/>
      <c r="I238" s="546"/>
      <c r="J238" s="546"/>
      <c r="K238" s="546"/>
      <c r="L238" s="546"/>
      <c r="M238" s="546"/>
      <c r="N238" s="546"/>
      <c r="O238" s="546"/>
      <c r="P238" s="548"/>
      <c r="Q238" s="548"/>
      <c r="R238" s="548"/>
      <c r="S238" s="548"/>
      <c r="T238" s="548"/>
      <c r="U238" s="548"/>
      <c r="V238" s="548"/>
      <c r="W238" s="548"/>
      <c r="X238" s="439"/>
      <c r="Y238" s="535"/>
      <c r="Z238" s="1283" t="s">
        <v>515</v>
      </c>
    </row>
    <row r="239" spans="1:26" ht="13.5" customHeight="1">
      <c r="A239" s="2987"/>
      <c r="B239" s="374" t="s">
        <v>22</v>
      </c>
      <c r="C239" s="375"/>
      <c r="D239" s="478">
        <f t="shared" ref="D239:P239" si="266">+D240+D242</f>
        <v>10517246</v>
      </c>
      <c r="E239" s="478">
        <f t="shared" si="266"/>
        <v>0</v>
      </c>
      <c r="F239" s="478">
        <f t="shared" si="266"/>
        <v>0</v>
      </c>
      <c r="G239" s="478">
        <f t="shared" si="266"/>
        <v>0</v>
      </c>
      <c r="H239" s="478">
        <f t="shared" si="266"/>
        <v>0</v>
      </c>
      <c r="I239" s="478">
        <f t="shared" si="266"/>
        <v>0</v>
      </c>
      <c r="J239" s="478">
        <f t="shared" si="266"/>
        <v>0</v>
      </c>
      <c r="K239" s="478">
        <f t="shared" si="266"/>
        <v>57340</v>
      </c>
      <c r="L239" s="478">
        <f t="shared" si="266"/>
        <v>223550</v>
      </c>
      <c r="M239" s="478">
        <f t="shared" si="266"/>
        <v>2220489</v>
      </c>
      <c r="N239" s="478">
        <f t="shared" si="266"/>
        <v>1939599</v>
      </c>
      <c r="O239" s="1074">
        <f t="shared" si="266"/>
        <v>0</v>
      </c>
      <c r="P239" s="478">
        <f t="shared" si="266"/>
        <v>8296757</v>
      </c>
      <c r="Q239" s="478"/>
      <c r="R239" s="478"/>
      <c r="S239" s="478"/>
      <c r="T239" s="478"/>
      <c r="U239" s="478"/>
      <c r="V239" s="478"/>
      <c r="W239" s="478"/>
      <c r="X239" s="480">
        <f>+X240+X242</f>
        <v>8296757</v>
      </c>
      <c r="Y239" s="2991" t="s">
        <v>104</v>
      </c>
      <c r="Z239" s="843"/>
    </row>
    <row r="240" spans="1:26" ht="13.5" customHeight="1">
      <c r="A240" s="2987"/>
      <c r="B240" s="526" t="s">
        <v>36</v>
      </c>
      <c r="C240" s="2978" t="s">
        <v>101</v>
      </c>
      <c r="D240" s="481">
        <f>+D241</f>
        <v>1550952</v>
      </c>
      <c r="E240" s="481">
        <f t="shared" ref="E240:P240" si="267">+E241</f>
        <v>0</v>
      </c>
      <c r="F240" s="481">
        <f t="shared" si="267"/>
        <v>0</v>
      </c>
      <c r="G240" s="481">
        <f t="shared" si="267"/>
        <v>0</v>
      </c>
      <c r="H240" s="481">
        <f t="shared" si="267"/>
        <v>0</v>
      </c>
      <c r="I240" s="481">
        <f t="shared" si="267"/>
        <v>0</v>
      </c>
      <c r="J240" s="481">
        <f t="shared" si="267"/>
        <v>0</v>
      </c>
      <c r="K240" s="481">
        <f t="shared" si="267"/>
        <v>57340</v>
      </c>
      <c r="L240" s="481">
        <f t="shared" si="267"/>
        <v>223550</v>
      </c>
      <c r="M240" s="481">
        <f t="shared" si="267"/>
        <v>1323680</v>
      </c>
      <c r="N240" s="481">
        <f t="shared" si="267"/>
        <v>1042790</v>
      </c>
      <c r="O240" s="1075">
        <f t="shared" si="267"/>
        <v>0</v>
      </c>
      <c r="P240" s="481">
        <f t="shared" si="267"/>
        <v>227272</v>
      </c>
      <c r="Q240" s="481"/>
      <c r="R240" s="481"/>
      <c r="S240" s="481"/>
      <c r="T240" s="481"/>
      <c r="U240" s="481"/>
      <c r="V240" s="481"/>
      <c r="W240" s="481"/>
      <c r="X240" s="502">
        <f>+X241</f>
        <v>227272</v>
      </c>
      <c r="Y240" s="2991"/>
      <c r="Z240" s="843"/>
    </row>
    <row r="241" spans="1:26" ht="13.5" customHeight="1">
      <c r="A241" s="2987"/>
      <c r="B241" s="503" t="s">
        <v>24</v>
      </c>
      <c r="C241" s="2994"/>
      <c r="D241" s="449">
        <f t="shared" ref="D241" si="268">M241+O241+P241+Q241+R241+S241+T241+U241+V241+W241</f>
        <v>1550952</v>
      </c>
      <c r="E241" s="456">
        <f>+F241+G241+H241</f>
        <v>0</v>
      </c>
      <c r="F241" s="457">
        <v>0</v>
      </c>
      <c r="G241" s="456">
        <v>0</v>
      </c>
      <c r="H241" s="456">
        <v>0</v>
      </c>
      <c r="I241" s="456">
        <f>140382-140382</f>
        <v>0</v>
      </c>
      <c r="J241" s="456">
        <v>0</v>
      </c>
      <c r="K241" s="456">
        <v>57340</v>
      </c>
      <c r="L241" s="494">
        <f>2252660-1000000-1027660-1450-46118+46118</f>
        <v>223550</v>
      </c>
      <c r="M241" s="450">
        <f>+E241+I241+J241+K241+L241+N241</f>
        <v>1323680</v>
      </c>
      <c r="N241" s="494">
        <f>1000000+820000+180000-60401-1648659+46118-46118+751850</f>
        <v>1042790</v>
      </c>
      <c r="O241" s="854">
        <v>0</v>
      </c>
      <c r="P241" s="457">
        <f>1905000-1677728</f>
        <v>227272</v>
      </c>
      <c r="Q241" s="457"/>
      <c r="R241" s="457"/>
      <c r="S241" s="457"/>
      <c r="T241" s="457"/>
      <c r="U241" s="457"/>
      <c r="V241" s="457"/>
      <c r="W241" s="457"/>
      <c r="X241" s="409">
        <f>SUM(P241:T241)</f>
        <v>227272</v>
      </c>
      <c r="Y241" s="2991"/>
    </row>
    <row r="242" spans="1:26" ht="13.5" customHeight="1">
      <c r="A242" s="2987"/>
      <c r="B242" s="518" t="s">
        <v>30</v>
      </c>
      <c r="C242" s="2994"/>
      <c r="D242" s="459">
        <f>+D243</f>
        <v>8966294</v>
      </c>
      <c r="E242" s="459">
        <f t="shared" ref="E242:P242" si="269">+E243</f>
        <v>0</v>
      </c>
      <c r="F242" s="459">
        <f t="shared" si="269"/>
        <v>0</v>
      </c>
      <c r="G242" s="459">
        <f t="shared" si="269"/>
        <v>0</v>
      </c>
      <c r="H242" s="459">
        <f t="shared" si="269"/>
        <v>0</v>
      </c>
      <c r="I242" s="459">
        <f t="shared" si="269"/>
        <v>0</v>
      </c>
      <c r="J242" s="459">
        <f t="shared" si="269"/>
        <v>0</v>
      </c>
      <c r="K242" s="459">
        <f t="shared" si="269"/>
        <v>0</v>
      </c>
      <c r="L242" s="459">
        <f t="shared" si="269"/>
        <v>0</v>
      </c>
      <c r="M242" s="459">
        <f t="shared" si="269"/>
        <v>896809</v>
      </c>
      <c r="N242" s="459">
        <f t="shared" si="269"/>
        <v>896809</v>
      </c>
      <c r="O242" s="1035">
        <f t="shared" si="269"/>
        <v>0</v>
      </c>
      <c r="P242" s="459">
        <f t="shared" si="269"/>
        <v>8069485</v>
      </c>
      <c r="Q242" s="459"/>
      <c r="R242" s="459"/>
      <c r="S242" s="459"/>
      <c r="T242" s="459"/>
      <c r="U242" s="459"/>
      <c r="V242" s="459"/>
      <c r="W242" s="459"/>
      <c r="X242" s="502">
        <f>+X243</f>
        <v>8069485</v>
      </c>
      <c r="Y242" s="2991"/>
    </row>
    <row r="243" spans="1:26" ht="13.5" customHeight="1">
      <c r="A243" s="2987"/>
      <c r="B243" s="489" t="s">
        <v>33</v>
      </c>
      <c r="C243" s="2994"/>
      <c r="D243" s="449">
        <f t="shared" ref="D243" si="270">M243+O243+P243+Q243+R243+S243+T243+U243+V243+W243</f>
        <v>8966294</v>
      </c>
      <c r="E243" s="456">
        <f>+F243+G243+H243</f>
        <v>0</v>
      </c>
      <c r="F243" s="457">
        <v>0</v>
      </c>
      <c r="G243" s="457">
        <v>0</v>
      </c>
      <c r="H243" s="456">
        <v>0</v>
      </c>
      <c r="I243" s="456">
        <f>163508-163508</f>
        <v>0</v>
      </c>
      <c r="J243" s="456"/>
      <c r="K243" s="456"/>
      <c r="L243" s="456">
        <v>0</v>
      </c>
      <c r="M243" s="450">
        <f>+E243+I243+J243+K243+L243+N243</f>
        <v>896809</v>
      </c>
      <c r="N243" s="456">
        <f>1648659-751850</f>
        <v>896809</v>
      </c>
      <c r="O243" s="854">
        <v>0</v>
      </c>
      <c r="P243" s="457">
        <f>10795000-2725515</f>
        <v>8069485</v>
      </c>
      <c r="Q243" s="457"/>
      <c r="R243" s="457"/>
      <c r="S243" s="457"/>
      <c r="T243" s="457"/>
      <c r="U243" s="457"/>
      <c r="V243" s="457"/>
      <c r="W243" s="457"/>
      <c r="X243" s="409">
        <f>SUM(P243:T243)</f>
        <v>8069485</v>
      </c>
      <c r="Y243" s="3004"/>
    </row>
    <row r="244" spans="1:26" s="988" customFormat="1" ht="13.5" customHeight="1">
      <c r="A244" s="2988"/>
      <c r="B244" s="505" t="s">
        <v>34</v>
      </c>
      <c r="C244" s="375"/>
      <c r="D244" s="464">
        <f t="shared" ref="D244:Q244" si="271">+D245</f>
        <v>8966294</v>
      </c>
      <c r="E244" s="464">
        <f t="shared" si="271"/>
        <v>0</v>
      </c>
      <c r="F244" s="464">
        <f t="shared" si="271"/>
        <v>0</v>
      </c>
      <c r="G244" s="464">
        <f t="shared" si="271"/>
        <v>0</v>
      </c>
      <c r="H244" s="464">
        <f t="shared" si="271"/>
        <v>0</v>
      </c>
      <c r="I244" s="464">
        <f t="shared" si="271"/>
        <v>0</v>
      </c>
      <c r="J244" s="464">
        <f t="shared" si="271"/>
        <v>0</v>
      </c>
      <c r="K244" s="464">
        <f t="shared" si="271"/>
        <v>0</v>
      </c>
      <c r="L244" s="464">
        <f t="shared" si="271"/>
        <v>0</v>
      </c>
      <c r="M244" s="1037">
        <f t="shared" si="271"/>
        <v>0</v>
      </c>
      <c r="N244" s="1037">
        <f t="shared" si="271"/>
        <v>0</v>
      </c>
      <c r="O244" s="1037">
        <f t="shared" si="271"/>
        <v>0</v>
      </c>
      <c r="P244" s="464">
        <f t="shared" si="271"/>
        <v>8216294</v>
      </c>
      <c r="Q244" s="464">
        <f t="shared" si="271"/>
        <v>750000</v>
      </c>
      <c r="R244" s="464"/>
      <c r="S244" s="464"/>
      <c r="T244" s="464"/>
      <c r="U244" s="464"/>
      <c r="V244" s="464"/>
      <c r="W244" s="464"/>
      <c r="X244" s="2942" t="s">
        <v>35</v>
      </c>
      <c r="Y244" s="3035" t="s">
        <v>122</v>
      </c>
      <c r="Z244" s="987"/>
    </row>
    <row r="245" spans="1:26" s="990" customFormat="1" ht="13.5" customHeight="1">
      <c r="A245" s="2988"/>
      <c r="B245" s="504" t="s">
        <v>30</v>
      </c>
      <c r="C245" s="2978" t="s">
        <v>309</v>
      </c>
      <c r="D245" s="511">
        <f>+D246</f>
        <v>8966294</v>
      </c>
      <c r="E245" s="511">
        <f t="shared" ref="E245:Q245" si="272">+E246</f>
        <v>0</v>
      </c>
      <c r="F245" s="511">
        <f t="shared" si="272"/>
        <v>0</v>
      </c>
      <c r="G245" s="511">
        <f t="shared" si="272"/>
        <v>0</v>
      </c>
      <c r="H245" s="511">
        <f t="shared" si="272"/>
        <v>0</v>
      </c>
      <c r="I245" s="511">
        <f t="shared" si="272"/>
        <v>0</v>
      </c>
      <c r="J245" s="511">
        <f t="shared" si="272"/>
        <v>0</v>
      </c>
      <c r="K245" s="511">
        <f t="shared" si="272"/>
        <v>0</v>
      </c>
      <c r="L245" s="511">
        <f t="shared" si="272"/>
        <v>0</v>
      </c>
      <c r="M245" s="1077">
        <f t="shared" si="272"/>
        <v>0</v>
      </c>
      <c r="N245" s="1077">
        <f t="shared" si="272"/>
        <v>0</v>
      </c>
      <c r="O245" s="1077">
        <f t="shared" si="272"/>
        <v>0</v>
      </c>
      <c r="P245" s="511">
        <f t="shared" si="272"/>
        <v>8216294</v>
      </c>
      <c r="Q245" s="511">
        <f t="shared" si="272"/>
        <v>750000</v>
      </c>
      <c r="R245" s="511"/>
      <c r="S245" s="511"/>
      <c r="T245" s="511"/>
      <c r="U245" s="511"/>
      <c r="V245" s="511"/>
      <c r="W245" s="511"/>
      <c r="X245" s="2943"/>
      <c r="Y245" s="3033"/>
    </row>
    <row r="246" spans="1:26" s="990" customFormat="1" ht="13.5" thickBot="1">
      <c r="A246" s="2989"/>
      <c r="B246" s="575" t="s">
        <v>33</v>
      </c>
      <c r="C246" s="2995"/>
      <c r="D246" s="449">
        <f t="shared" ref="D246" si="273">M246+O246+P246+Q246+R246+S246+T246+U246+V246+W246</f>
        <v>8966294</v>
      </c>
      <c r="E246" s="565">
        <f>+F246+G246+H246</f>
        <v>0</v>
      </c>
      <c r="F246" s="566">
        <v>0</v>
      </c>
      <c r="G246" s="565">
        <v>0</v>
      </c>
      <c r="H246" s="565">
        <v>0</v>
      </c>
      <c r="I246" s="565">
        <v>0</v>
      </c>
      <c r="J246" s="565">
        <v>0</v>
      </c>
      <c r="K246" s="565"/>
      <c r="L246" s="565">
        <v>0</v>
      </c>
      <c r="M246" s="450">
        <f>+E246+I246+J246+K246+L246+N246</f>
        <v>0</v>
      </c>
      <c r="N246" s="1078">
        <v>0</v>
      </c>
      <c r="O246" s="1078">
        <v>0</v>
      </c>
      <c r="P246" s="568">
        <f>11693659-3477365</f>
        <v>8216294</v>
      </c>
      <c r="Q246" s="568">
        <v>750000</v>
      </c>
      <c r="R246" s="568"/>
      <c r="S246" s="568"/>
      <c r="T246" s="568"/>
      <c r="U246" s="568"/>
      <c r="V246" s="568"/>
      <c r="W246" s="568"/>
      <c r="X246" s="2944"/>
      <c r="Y246" s="3034"/>
    </row>
    <row r="247" spans="1:26" s="988" customFormat="1" ht="27.75" customHeight="1">
      <c r="A247" s="2986" t="s">
        <v>109</v>
      </c>
      <c r="B247" s="493" t="s">
        <v>614</v>
      </c>
      <c r="C247" s="473" t="s">
        <v>98</v>
      </c>
      <c r="D247" s="474"/>
      <c r="E247" s="476"/>
      <c r="F247" s="476"/>
      <c r="G247" s="476"/>
      <c r="H247" s="476"/>
      <c r="I247" s="436"/>
      <c r="J247" s="436"/>
      <c r="K247" s="436"/>
      <c r="L247" s="436"/>
      <c r="M247" s="438"/>
      <c r="N247" s="438"/>
      <c r="O247" s="438"/>
      <c r="P247" s="438"/>
      <c r="Q247" s="438"/>
      <c r="R247" s="438"/>
      <c r="S247" s="438"/>
      <c r="T247" s="438"/>
      <c r="U247" s="916"/>
      <c r="V247" s="916"/>
      <c r="W247" s="916"/>
      <c r="X247" s="477"/>
      <c r="Y247" s="440"/>
      <c r="Z247" s="1283" t="s">
        <v>515</v>
      </c>
    </row>
    <row r="248" spans="1:26" s="988" customFormat="1" ht="14.25" customHeight="1">
      <c r="A248" s="2987"/>
      <c r="B248" s="399" t="s">
        <v>22</v>
      </c>
      <c r="C248" s="375"/>
      <c r="D248" s="478">
        <f t="shared" ref="D248:Q248" si="274">+D249+D253</f>
        <v>41966334</v>
      </c>
      <c r="E248" s="478">
        <f t="shared" si="274"/>
        <v>0</v>
      </c>
      <c r="F248" s="478">
        <f t="shared" si="274"/>
        <v>0</v>
      </c>
      <c r="G248" s="478">
        <f t="shared" si="274"/>
        <v>0</v>
      </c>
      <c r="H248" s="478">
        <f t="shared" si="274"/>
        <v>0</v>
      </c>
      <c r="I248" s="478">
        <f t="shared" si="274"/>
        <v>0</v>
      </c>
      <c r="J248" s="478">
        <f t="shared" si="274"/>
        <v>0</v>
      </c>
      <c r="K248" s="478">
        <f t="shared" si="274"/>
        <v>0</v>
      </c>
      <c r="L248" s="478">
        <f t="shared" si="274"/>
        <v>394091</v>
      </c>
      <c r="M248" s="478">
        <f t="shared" si="274"/>
        <v>5830974</v>
      </c>
      <c r="N248" s="478">
        <f t="shared" si="274"/>
        <v>5436883</v>
      </c>
      <c r="O248" s="478">
        <f t="shared" si="274"/>
        <v>187125</v>
      </c>
      <c r="P248" s="478">
        <f t="shared" si="274"/>
        <v>32922875</v>
      </c>
      <c r="Q248" s="478">
        <f t="shared" si="274"/>
        <v>3025360</v>
      </c>
      <c r="R248" s="478"/>
      <c r="S248" s="478"/>
      <c r="T248" s="478"/>
      <c r="U248" s="478"/>
      <c r="V248" s="478"/>
      <c r="W248" s="478"/>
      <c r="X248" s="480">
        <f>X249+X253</f>
        <v>35948235</v>
      </c>
      <c r="Y248" s="2991" t="s">
        <v>104</v>
      </c>
    </row>
    <row r="249" spans="1:26" s="988" customFormat="1" ht="15" customHeight="1">
      <c r="A249" s="2987"/>
      <c r="B249" s="445" t="s">
        <v>36</v>
      </c>
      <c r="C249" s="2978" t="s">
        <v>101</v>
      </c>
      <c r="D249" s="481">
        <f t="shared" ref="D249" si="275">+D250+D251+D252</f>
        <v>4370166</v>
      </c>
      <c r="E249" s="481">
        <f t="shared" ref="E249:Q249" si="276">+E250+E251+E252</f>
        <v>0</v>
      </c>
      <c r="F249" s="481">
        <f t="shared" si="276"/>
        <v>0</v>
      </c>
      <c r="G249" s="481">
        <f t="shared" si="276"/>
        <v>0</v>
      </c>
      <c r="H249" s="481">
        <f t="shared" si="276"/>
        <v>0</v>
      </c>
      <c r="I249" s="481">
        <f t="shared" si="276"/>
        <v>0</v>
      </c>
      <c r="J249" s="481">
        <f t="shared" si="276"/>
        <v>0</v>
      </c>
      <c r="K249" s="481">
        <f t="shared" si="276"/>
        <v>0</v>
      </c>
      <c r="L249" s="481">
        <f t="shared" si="276"/>
        <v>394091</v>
      </c>
      <c r="M249" s="481">
        <f t="shared" si="276"/>
        <v>2079894</v>
      </c>
      <c r="N249" s="481">
        <f t="shared" si="276"/>
        <v>1685803</v>
      </c>
      <c r="O249" s="481">
        <f t="shared" si="276"/>
        <v>186225</v>
      </c>
      <c r="P249" s="481">
        <f t="shared" si="276"/>
        <v>1404047</v>
      </c>
      <c r="Q249" s="481">
        <f t="shared" si="276"/>
        <v>700000</v>
      </c>
      <c r="R249" s="481"/>
      <c r="S249" s="481"/>
      <c r="T249" s="481"/>
      <c r="U249" s="481"/>
      <c r="V249" s="481"/>
      <c r="W249" s="481"/>
      <c r="X249" s="502">
        <f>+X250+X252</f>
        <v>2104047</v>
      </c>
      <c r="Y249" s="2991"/>
    </row>
    <row r="250" spans="1:26" s="988" customFormat="1" ht="12" customHeight="1">
      <c r="A250" s="2987"/>
      <c r="B250" s="448" t="s">
        <v>24</v>
      </c>
      <c r="C250" s="2980"/>
      <c r="D250" s="449">
        <f t="shared" ref="D250" si="277">M250+O250+P250+Q250+R250+S250+T250+U250+V250+W250</f>
        <v>2870166</v>
      </c>
      <c r="E250" s="456"/>
      <c r="F250" s="456"/>
      <c r="G250" s="456"/>
      <c r="H250" s="494"/>
      <c r="I250" s="494"/>
      <c r="J250" s="494"/>
      <c r="K250" s="494"/>
      <c r="L250" s="494">
        <v>394091</v>
      </c>
      <c r="M250" s="450">
        <f>+E250+I250+J250+K250+L250+N250</f>
        <v>2079894</v>
      </c>
      <c r="N250" s="450">
        <f>815532+870271</f>
        <v>1685803</v>
      </c>
      <c r="O250" s="450">
        <f>75000-46931+158156</f>
        <v>186225</v>
      </c>
      <c r="P250" s="450">
        <f>5550000+46931-4390000-802884</f>
        <v>404047</v>
      </c>
      <c r="Q250" s="450">
        <f>1933354-1900000+166646</f>
        <v>200000</v>
      </c>
      <c r="R250" s="457"/>
      <c r="S250" s="457"/>
      <c r="T250" s="457"/>
      <c r="U250" s="457"/>
      <c r="V250" s="457"/>
      <c r="W250" s="457"/>
      <c r="X250" s="409">
        <f>SUM(P250:T250)</f>
        <v>604047</v>
      </c>
      <c r="Y250" s="2991"/>
    </row>
    <row r="251" spans="1:26" s="988" customFormat="1" ht="12" hidden="1" customHeight="1">
      <c r="A251" s="2987"/>
      <c r="B251" s="503" t="s">
        <v>29</v>
      </c>
      <c r="C251" s="2980"/>
      <c r="D251" s="467">
        <f>+E251+I251+J251+K251+L251</f>
        <v>0</v>
      </c>
      <c r="E251" s="456">
        <f>+F251+G251+H251</f>
        <v>0</v>
      </c>
      <c r="F251" s="457">
        <v>0</v>
      </c>
      <c r="G251" s="456">
        <v>0</v>
      </c>
      <c r="H251" s="494">
        <f>142740-142740</f>
        <v>0</v>
      </c>
      <c r="I251" s="494">
        <f>201581-201581</f>
        <v>0</v>
      </c>
      <c r="J251" s="494"/>
      <c r="K251" s="456"/>
      <c r="L251" s="456">
        <v>0</v>
      </c>
      <c r="M251" s="456"/>
      <c r="N251" s="456">
        <v>0</v>
      </c>
      <c r="O251" s="456">
        <v>0</v>
      </c>
      <c r="P251" s="457">
        <v>0</v>
      </c>
      <c r="Q251" s="457"/>
      <c r="R251" s="457"/>
      <c r="S251" s="457"/>
      <c r="T251" s="457"/>
      <c r="U251" s="776"/>
      <c r="V251" s="776"/>
      <c r="W251" s="776"/>
      <c r="X251" s="486"/>
      <c r="Y251" s="2991"/>
    </row>
    <row r="252" spans="1:26" s="988" customFormat="1" ht="12" customHeight="1">
      <c r="A252" s="2987"/>
      <c r="B252" s="484" t="s">
        <v>27</v>
      </c>
      <c r="C252" s="2980"/>
      <c r="D252" s="449">
        <f>SUM(M252:T252)</f>
        <v>1500000</v>
      </c>
      <c r="E252" s="456">
        <v>0</v>
      </c>
      <c r="F252" s="457"/>
      <c r="G252" s="456"/>
      <c r="H252" s="494"/>
      <c r="I252" s="494">
        <v>0</v>
      </c>
      <c r="J252" s="494">
        <v>0</v>
      </c>
      <c r="K252" s="494"/>
      <c r="L252" s="456">
        <v>0</v>
      </c>
      <c r="M252" s="456">
        <v>0</v>
      </c>
      <c r="N252" s="456">
        <v>0</v>
      </c>
      <c r="O252" s="456">
        <v>0</v>
      </c>
      <c r="P252" s="457">
        <v>1000000</v>
      </c>
      <c r="Q252" s="457">
        <v>500000</v>
      </c>
      <c r="R252" s="457"/>
      <c r="S252" s="457"/>
      <c r="T252" s="457"/>
      <c r="U252" s="2697"/>
      <c r="V252" s="2697"/>
      <c r="W252" s="2697"/>
      <c r="X252" s="486">
        <f>SUM(P252:T252)</f>
        <v>1500000</v>
      </c>
      <c r="Y252" s="2991"/>
    </row>
    <row r="253" spans="1:26" s="988" customFormat="1" ht="12" customHeight="1">
      <c r="A253" s="2987"/>
      <c r="B253" s="458" t="s">
        <v>30</v>
      </c>
      <c r="C253" s="2980"/>
      <c r="D253" s="459">
        <f t="shared" ref="D253:Q253" si="278">+D254+D255</f>
        <v>37596168</v>
      </c>
      <c r="E253" s="459">
        <f t="shared" si="278"/>
        <v>0</v>
      </c>
      <c r="F253" s="459">
        <f t="shared" si="278"/>
        <v>0</v>
      </c>
      <c r="G253" s="459">
        <f t="shared" si="278"/>
        <v>0</v>
      </c>
      <c r="H253" s="459">
        <f t="shared" si="278"/>
        <v>0</v>
      </c>
      <c r="I253" s="459">
        <f t="shared" si="278"/>
        <v>0</v>
      </c>
      <c r="J253" s="459">
        <f t="shared" si="278"/>
        <v>0</v>
      </c>
      <c r="K253" s="459">
        <f t="shared" si="278"/>
        <v>0</v>
      </c>
      <c r="L253" s="459">
        <f t="shared" si="278"/>
        <v>0</v>
      </c>
      <c r="M253" s="459">
        <f t="shared" si="278"/>
        <v>3751080</v>
      </c>
      <c r="N253" s="459">
        <f t="shared" si="278"/>
        <v>3751080</v>
      </c>
      <c r="O253" s="459">
        <f t="shared" si="278"/>
        <v>900</v>
      </c>
      <c r="P253" s="459">
        <f t="shared" si="278"/>
        <v>31518828</v>
      </c>
      <c r="Q253" s="459">
        <f t="shared" si="278"/>
        <v>2325360</v>
      </c>
      <c r="R253" s="459"/>
      <c r="S253" s="459"/>
      <c r="T253" s="459"/>
      <c r="U253" s="459"/>
      <c r="V253" s="459"/>
      <c r="W253" s="459"/>
      <c r="X253" s="502">
        <f>+X254+X255</f>
        <v>33844188</v>
      </c>
      <c r="Y253" s="2991"/>
    </row>
    <row r="254" spans="1:26" s="988" customFormat="1" ht="12" hidden="1" customHeight="1">
      <c r="A254" s="2987"/>
      <c r="B254" s="503" t="s">
        <v>29</v>
      </c>
      <c r="C254" s="2980"/>
      <c r="D254" s="467">
        <v>0</v>
      </c>
      <c r="E254" s="456">
        <v>0</v>
      </c>
      <c r="F254" s="457">
        <v>0</v>
      </c>
      <c r="G254" s="456">
        <v>0</v>
      </c>
      <c r="H254" s="494">
        <v>0</v>
      </c>
      <c r="I254" s="494">
        <v>0</v>
      </c>
      <c r="J254" s="494">
        <v>0</v>
      </c>
      <c r="K254" s="456">
        <v>0</v>
      </c>
      <c r="L254" s="456">
        <v>0</v>
      </c>
      <c r="M254" s="854"/>
      <c r="N254" s="456">
        <v>0</v>
      </c>
      <c r="O254" s="456">
        <v>0</v>
      </c>
      <c r="P254" s="457">
        <v>0</v>
      </c>
      <c r="Q254" s="457"/>
      <c r="R254" s="457"/>
      <c r="S254" s="457"/>
      <c r="T254" s="457"/>
      <c r="U254" s="776"/>
      <c r="V254" s="776"/>
      <c r="W254" s="776"/>
      <c r="X254" s="486"/>
      <c r="Y254" s="2991"/>
    </row>
    <row r="255" spans="1:26" s="988" customFormat="1" ht="12" customHeight="1">
      <c r="A255" s="2987"/>
      <c r="B255" s="503" t="s">
        <v>33</v>
      </c>
      <c r="C255" s="2981"/>
      <c r="D255" s="449">
        <f t="shared" ref="D255" si="279">M255+O255+P255+Q255+R255+S255+T255+U255+V255+W255</f>
        <v>37596168</v>
      </c>
      <c r="E255" s="456">
        <f>+F255+G255+H255</f>
        <v>0</v>
      </c>
      <c r="F255" s="457"/>
      <c r="G255" s="456"/>
      <c r="H255" s="494"/>
      <c r="I255" s="494"/>
      <c r="J255" s="494"/>
      <c r="K255" s="456"/>
      <c r="L255" s="456">
        <v>0</v>
      </c>
      <c r="M255" s="450">
        <f>+E255+I255+J255+K255+L255+N255</f>
        <v>3751080</v>
      </c>
      <c r="N255" s="450">
        <f>4621351-870271</f>
        <v>3751080</v>
      </c>
      <c r="O255" s="450">
        <f>425000-265944-158156</f>
        <v>900</v>
      </c>
      <c r="P255" s="450">
        <f>31450000+265944-197116</f>
        <v>31518828</v>
      </c>
      <c r="Q255" s="450">
        <f>10955672-8630312</f>
        <v>2325360</v>
      </c>
      <c r="R255" s="457"/>
      <c r="S255" s="457"/>
      <c r="T255" s="457"/>
      <c r="U255" s="457"/>
      <c r="V255" s="457"/>
      <c r="W255" s="457"/>
      <c r="X255" s="409">
        <f>SUM(P255:T255)</f>
        <v>33844188</v>
      </c>
      <c r="Y255" s="3004"/>
    </row>
    <row r="256" spans="1:26" s="988" customFormat="1" ht="12" customHeight="1">
      <c r="A256" s="2987"/>
      <c r="B256" s="517" t="s">
        <v>34</v>
      </c>
      <c r="C256" s="375"/>
      <c r="D256" s="464">
        <f t="shared" ref="D256:Q256" si="280">+D260+D257</f>
        <v>39096168</v>
      </c>
      <c r="E256" s="464">
        <f t="shared" si="280"/>
        <v>0</v>
      </c>
      <c r="F256" s="464">
        <f t="shared" si="280"/>
        <v>0</v>
      </c>
      <c r="G256" s="464">
        <f t="shared" si="280"/>
        <v>0</v>
      </c>
      <c r="H256" s="464">
        <f t="shared" si="280"/>
        <v>0</v>
      </c>
      <c r="I256" s="464">
        <f t="shared" si="280"/>
        <v>0</v>
      </c>
      <c r="J256" s="464">
        <f t="shared" si="280"/>
        <v>0</v>
      </c>
      <c r="K256" s="464">
        <f t="shared" si="280"/>
        <v>0</v>
      </c>
      <c r="L256" s="464">
        <f t="shared" si="280"/>
        <v>0</v>
      </c>
      <c r="M256" s="1037">
        <f t="shared" si="280"/>
        <v>0</v>
      </c>
      <c r="N256" s="1037">
        <f t="shared" si="280"/>
        <v>0</v>
      </c>
      <c r="O256" s="1037">
        <f t="shared" si="280"/>
        <v>0</v>
      </c>
      <c r="P256" s="464">
        <f t="shared" si="280"/>
        <v>28140496</v>
      </c>
      <c r="Q256" s="464">
        <f t="shared" si="280"/>
        <v>10955672</v>
      </c>
      <c r="R256" s="464"/>
      <c r="S256" s="464"/>
      <c r="T256" s="464"/>
      <c r="U256" s="464"/>
      <c r="V256" s="464"/>
      <c r="W256" s="464"/>
      <c r="X256" s="2965" t="s">
        <v>35</v>
      </c>
      <c r="Y256" s="3044" t="s">
        <v>122</v>
      </c>
      <c r="Z256" s="987"/>
    </row>
    <row r="257" spans="1:26" s="988" customFormat="1" ht="12" customHeight="1">
      <c r="A257" s="2987"/>
      <c r="B257" s="445" t="s">
        <v>36</v>
      </c>
      <c r="C257" s="3043" t="s">
        <v>309</v>
      </c>
      <c r="D257" s="459">
        <f>+D258+D259</f>
        <v>1500000</v>
      </c>
      <c r="E257" s="459">
        <f t="shared" ref="E257:P257" si="281">+E258+E259</f>
        <v>0</v>
      </c>
      <c r="F257" s="459">
        <f t="shared" si="281"/>
        <v>0</v>
      </c>
      <c r="G257" s="459">
        <f t="shared" si="281"/>
        <v>0</v>
      </c>
      <c r="H257" s="459">
        <f t="shared" si="281"/>
        <v>0</v>
      </c>
      <c r="I257" s="459">
        <f t="shared" si="281"/>
        <v>0</v>
      </c>
      <c r="J257" s="459">
        <f t="shared" si="281"/>
        <v>0</v>
      </c>
      <c r="K257" s="459">
        <f t="shared" si="281"/>
        <v>0</v>
      </c>
      <c r="L257" s="459">
        <f t="shared" si="281"/>
        <v>0</v>
      </c>
      <c r="M257" s="1035">
        <v>0</v>
      </c>
      <c r="N257" s="1035">
        <f t="shared" si="281"/>
        <v>0</v>
      </c>
      <c r="O257" s="1035">
        <f t="shared" si="281"/>
        <v>0</v>
      </c>
      <c r="P257" s="459">
        <f t="shared" si="281"/>
        <v>1000000</v>
      </c>
      <c r="Q257" s="459">
        <f t="shared" ref="Q257" si="282">+Q258+Q259</f>
        <v>500000</v>
      </c>
      <c r="R257" s="459"/>
      <c r="S257" s="459"/>
      <c r="T257" s="459"/>
      <c r="U257" s="459"/>
      <c r="V257" s="459"/>
      <c r="W257" s="459"/>
      <c r="X257" s="2943"/>
      <c r="Y257" s="3033"/>
    </row>
    <row r="258" spans="1:26" s="988" customFormat="1" ht="12" hidden="1" customHeight="1">
      <c r="A258" s="2987"/>
      <c r="B258" s="484" t="s">
        <v>29</v>
      </c>
      <c r="C258" s="2980"/>
      <c r="D258" s="449">
        <f>SUM(M258:T258)</f>
        <v>0</v>
      </c>
      <c r="E258" s="466">
        <f>+F258+G258+H258</f>
        <v>0</v>
      </c>
      <c r="F258" s="466">
        <v>0</v>
      </c>
      <c r="G258" s="466">
        <v>0</v>
      </c>
      <c r="H258" s="466">
        <v>0</v>
      </c>
      <c r="I258" s="466">
        <v>0</v>
      </c>
      <c r="J258" s="466"/>
      <c r="K258" s="466"/>
      <c r="L258" s="466"/>
      <c r="M258" s="2698"/>
      <c r="N258" s="2698">
        <v>0</v>
      </c>
      <c r="O258" s="2698">
        <v>0</v>
      </c>
      <c r="P258" s="467">
        <v>0</v>
      </c>
      <c r="Q258" s="467">
        <v>0</v>
      </c>
      <c r="R258" s="467"/>
      <c r="S258" s="467"/>
      <c r="T258" s="467"/>
      <c r="U258" s="467"/>
      <c r="V258" s="467"/>
      <c r="W258" s="467"/>
      <c r="X258" s="2943"/>
      <c r="Y258" s="3033"/>
    </row>
    <row r="259" spans="1:26" s="988" customFormat="1" ht="12" customHeight="1">
      <c r="A259" s="2987"/>
      <c r="B259" s="484" t="s">
        <v>27</v>
      </c>
      <c r="C259" s="2980"/>
      <c r="D259" s="467">
        <f t="shared" ref="D259" si="283">M259+O259+P259+Q259+R259+S259+T259+U259+V259+W259</f>
        <v>1500000</v>
      </c>
      <c r="E259" s="466">
        <v>0</v>
      </c>
      <c r="F259" s="466"/>
      <c r="G259" s="466"/>
      <c r="H259" s="466"/>
      <c r="I259" s="466">
        <v>0</v>
      </c>
      <c r="J259" s="466">
        <v>0</v>
      </c>
      <c r="K259" s="466"/>
      <c r="L259" s="466">
        <v>0</v>
      </c>
      <c r="M259" s="2698">
        <v>0</v>
      </c>
      <c r="N259" s="2698">
        <v>0</v>
      </c>
      <c r="O259" s="2698">
        <v>0</v>
      </c>
      <c r="P259" s="467">
        <v>1000000</v>
      </c>
      <c r="Q259" s="467">
        <v>500000</v>
      </c>
      <c r="R259" s="467"/>
      <c r="S259" s="467"/>
      <c r="T259" s="467"/>
      <c r="U259" s="467"/>
      <c r="V259" s="467"/>
      <c r="W259" s="467"/>
      <c r="X259" s="2943"/>
      <c r="Y259" s="3033"/>
    </row>
    <row r="260" spans="1:26" s="988" customFormat="1" ht="12" customHeight="1">
      <c r="A260" s="2987"/>
      <c r="B260" s="518" t="s">
        <v>30</v>
      </c>
      <c r="C260" s="2980"/>
      <c r="D260" s="511">
        <f t="shared" ref="D260:L260" si="284">+D261+D262</f>
        <v>37596168</v>
      </c>
      <c r="E260" s="511">
        <f t="shared" si="284"/>
        <v>0</v>
      </c>
      <c r="F260" s="511">
        <f t="shared" si="284"/>
        <v>0</v>
      </c>
      <c r="G260" s="511">
        <f t="shared" si="284"/>
        <v>0</v>
      </c>
      <c r="H260" s="511">
        <f t="shared" si="284"/>
        <v>0</v>
      </c>
      <c r="I260" s="511">
        <f t="shared" si="284"/>
        <v>0</v>
      </c>
      <c r="J260" s="511">
        <f t="shared" si="284"/>
        <v>0</v>
      </c>
      <c r="K260" s="511">
        <f t="shared" si="284"/>
        <v>0</v>
      </c>
      <c r="L260" s="511">
        <f t="shared" si="284"/>
        <v>0</v>
      </c>
      <c r="M260" s="1077">
        <v>0</v>
      </c>
      <c r="N260" s="1077">
        <f>+N261+N262</f>
        <v>0</v>
      </c>
      <c r="O260" s="1077">
        <f>+O261+O262</f>
        <v>0</v>
      </c>
      <c r="P260" s="519">
        <f>+P261+P262</f>
        <v>27140496</v>
      </c>
      <c r="Q260" s="519">
        <f>+Q261+Q262</f>
        <v>10455672</v>
      </c>
      <c r="R260" s="519"/>
      <c r="S260" s="519"/>
      <c r="T260" s="519"/>
      <c r="U260" s="519"/>
      <c r="V260" s="519"/>
      <c r="W260" s="519"/>
      <c r="X260" s="2943"/>
      <c r="Y260" s="3033"/>
    </row>
    <row r="261" spans="1:26" s="988" customFormat="1" ht="12" hidden="1" customHeight="1">
      <c r="A261" s="2987"/>
      <c r="B261" s="503" t="s">
        <v>29</v>
      </c>
      <c r="C261" s="2980"/>
      <c r="D261" s="449">
        <f>SUM(M261:T261)</f>
        <v>0</v>
      </c>
      <c r="E261" s="466">
        <f>+F261+G261+H261</f>
        <v>0</v>
      </c>
      <c r="F261" s="466">
        <v>0</v>
      </c>
      <c r="G261" s="466">
        <v>0</v>
      </c>
      <c r="H261" s="466">
        <v>0</v>
      </c>
      <c r="I261" s="466">
        <v>0</v>
      </c>
      <c r="J261" s="466">
        <v>0</v>
      </c>
      <c r="K261" s="466">
        <v>0</v>
      </c>
      <c r="L261" s="466">
        <v>0</v>
      </c>
      <c r="M261" s="2698"/>
      <c r="N261" s="2698">
        <v>0</v>
      </c>
      <c r="O261" s="2698">
        <v>0</v>
      </c>
      <c r="P261" s="467">
        <v>0</v>
      </c>
      <c r="Q261" s="467"/>
      <c r="R261" s="467"/>
      <c r="S261" s="467"/>
      <c r="T261" s="467"/>
      <c r="U261" s="467"/>
      <c r="V261" s="467"/>
      <c r="W261" s="467"/>
      <c r="X261" s="2943"/>
      <c r="Y261" s="3033"/>
    </row>
    <row r="262" spans="1:26" s="988" customFormat="1" ht="14.25" customHeight="1" thickBot="1">
      <c r="A262" s="3023"/>
      <c r="B262" s="521" t="s">
        <v>33</v>
      </c>
      <c r="C262" s="3016"/>
      <c r="D262" s="449">
        <f t="shared" ref="D262" si="285">M262+O262+P262+Q262+R262+S262+T262+U262+V262+W262</f>
        <v>37596168</v>
      </c>
      <c r="E262" s="469">
        <v>0</v>
      </c>
      <c r="F262" s="469"/>
      <c r="G262" s="469"/>
      <c r="H262" s="469"/>
      <c r="I262" s="469">
        <v>0</v>
      </c>
      <c r="J262" s="469">
        <v>0</v>
      </c>
      <c r="K262" s="469"/>
      <c r="L262" s="469"/>
      <c r="M262" s="450">
        <f>+E262+I262+J262+K262+L262+N262</f>
        <v>0</v>
      </c>
      <c r="N262" s="2699">
        <v>0</v>
      </c>
      <c r="O262" s="2699">
        <v>0</v>
      </c>
      <c r="P262" s="450">
        <f>36496351-9355855</f>
        <v>27140496</v>
      </c>
      <c r="Q262" s="450">
        <f>10955672-500000</f>
        <v>10455672</v>
      </c>
      <c r="R262" s="496"/>
      <c r="S262" s="496"/>
      <c r="T262" s="496"/>
      <c r="U262" s="496"/>
      <c r="V262" s="496"/>
      <c r="W262" s="496"/>
      <c r="X262" s="2944"/>
      <c r="Y262" s="3034"/>
    </row>
    <row r="263" spans="1:26" ht="27" customHeight="1">
      <c r="A263" s="2986" t="s">
        <v>110</v>
      </c>
      <c r="B263" s="493" t="s">
        <v>639</v>
      </c>
      <c r="C263" s="473" t="s">
        <v>98</v>
      </c>
      <c r="D263" s="474"/>
      <c r="E263" s="476"/>
      <c r="F263" s="475"/>
      <c r="G263" s="476"/>
      <c r="H263" s="476"/>
      <c r="I263" s="436"/>
      <c r="J263" s="436"/>
      <c r="K263" s="436"/>
      <c r="L263" s="436"/>
      <c r="M263" s="438"/>
      <c r="N263" s="438"/>
      <c r="O263" s="438"/>
      <c r="P263" s="438"/>
      <c r="Q263" s="438"/>
      <c r="R263" s="438"/>
      <c r="S263" s="438"/>
      <c r="T263" s="438"/>
      <c r="U263" s="438"/>
      <c r="V263" s="438"/>
      <c r="W263" s="438"/>
      <c r="X263" s="439"/>
      <c r="Y263" s="535"/>
      <c r="Z263" s="1283" t="s">
        <v>515</v>
      </c>
    </row>
    <row r="264" spans="1:26" ht="15.75" customHeight="1">
      <c r="A264" s="2987"/>
      <c r="B264" s="374" t="s">
        <v>22</v>
      </c>
      <c r="C264" s="375"/>
      <c r="D264" s="478">
        <f t="shared" ref="D264:O264" si="286">+D265+D268</f>
        <v>8381066</v>
      </c>
      <c r="E264" s="478">
        <f>+E265+E268</f>
        <v>0</v>
      </c>
      <c r="F264" s="479">
        <f t="shared" si="286"/>
        <v>0</v>
      </c>
      <c r="G264" s="479">
        <f t="shared" si="286"/>
        <v>0</v>
      </c>
      <c r="H264" s="479">
        <f t="shared" si="286"/>
        <v>0</v>
      </c>
      <c r="I264" s="479">
        <f t="shared" si="286"/>
        <v>0</v>
      </c>
      <c r="J264" s="479">
        <f t="shared" si="286"/>
        <v>0</v>
      </c>
      <c r="K264" s="479">
        <f t="shared" si="286"/>
        <v>0</v>
      </c>
      <c r="L264" s="479">
        <f t="shared" si="286"/>
        <v>0</v>
      </c>
      <c r="M264" s="1079">
        <f t="shared" ref="M264" si="287">+M265+M268</f>
        <v>0</v>
      </c>
      <c r="N264" s="1079">
        <f t="shared" si="286"/>
        <v>0</v>
      </c>
      <c r="O264" s="479">
        <f t="shared" si="286"/>
        <v>0</v>
      </c>
      <c r="P264" s="479">
        <f>+P265+P268</f>
        <v>6000000</v>
      </c>
      <c r="Q264" s="479">
        <f>+Q265+Q268</f>
        <v>2381066</v>
      </c>
      <c r="R264" s="479"/>
      <c r="S264" s="479"/>
      <c r="T264" s="479"/>
      <c r="U264" s="479"/>
      <c r="V264" s="479"/>
      <c r="W264" s="479"/>
      <c r="X264" s="480">
        <f>X265+X268</f>
        <v>8381066</v>
      </c>
      <c r="Y264" s="2991" t="s">
        <v>104</v>
      </c>
      <c r="Z264" s="843"/>
    </row>
    <row r="265" spans="1:26" ht="13.5" customHeight="1">
      <c r="A265" s="2987"/>
      <c r="B265" s="526" t="s">
        <v>36</v>
      </c>
      <c r="C265" s="2978" t="s">
        <v>101</v>
      </c>
      <c r="D265" s="481">
        <f>+D266+D267</f>
        <v>210079</v>
      </c>
      <c r="E265" s="481">
        <f>+E266+E267</f>
        <v>0</v>
      </c>
      <c r="F265" s="481">
        <f t="shared" ref="F265:O265" si="288">+F266+F267</f>
        <v>0</v>
      </c>
      <c r="G265" s="481">
        <f t="shared" si="288"/>
        <v>0</v>
      </c>
      <c r="H265" s="481">
        <f t="shared" si="288"/>
        <v>0</v>
      </c>
      <c r="I265" s="481">
        <f t="shared" si="288"/>
        <v>0</v>
      </c>
      <c r="J265" s="481">
        <f t="shared" si="288"/>
        <v>0</v>
      </c>
      <c r="K265" s="481">
        <f t="shared" si="288"/>
        <v>0</v>
      </c>
      <c r="L265" s="481">
        <f t="shared" si="288"/>
        <v>0</v>
      </c>
      <c r="M265" s="1075">
        <f t="shared" ref="M265" si="289">+M266+M267</f>
        <v>0</v>
      </c>
      <c r="N265" s="1075">
        <f t="shared" si="288"/>
        <v>0</v>
      </c>
      <c r="O265" s="481">
        <f t="shared" si="288"/>
        <v>0</v>
      </c>
      <c r="P265" s="481">
        <f>+P266+P267</f>
        <v>10079</v>
      </c>
      <c r="Q265" s="481">
        <f>+Q266+Q267</f>
        <v>200000</v>
      </c>
      <c r="R265" s="481"/>
      <c r="S265" s="481"/>
      <c r="T265" s="481"/>
      <c r="U265" s="481"/>
      <c r="V265" s="481"/>
      <c r="W265" s="481"/>
      <c r="X265" s="502">
        <f>X266</f>
        <v>210079</v>
      </c>
      <c r="Y265" s="2991"/>
      <c r="Z265" s="843"/>
    </row>
    <row r="266" spans="1:26" ht="11.25" customHeight="1">
      <c r="A266" s="2987"/>
      <c r="B266" s="527" t="s">
        <v>24</v>
      </c>
      <c r="C266" s="2994"/>
      <c r="D266" s="449">
        <f t="shared" ref="D266" si="290">M266+O266+P266+Q266+R266+S266+T266+U266+V266+W266</f>
        <v>210079</v>
      </c>
      <c r="E266" s="456"/>
      <c r="F266" s="457">
        <v>0</v>
      </c>
      <c r="G266" s="456">
        <v>0</v>
      </c>
      <c r="H266" s="494">
        <v>0</v>
      </c>
      <c r="I266" s="494"/>
      <c r="J266" s="494"/>
      <c r="K266" s="456"/>
      <c r="L266" s="494"/>
      <c r="M266" s="1227">
        <f>+E266+I266+J266+K266+L266+N266</f>
        <v>0</v>
      </c>
      <c r="N266" s="854">
        <v>0</v>
      </c>
      <c r="O266" s="1080">
        <f>6000-6000</f>
        <v>0</v>
      </c>
      <c r="P266" s="1080">
        <f>894000+6000-889921</f>
        <v>10079</v>
      </c>
      <c r="Q266" s="1080">
        <f>465000-265000</f>
        <v>200000</v>
      </c>
      <c r="R266" s="1080"/>
      <c r="S266" s="450"/>
      <c r="T266" s="450"/>
      <c r="U266" s="450"/>
      <c r="V266" s="450"/>
      <c r="W266" s="450"/>
      <c r="X266" s="409">
        <f>SUM(P266:T266)</f>
        <v>210079</v>
      </c>
      <c r="Y266" s="2991"/>
      <c r="Z266" s="843"/>
    </row>
    <row r="267" spans="1:26" ht="10.5" hidden="1" customHeight="1">
      <c r="A267" s="2987"/>
      <c r="B267" s="2060" t="s">
        <v>27</v>
      </c>
      <c r="C267" s="2994"/>
      <c r="D267" s="933">
        <f t="shared" ref="D267" si="291">SUM(M267:T267)</f>
        <v>0</v>
      </c>
      <c r="E267" s="456">
        <v>0</v>
      </c>
      <c r="F267" s="454">
        <v>0</v>
      </c>
      <c r="G267" s="454">
        <v>0</v>
      </c>
      <c r="H267" s="487">
        <v>0</v>
      </c>
      <c r="I267" s="487"/>
      <c r="J267" s="487"/>
      <c r="K267" s="454">
        <v>0</v>
      </c>
      <c r="L267" s="454">
        <v>0</v>
      </c>
      <c r="M267" s="1036">
        <v>0</v>
      </c>
      <c r="N267" s="1036">
        <v>0</v>
      </c>
      <c r="O267" s="454">
        <v>0</v>
      </c>
      <c r="P267" s="454">
        <v>0</v>
      </c>
      <c r="Q267" s="454"/>
      <c r="R267" s="454"/>
      <c r="S267" s="454"/>
      <c r="T267" s="454"/>
      <c r="U267" s="776"/>
      <c r="V267" s="776"/>
      <c r="W267" s="776"/>
      <c r="X267" s="486"/>
      <c r="Y267" s="2991"/>
    </row>
    <row r="268" spans="1:26" ht="12.75" customHeight="1">
      <c r="A268" s="2987"/>
      <c r="B268" s="518" t="s">
        <v>30</v>
      </c>
      <c r="C268" s="2994"/>
      <c r="D268" s="459">
        <f>+D269</f>
        <v>8170987</v>
      </c>
      <c r="E268" s="460">
        <f>+E269</f>
        <v>0</v>
      </c>
      <c r="F268" s="460">
        <f t="shared" ref="F268:Q268" si="292">+F269</f>
        <v>0</v>
      </c>
      <c r="G268" s="460">
        <f t="shared" si="292"/>
        <v>0</v>
      </c>
      <c r="H268" s="460">
        <f t="shared" si="292"/>
        <v>0</v>
      </c>
      <c r="I268" s="460">
        <f t="shared" si="292"/>
        <v>0</v>
      </c>
      <c r="J268" s="460">
        <f t="shared" si="292"/>
        <v>0</v>
      </c>
      <c r="K268" s="460">
        <f t="shared" si="292"/>
        <v>0</v>
      </c>
      <c r="L268" s="460">
        <f t="shared" si="292"/>
        <v>0</v>
      </c>
      <c r="M268" s="1081">
        <f t="shared" si="292"/>
        <v>0</v>
      </c>
      <c r="N268" s="1081">
        <f t="shared" si="292"/>
        <v>0</v>
      </c>
      <c r="O268" s="460">
        <f t="shared" si="292"/>
        <v>0</v>
      </c>
      <c r="P268" s="460">
        <f t="shared" si="292"/>
        <v>5989921</v>
      </c>
      <c r="Q268" s="460">
        <f t="shared" si="292"/>
        <v>2181066</v>
      </c>
      <c r="R268" s="460"/>
      <c r="S268" s="460"/>
      <c r="T268" s="460"/>
      <c r="U268" s="459"/>
      <c r="V268" s="459"/>
      <c r="W268" s="459"/>
      <c r="X268" s="502">
        <f>X269</f>
        <v>8170987</v>
      </c>
      <c r="Y268" s="2991"/>
    </row>
    <row r="269" spans="1:26" ht="12" customHeight="1">
      <c r="A269" s="2987"/>
      <c r="B269" s="527" t="s">
        <v>33</v>
      </c>
      <c r="C269" s="3014"/>
      <c r="D269" s="2340">
        <f t="shared" ref="D269" si="293">M269+O269+P269+Q269+R269+S269+T269+U269+V269+W269</f>
        <v>8170987</v>
      </c>
      <c r="E269" s="456"/>
      <c r="F269" s="457">
        <v>0</v>
      </c>
      <c r="G269" s="456">
        <v>0</v>
      </c>
      <c r="H269" s="494">
        <v>0</v>
      </c>
      <c r="I269" s="494"/>
      <c r="J269" s="494"/>
      <c r="K269" s="456">
        <v>0</v>
      </c>
      <c r="L269" s="456">
        <v>0</v>
      </c>
      <c r="M269" s="1227">
        <f>+E269+I269+J269+K269+L269+N269</f>
        <v>0</v>
      </c>
      <c r="N269" s="854">
        <v>0</v>
      </c>
      <c r="O269" s="450">
        <f>34000-34000</f>
        <v>0</v>
      </c>
      <c r="P269" s="450">
        <f>5066000+34000+889921</f>
        <v>5989921</v>
      </c>
      <c r="Q269" s="450">
        <f>2635000-453934</f>
        <v>2181066</v>
      </c>
      <c r="R269" s="450"/>
      <c r="S269" s="456"/>
      <c r="T269" s="456"/>
      <c r="U269" s="457"/>
      <c r="V269" s="457"/>
      <c r="W269" s="457"/>
      <c r="X269" s="409">
        <f>SUM(P269:T269)</f>
        <v>8170987</v>
      </c>
      <c r="Y269" s="3004"/>
    </row>
    <row r="270" spans="1:26" s="848" customFormat="1" ht="16.5" customHeight="1">
      <c r="A270" s="2988"/>
      <c r="B270" s="543" t="s">
        <v>34</v>
      </c>
      <c r="C270" s="538"/>
      <c r="D270" s="571">
        <f t="shared" ref="D270:O270" si="294">+D271+D273</f>
        <v>8170987</v>
      </c>
      <c r="E270" s="851">
        <f t="shared" si="294"/>
        <v>0</v>
      </c>
      <c r="F270" s="851">
        <f t="shared" si="294"/>
        <v>0</v>
      </c>
      <c r="G270" s="851">
        <f t="shared" si="294"/>
        <v>0</v>
      </c>
      <c r="H270" s="851">
        <f t="shared" si="294"/>
        <v>0</v>
      </c>
      <c r="I270" s="851">
        <f t="shared" si="294"/>
        <v>0</v>
      </c>
      <c r="J270" s="851">
        <f t="shared" si="294"/>
        <v>0</v>
      </c>
      <c r="K270" s="851">
        <f t="shared" si="294"/>
        <v>0</v>
      </c>
      <c r="L270" s="851">
        <f t="shared" si="294"/>
        <v>0</v>
      </c>
      <c r="M270" s="855">
        <f t="shared" ref="M270" si="295">+M271+M273</f>
        <v>0</v>
      </c>
      <c r="N270" s="855">
        <f t="shared" si="294"/>
        <v>0</v>
      </c>
      <c r="O270" s="855">
        <f t="shared" si="294"/>
        <v>0</v>
      </c>
      <c r="P270" s="851">
        <f>+P271+P273</f>
        <v>4435987</v>
      </c>
      <c r="Q270" s="851">
        <f>+Q271+Q273</f>
        <v>3735000</v>
      </c>
      <c r="R270" s="851"/>
      <c r="S270" s="851"/>
      <c r="T270" s="851"/>
      <c r="U270" s="851"/>
      <c r="V270" s="851"/>
      <c r="W270" s="851"/>
      <c r="X270" s="2952" t="s">
        <v>35</v>
      </c>
      <c r="Y270" s="3052" t="s">
        <v>122</v>
      </c>
      <c r="Z270" s="2422"/>
    </row>
    <row r="271" spans="1:26" ht="13.5" hidden="1" customHeight="1">
      <c r="A271" s="2988"/>
      <c r="B271" s="445" t="s">
        <v>36</v>
      </c>
      <c r="C271" s="3039" t="s">
        <v>328</v>
      </c>
      <c r="D271" s="465">
        <f>+D272</f>
        <v>0</v>
      </c>
      <c r="E271" s="465">
        <f t="shared" ref="E271:P271" si="296">+E272</f>
        <v>0</v>
      </c>
      <c r="F271" s="465">
        <f t="shared" si="296"/>
        <v>0</v>
      </c>
      <c r="G271" s="465">
        <f t="shared" si="296"/>
        <v>0</v>
      </c>
      <c r="H271" s="465">
        <f t="shared" si="296"/>
        <v>0</v>
      </c>
      <c r="I271" s="465">
        <f t="shared" si="296"/>
        <v>0</v>
      </c>
      <c r="J271" s="465">
        <f t="shared" si="296"/>
        <v>0</v>
      </c>
      <c r="K271" s="465">
        <f t="shared" si="296"/>
        <v>0</v>
      </c>
      <c r="L271" s="465">
        <f t="shared" si="296"/>
        <v>0</v>
      </c>
      <c r="M271" s="1038">
        <f t="shared" si="296"/>
        <v>0</v>
      </c>
      <c r="N271" s="1038">
        <f t="shared" si="296"/>
        <v>0</v>
      </c>
      <c r="O271" s="1038">
        <f t="shared" si="296"/>
        <v>0</v>
      </c>
      <c r="P271" s="465">
        <f t="shared" si="296"/>
        <v>0</v>
      </c>
      <c r="Q271" s="465"/>
      <c r="R271" s="465"/>
      <c r="S271" s="465"/>
      <c r="T271" s="465"/>
      <c r="U271" s="465"/>
      <c r="V271" s="465"/>
      <c r="W271" s="465"/>
      <c r="X271" s="2953"/>
      <c r="Y271" s="3050"/>
    </row>
    <row r="272" spans="1:26" ht="13.5" hidden="1" customHeight="1">
      <c r="A272" s="2988"/>
      <c r="B272" s="542" t="s">
        <v>27</v>
      </c>
      <c r="C272" s="3041"/>
      <c r="D272" s="449">
        <f>SUM(M272:T272)</f>
        <v>0</v>
      </c>
      <c r="E272" s="467">
        <f>+F272+G272+H272</f>
        <v>0</v>
      </c>
      <c r="F272" s="467">
        <v>0</v>
      </c>
      <c r="G272" s="467">
        <v>0</v>
      </c>
      <c r="H272" s="467">
        <v>0</v>
      </c>
      <c r="I272" s="467"/>
      <c r="J272" s="467"/>
      <c r="K272" s="467">
        <v>0</v>
      </c>
      <c r="L272" s="467">
        <v>0</v>
      </c>
      <c r="M272" s="1039">
        <v>0</v>
      </c>
      <c r="N272" s="1039">
        <v>0</v>
      </c>
      <c r="O272" s="1039">
        <v>0</v>
      </c>
      <c r="P272" s="467">
        <v>0</v>
      </c>
      <c r="Q272" s="467"/>
      <c r="R272" s="467"/>
      <c r="S272" s="467"/>
      <c r="T272" s="467"/>
      <c r="U272" s="467"/>
      <c r="V272" s="467"/>
      <c r="W272" s="467"/>
      <c r="X272" s="2953"/>
      <c r="Y272" s="3050"/>
    </row>
    <row r="273" spans="1:26" ht="12" customHeight="1">
      <c r="A273" s="2988"/>
      <c r="B273" s="458" t="s">
        <v>30</v>
      </c>
      <c r="C273" s="3041"/>
      <c r="D273" s="459">
        <f t="shared" ref="D273:Q273" si="297">+D274</f>
        <v>8170987</v>
      </c>
      <c r="E273" s="460">
        <f t="shared" si="297"/>
        <v>0</v>
      </c>
      <c r="F273" s="460">
        <f t="shared" si="297"/>
        <v>0</v>
      </c>
      <c r="G273" s="460">
        <f t="shared" si="297"/>
        <v>0</v>
      </c>
      <c r="H273" s="460">
        <f t="shared" si="297"/>
        <v>0</v>
      </c>
      <c r="I273" s="460">
        <f t="shared" si="297"/>
        <v>0</v>
      </c>
      <c r="J273" s="460">
        <f t="shared" si="297"/>
        <v>0</v>
      </c>
      <c r="K273" s="460">
        <f t="shared" si="297"/>
        <v>0</v>
      </c>
      <c r="L273" s="460">
        <f t="shared" si="297"/>
        <v>0</v>
      </c>
      <c r="M273" s="1081">
        <f t="shared" si="297"/>
        <v>0</v>
      </c>
      <c r="N273" s="1081">
        <f t="shared" si="297"/>
        <v>0</v>
      </c>
      <c r="O273" s="1081">
        <f t="shared" si="297"/>
        <v>0</v>
      </c>
      <c r="P273" s="460">
        <f t="shared" si="297"/>
        <v>4435987</v>
      </c>
      <c r="Q273" s="460">
        <f t="shared" si="297"/>
        <v>3735000</v>
      </c>
      <c r="R273" s="460"/>
      <c r="S273" s="460"/>
      <c r="T273" s="460"/>
      <c r="U273" s="460"/>
      <c r="V273" s="460"/>
      <c r="W273" s="460"/>
      <c r="X273" s="2953"/>
      <c r="Y273" s="3050"/>
    </row>
    <row r="274" spans="1:26" ht="13.5" customHeight="1" thickBot="1">
      <c r="A274" s="2989"/>
      <c r="B274" s="490" t="s">
        <v>33</v>
      </c>
      <c r="C274" s="3042"/>
      <c r="D274" s="1221">
        <f t="shared" ref="D274" si="298">M274+O274+P274+Q274+R274+S274+T274+U274+V274+W274</f>
        <v>8170987</v>
      </c>
      <c r="E274" s="491">
        <f>+F274+G274+H274</f>
        <v>0</v>
      </c>
      <c r="F274" s="492">
        <v>0</v>
      </c>
      <c r="G274" s="491">
        <v>0</v>
      </c>
      <c r="H274" s="491">
        <v>0</v>
      </c>
      <c r="I274" s="491"/>
      <c r="J274" s="491"/>
      <c r="K274" s="491">
        <v>0</v>
      </c>
      <c r="L274" s="491">
        <v>0</v>
      </c>
      <c r="M274" s="1228">
        <f>+E274+I274+J274+K274+L274+N274</f>
        <v>0</v>
      </c>
      <c r="N274" s="1082">
        <v>0</v>
      </c>
      <c r="O274" s="1082">
        <v>0</v>
      </c>
      <c r="P274" s="491">
        <f>4000000+435987</f>
        <v>4435987</v>
      </c>
      <c r="Q274" s="491">
        <v>3735000</v>
      </c>
      <c r="R274" s="491"/>
      <c r="S274" s="491"/>
      <c r="T274" s="491"/>
      <c r="U274" s="491"/>
      <c r="V274" s="491"/>
      <c r="W274" s="491"/>
      <c r="X274" s="2954"/>
      <c r="Y274" s="3051"/>
    </row>
    <row r="275" spans="1:26" ht="25.5" customHeight="1">
      <c r="A275" s="2986" t="s">
        <v>111</v>
      </c>
      <c r="B275" s="493" t="s">
        <v>615</v>
      </c>
      <c r="C275" s="473" t="s">
        <v>98</v>
      </c>
      <c r="D275" s="474"/>
      <c r="E275" s="476"/>
      <c r="F275" s="475"/>
      <c r="G275" s="476"/>
      <c r="H275" s="476"/>
      <c r="I275" s="436"/>
      <c r="J275" s="436"/>
      <c r="K275" s="436"/>
      <c r="L275" s="436"/>
      <c r="M275" s="438"/>
      <c r="N275" s="438"/>
      <c r="O275" s="438"/>
      <c r="P275" s="438"/>
      <c r="Q275" s="438"/>
      <c r="R275" s="438"/>
      <c r="S275" s="438"/>
      <c r="T275" s="438"/>
      <c r="U275" s="438"/>
      <c r="V275" s="438"/>
      <c r="W275" s="438"/>
      <c r="X275" s="439"/>
      <c r="Y275" s="535"/>
      <c r="Z275" s="1283" t="s">
        <v>515</v>
      </c>
    </row>
    <row r="276" spans="1:26">
      <c r="A276" s="2987"/>
      <c r="B276" s="374" t="s">
        <v>22</v>
      </c>
      <c r="C276" s="2381"/>
      <c r="D276" s="2382">
        <f t="shared" ref="D276" si="299">+D277+D280</f>
        <v>67060838</v>
      </c>
      <c r="E276" s="2382">
        <f>+E277+E280</f>
        <v>0</v>
      </c>
      <c r="F276" s="2474">
        <f t="shared" ref="F276:O276" si="300">+F277+F280</f>
        <v>0</v>
      </c>
      <c r="G276" s="2474">
        <f t="shared" si="300"/>
        <v>0</v>
      </c>
      <c r="H276" s="2474">
        <f t="shared" si="300"/>
        <v>0</v>
      </c>
      <c r="I276" s="2474">
        <f t="shared" si="300"/>
        <v>0</v>
      </c>
      <c r="J276" s="2474">
        <f t="shared" si="300"/>
        <v>0</v>
      </c>
      <c r="K276" s="2474">
        <f t="shared" si="300"/>
        <v>0</v>
      </c>
      <c r="L276" s="2474">
        <f t="shared" si="300"/>
        <v>0</v>
      </c>
      <c r="M276" s="2475">
        <f t="shared" si="300"/>
        <v>0</v>
      </c>
      <c r="N276" s="2475">
        <f t="shared" si="300"/>
        <v>0</v>
      </c>
      <c r="O276" s="2474">
        <f t="shared" si="300"/>
        <v>0</v>
      </c>
      <c r="P276" s="2474">
        <f>+P277+P280</f>
        <v>1000000</v>
      </c>
      <c r="Q276" s="2474">
        <f>+Q277+Q280</f>
        <v>48000000</v>
      </c>
      <c r="R276" s="2474">
        <f>+R277+R280</f>
        <v>18060838</v>
      </c>
      <c r="S276" s="2474"/>
      <c r="T276" s="2474"/>
      <c r="U276" s="2474"/>
      <c r="V276" s="2474"/>
      <c r="W276" s="2474"/>
      <c r="X276" s="2383">
        <f>X277+X280</f>
        <v>67060838</v>
      </c>
      <c r="Y276" s="2991" t="s">
        <v>104</v>
      </c>
      <c r="Z276" s="843"/>
    </row>
    <row r="277" spans="1:26">
      <c r="A277" s="2987"/>
      <c r="B277" s="526" t="s">
        <v>36</v>
      </c>
      <c r="C277" s="3024" t="s">
        <v>101</v>
      </c>
      <c r="D277" s="2395">
        <f>+D278+D279</f>
        <v>10660625</v>
      </c>
      <c r="E277" s="2395">
        <f>+E278+E279</f>
        <v>0</v>
      </c>
      <c r="F277" s="2395">
        <f t="shared" ref="F277:O277" si="301">+F278+F279</f>
        <v>0</v>
      </c>
      <c r="G277" s="2395">
        <f t="shared" si="301"/>
        <v>0</v>
      </c>
      <c r="H277" s="2395">
        <f t="shared" si="301"/>
        <v>0</v>
      </c>
      <c r="I277" s="2395">
        <f t="shared" si="301"/>
        <v>0</v>
      </c>
      <c r="J277" s="2395">
        <f t="shared" si="301"/>
        <v>0</v>
      </c>
      <c r="K277" s="2395">
        <f t="shared" si="301"/>
        <v>0</v>
      </c>
      <c r="L277" s="2395">
        <f t="shared" si="301"/>
        <v>0</v>
      </c>
      <c r="M277" s="2476">
        <f t="shared" si="301"/>
        <v>0</v>
      </c>
      <c r="N277" s="2476">
        <f t="shared" si="301"/>
        <v>0</v>
      </c>
      <c r="O277" s="2395">
        <f t="shared" si="301"/>
        <v>0</v>
      </c>
      <c r="P277" s="2395">
        <f>+P278+P279</f>
        <v>150000</v>
      </c>
      <c r="Q277" s="2395">
        <f>+Q278+Q279</f>
        <v>7200000</v>
      </c>
      <c r="R277" s="2395">
        <f>+R278+R279</f>
        <v>3310625</v>
      </c>
      <c r="S277" s="2395"/>
      <c r="T277" s="2395"/>
      <c r="U277" s="2395"/>
      <c r="V277" s="2395"/>
      <c r="W277" s="2395"/>
      <c r="X277" s="2385">
        <f>X278</f>
        <v>10660625</v>
      </c>
      <c r="Y277" s="2991"/>
      <c r="Z277" s="843"/>
    </row>
    <row r="278" spans="1:26" ht="11.25" customHeight="1">
      <c r="A278" s="2987"/>
      <c r="B278" s="527" t="s">
        <v>24</v>
      </c>
      <c r="C278" s="2994"/>
      <c r="D278" s="1930">
        <f t="shared" ref="D278" si="302">M278+O278+P278+Q278+R278+S278+T278+U278+V278+W278</f>
        <v>10660625</v>
      </c>
      <c r="E278" s="2312"/>
      <c r="F278" s="2386">
        <v>0</v>
      </c>
      <c r="G278" s="2312">
        <v>0</v>
      </c>
      <c r="H278" s="2336">
        <v>0</v>
      </c>
      <c r="I278" s="2336"/>
      <c r="J278" s="2336"/>
      <c r="K278" s="2312"/>
      <c r="L278" s="2336"/>
      <c r="M278" s="2477">
        <f>+E278+I278+J278+K278+L278+N278</f>
        <v>0</v>
      </c>
      <c r="N278" s="2478">
        <v>0</v>
      </c>
      <c r="O278" s="2479">
        <f>6000-6000</f>
        <v>0</v>
      </c>
      <c r="P278" s="2479">
        <v>150000</v>
      </c>
      <c r="Q278" s="2479">
        <f>5700000+1500000</f>
        <v>7200000</v>
      </c>
      <c r="R278" s="2479">
        <f>1875000+1435625</f>
        <v>3310625</v>
      </c>
      <c r="S278" s="2387"/>
      <c r="T278" s="2387"/>
      <c r="U278" s="2387"/>
      <c r="V278" s="2387"/>
      <c r="W278" s="2387"/>
      <c r="X278" s="2389">
        <f>SUM(P278:T278)</f>
        <v>10660625</v>
      </c>
      <c r="Y278" s="2991"/>
      <c r="Z278" s="843"/>
    </row>
    <row r="279" spans="1:26" ht="10.5" hidden="1" customHeight="1">
      <c r="A279" s="2987"/>
      <c r="B279" s="2060" t="s">
        <v>27</v>
      </c>
      <c r="C279" s="2994"/>
      <c r="D279" s="2480">
        <f t="shared" ref="D279" si="303">SUM(M279:T279)</f>
        <v>0</v>
      </c>
      <c r="E279" s="2312">
        <v>0</v>
      </c>
      <c r="F279" s="2325">
        <v>0</v>
      </c>
      <c r="G279" s="2325">
        <v>0</v>
      </c>
      <c r="H279" s="2327">
        <v>0</v>
      </c>
      <c r="I279" s="2327"/>
      <c r="J279" s="2327"/>
      <c r="K279" s="2325">
        <v>0</v>
      </c>
      <c r="L279" s="2325">
        <v>0</v>
      </c>
      <c r="M279" s="2405">
        <v>0</v>
      </c>
      <c r="N279" s="2405">
        <v>0</v>
      </c>
      <c r="O279" s="2325">
        <v>0</v>
      </c>
      <c r="P279" s="2325">
        <v>0</v>
      </c>
      <c r="Q279" s="2325"/>
      <c r="R279" s="2325"/>
      <c r="S279" s="2325"/>
      <c r="T279" s="2325"/>
      <c r="U279" s="776"/>
      <c r="V279" s="776"/>
      <c r="W279" s="776"/>
      <c r="X279" s="486"/>
      <c r="Y279" s="2991"/>
    </row>
    <row r="280" spans="1:26">
      <c r="A280" s="2987"/>
      <c r="B280" s="518" t="s">
        <v>30</v>
      </c>
      <c r="C280" s="2994"/>
      <c r="D280" s="2390">
        <f>+D281</f>
        <v>56400213</v>
      </c>
      <c r="E280" s="2391">
        <f>+E281</f>
        <v>0</v>
      </c>
      <c r="F280" s="2391">
        <f t="shared" ref="F280:R280" si="304">+F281</f>
        <v>0</v>
      </c>
      <c r="G280" s="2391">
        <f t="shared" si="304"/>
        <v>0</v>
      </c>
      <c r="H280" s="2391">
        <f t="shared" si="304"/>
        <v>0</v>
      </c>
      <c r="I280" s="2391">
        <f t="shared" si="304"/>
        <v>0</v>
      </c>
      <c r="J280" s="2391">
        <f t="shared" si="304"/>
        <v>0</v>
      </c>
      <c r="K280" s="2391">
        <f t="shared" si="304"/>
        <v>0</v>
      </c>
      <c r="L280" s="2391">
        <f t="shared" si="304"/>
        <v>0</v>
      </c>
      <c r="M280" s="2406">
        <f t="shared" si="304"/>
        <v>0</v>
      </c>
      <c r="N280" s="2406">
        <f t="shared" si="304"/>
        <v>0</v>
      </c>
      <c r="O280" s="2391">
        <f t="shared" si="304"/>
        <v>0</v>
      </c>
      <c r="P280" s="2391">
        <f t="shared" si="304"/>
        <v>850000</v>
      </c>
      <c r="Q280" s="2391">
        <f t="shared" si="304"/>
        <v>40800000</v>
      </c>
      <c r="R280" s="2391">
        <f t="shared" si="304"/>
        <v>14750213</v>
      </c>
      <c r="S280" s="2391"/>
      <c r="T280" s="2391"/>
      <c r="U280" s="2390"/>
      <c r="V280" s="2390"/>
      <c r="W280" s="2390"/>
      <c r="X280" s="2385">
        <f>X281</f>
        <v>56400213</v>
      </c>
      <c r="Y280" s="2991"/>
    </row>
    <row r="281" spans="1:26" ht="12" customHeight="1">
      <c r="A281" s="2987"/>
      <c r="B281" s="527" t="s">
        <v>33</v>
      </c>
      <c r="C281" s="3014"/>
      <c r="D281" s="2340">
        <f t="shared" ref="D281" si="305">M281+O281+P281+Q281+R281+S281+T281+U281+V281+W281</f>
        <v>56400213</v>
      </c>
      <c r="E281" s="2312"/>
      <c r="F281" s="2386">
        <v>0</v>
      </c>
      <c r="G281" s="2312">
        <v>0</v>
      </c>
      <c r="H281" s="2336">
        <v>0</v>
      </c>
      <c r="I281" s="2336"/>
      <c r="J281" s="2336"/>
      <c r="K281" s="2312">
        <v>0</v>
      </c>
      <c r="L281" s="2312">
        <v>0</v>
      </c>
      <c r="M281" s="2477">
        <f>+E281+I281+J281+K281+L281+N281</f>
        <v>0</v>
      </c>
      <c r="N281" s="2478">
        <v>0</v>
      </c>
      <c r="O281" s="2387">
        <f>34000-34000</f>
        <v>0</v>
      </c>
      <c r="P281" s="2387">
        <v>850000</v>
      </c>
      <c r="Q281" s="2387">
        <f>32300000+8500000</f>
        <v>40800000</v>
      </c>
      <c r="R281" s="2387">
        <f>10625000+4125213</f>
        <v>14750213</v>
      </c>
      <c r="S281" s="2312"/>
      <c r="T281" s="2312"/>
      <c r="U281" s="2386"/>
      <c r="V281" s="2386"/>
      <c r="W281" s="2386"/>
      <c r="X281" s="2389">
        <f>SUM(P281:T281)</f>
        <v>56400213</v>
      </c>
      <c r="Y281" s="3004"/>
    </row>
    <row r="282" spans="1:26" s="848" customFormat="1" ht="12" customHeight="1">
      <c r="A282" s="2988"/>
      <c r="B282" s="543" t="s">
        <v>34</v>
      </c>
      <c r="C282" s="538"/>
      <c r="D282" s="571">
        <f t="shared" ref="D282:O282" si="306">+D283+D285</f>
        <v>56400213</v>
      </c>
      <c r="E282" s="851">
        <f t="shared" si="306"/>
        <v>0</v>
      </c>
      <c r="F282" s="851">
        <f t="shared" si="306"/>
        <v>0</v>
      </c>
      <c r="G282" s="851">
        <f t="shared" si="306"/>
        <v>0</v>
      </c>
      <c r="H282" s="851">
        <f t="shared" si="306"/>
        <v>0</v>
      </c>
      <c r="I282" s="851">
        <f t="shared" si="306"/>
        <v>0</v>
      </c>
      <c r="J282" s="851">
        <f t="shared" si="306"/>
        <v>0</v>
      </c>
      <c r="K282" s="851">
        <f t="shared" si="306"/>
        <v>0</v>
      </c>
      <c r="L282" s="851">
        <f t="shared" si="306"/>
        <v>0</v>
      </c>
      <c r="M282" s="855">
        <f t="shared" si="306"/>
        <v>0</v>
      </c>
      <c r="N282" s="855">
        <f t="shared" si="306"/>
        <v>0</v>
      </c>
      <c r="O282" s="855">
        <f t="shared" si="306"/>
        <v>0</v>
      </c>
      <c r="P282" s="851">
        <f>+P283+P285</f>
        <v>0</v>
      </c>
      <c r="Q282" s="851">
        <f>+Q283+Q285</f>
        <v>35000000</v>
      </c>
      <c r="R282" s="851">
        <f>+R283+R285</f>
        <v>21400213</v>
      </c>
      <c r="S282" s="851"/>
      <c r="T282" s="851"/>
      <c r="U282" s="851"/>
      <c r="V282" s="851"/>
      <c r="W282" s="851"/>
      <c r="X282" s="3087" t="s">
        <v>35</v>
      </c>
      <c r="Y282" s="3049" t="s">
        <v>122</v>
      </c>
    </row>
    <row r="283" spans="1:26" ht="13.5" hidden="1" customHeight="1">
      <c r="A283" s="2988"/>
      <c r="B283" s="1941" t="s">
        <v>36</v>
      </c>
      <c r="C283" s="3088" t="s">
        <v>328</v>
      </c>
      <c r="D283" s="465">
        <f>+D284</f>
        <v>0</v>
      </c>
      <c r="E283" s="465">
        <f t="shared" ref="E283:P283" si="307">+E284</f>
        <v>0</v>
      </c>
      <c r="F283" s="465">
        <f t="shared" si="307"/>
        <v>0</v>
      </c>
      <c r="G283" s="465">
        <f t="shared" si="307"/>
        <v>0</v>
      </c>
      <c r="H283" s="465">
        <f t="shared" si="307"/>
        <v>0</v>
      </c>
      <c r="I283" s="465">
        <f t="shared" si="307"/>
        <v>0</v>
      </c>
      <c r="J283" s="465">
        <f t="shared" si="307"/>
        <v>0</v>
      </c>
      <c r="K283" s="465">
        <f t="shared" si="307"/>
        <v>0</v>
      </c>
      <c r="L283" s="465">
        <f t="shared" si="307"/>
        <v>0</v>
      </c>
      <c r="M283" s="1038">
        <f t="shared" si="307"/>
        <v>0</v>
      </c>
      <c r="N283" s="1038">
        <f t="shared" si="307"/>
        <v>0</v>
      </c>
      <c r="O283" s="1038">
        <f t="shared" si="307"/>
        <v>0</v>
      </c>
      <c r="P283" s="465">
        <f t="shared" si="307"/>
        <v>0</v>
      </c>
      <c r="Q283" s="465"/>
      <c r="R283" s="465"/>
      <c r="S283" s="465"/>
      <c r="T283" s="465"/>
      <c r="U283" s="465"/>
      <c r="V283" s="465"/>
      <c r="W283" s="465"/>
      <c r="X283" s="2953"/>
      <c r="Y283" s="3050"/>
    </row>
    <row r="284" spans="1:26" ht="13.5" hidden="1" customHeight="1">
      <c r="A284" s="2988"/>
      <c r="B284" s="542" t="s">
        <v>27</v>
      </c>
      <c r="C284" s="3041"/>
      <c r="D284" s="1930">
        <f>SUM(M284:T284)</f>
        <v>0</v>
      </c>
      <c r="E284" s="2392">
        <f>+F284+G284+H284</f>
        <v>0</v>
      </c>
      <c r="F284" s="2392">
        <v>0</v>
      </c>
      <c r="G284" s="2392">
        <v>0</v>
      </c>
      <c r="H284" s="2392">
        <v>0</v>
      </c>
      <c r="I284" s="2392"/>
      <c r="J284" s="2392"/>
      <c r="K284" s="2392">
        <v>0</v>
      </c>
      <c r="L284" s="2392">
        <v>0</v>
      </c>
      <c r="M284" s="2408">
        <v>0</v>
      </c>
      <c r="N284" s="2408">
        <v>0</v>
      </c>
      <c r="O284" s="2408">
        <v>0</v>
      </c>
      <c r="P284" s="2392">
        <v>0</v>
      </c>
      <c r="Q284" s="2392"/>
      <c r="R284" s="2392"/>
      <c r="S284" s="2392"/>
      <c r="T284" s="2392"/>
      <c r="U284" s="2392"/>
      <c r="V284" s="2392"/>
      <c r="W284" s="2392"/>
      <c r="X284" s="2953"/>
      <c r="Y284" s="3050"/>
    </row>
    <row r="285" spans="1:26" ht="12" customHeight="1">
      <c r="A285" s="2988"/>
      <c r="B285" s="2134" t="s">
        <v>30</v>
      </c>
      <c r="C285" s="3041"/>
      <c r="D285" s="2390">
        <f t="shared" ref="D285:R285" si="308">+D286</f>
        <v>56400213</v>
      </c>
      <c r="E285" s="2391">
        <f t="shared" si="308"/>
        <v>0</v>
      </c>
      <c r="F285" s="2391">
        <f t="shared" si="308"/>
        <v>0</v>
      </c>
      <c r="G285" s="2391">
        <f t="shared" si="308"/>
        <v>0</v>
      </c>
      <c r="H285" s="2391">
        <f t="shared" si="308"/>
        <v>0</v>
      </c>
      <c r="I285" s="2391">
        <f t="shared" si="308"/>
        <v>0</v>
      </c>
      <c r="J285" s="2391">
        <f t="shared" si="308"/>
        <v>0</v>
      </c>
      <c r="K285" s="2391">
        <f t="shared" si="308"/>
        <v>0</v>
      </c>
      <c r="L285" s="2391">
        <f t="shared" si="308"/>
        <v>0</v>
      </c>
      <c r="M285" s="2406">
        <f t="shared" si="308"/>
        <v>0</v>
      </c>
      <c r="N285" s="2406">
        <f t="shared" si="308"/>
        <v>0</v>
      </c>
      <c r="O285" s="2406">
        <f t="shared" si="308"/>
        <v>0</v>
      </c>
      <c r="P285" s="2391">
        <f t="shared" si="308"/>
        <v>0</v>
      </c>
      <c r="Q285" s="2391">
        <f t="shared" si="308"/>
        <v>35000000</v>
      </c>
      <c r="R285" s="2391">
        <f t="shared" si="308"/>
        <v>21400213</v>
      </c>
      <c r="S285" s="2391"/>
      <c r="T285" s="2391"/>
      <c r="U285" s="2391"/>
      <c r="V285" s="2391"/>
      <c r="W285" s="2391"/>
      <c r="X285" s="2953"/>
      <c r="Y285" s="3050"/>
    </row>
    <row r="286" spans="1:26" ht="13.5" customHeight="1" thickBot="1">
      <c r="A286" s="2989"/>
      <c r="B286" s="490" t="s">
        <v>33</v>
      </c>
      <c r="C286" s="3042"/>
      <c r="D286" s="1221">
        <f t="shared" ref="D286" si="309">M286+O286+P286+Q286+R286+S286+T286+U286+V286+W286</f>
        <v>56400213</v>
      </c>
      <c r="E286" s="491">
        <f>+F286+G286+H286</f>
        <v>0</v>
      </c>
      <c r="F286" s="492">
        <v>0</v>
      </c>
      <c r="G286" s="491">
        <v>0</v>
      </c>
      <c r="H286" s="491">
        <v>0</v>
      </c>
      <c r="I286" s="491"/>
      <c r="J286" s="491"/>
      <c r="K286" s="491">
        <v>0</v>
      </c>
      <c r="L286" s="491">
        <v>0</v>
      </c>
      <c r="M286" s="1228">
        <f>+E286+I286+J286+K286+L286+N286</f>
        <v>0</v>
      </c>
      <c r="N286" s="1082">
        <v>0</v>
      </c>
      <c r="O286" s="1082">
        <v>0</v>
      </c>
      <c r="P286" s="491">
        <v>0</v>
      </c>
      <c r="Q286" s="491">
        <f>29000000+6000000</f>
        <v>35000000</v>
      </c>
      <c r="R286" s="491">
        <f>14775000+6625213</f>
        <v>21400213</v>
      </c>
      <c r="S286" s="491"/>
      <c r="T286" s="491"/>
      <c r="U286" s="491"/>
      <c r="V286" s="491"/>
      <c r="W286" s="491"/>
      <c r="X286" s="2954"/>
      <c r="Y286" s="3051"/>
    </row>
    <row r="287" spans="1:26" ht="27" customHeight="1">
      <c r="A287" s="2986" t="s">
        <v>112</v>
      </c>
      <c r="B287" s="493" t="s">
        <v>503</v>
      </c>
      <c r="C287" s="473" t="s">
        <v>98</v>
      </c>
      <c r="D287" s="474"/>
      <c r="E287" s="476"/>
      <c r="F287" s="475"/>
      <c r="G287" s="476"/>
      <c r="H287" s="476"/>
      <c r="I287" s="436"/>
      <c r="J287" s="436"/>
      <c r="K287" s="436"/>
      <c r="L287" s="436"/>
      <c r="M287" s="438"/>
      <c r="N287" s="438"/>
      <c r="O287" s="438"/>
      <c r="P287" s="438"/>
      <c r="Q287" s="438"/>
      <c r="R287" s="438"/>
      <c r="S287" s="438"/>
      <c r="T287" s="438"/>
      <c r="U287" s="438"/>
      <c r="V287" s="438"/>
      <c r="W287" s="438"/>
      <c r="X287" s="439"/>
      <c r="Y287" s="535"/>
      <c r="Z287" s="1283" t="s">
        <v>515</v>
      </c>
    </row>
    <row r="288" spans="1:26" ht="13.5" customHeight="1">
      <c r="A288" s="2987"/>
      <c r="B288" s="374" t="s">
        <v>22</v>
      </c>
      <c r="C288" s="375"/>
      <c r="D288" s="478">
        <f t="shared" ref="D288" si="310">+D289+D292</f>
        <v>18000000</v>
      </c>
      <c r="E288" s="478">
        <f>+E289+E292</f>
        <v>0</v>
      </c>
      <c r="F288" s="479">
        <f t="shared" ref="F288:O288" si="311">+F289+F292</f>
        <v>0</v>
      </c>
      <c r="G288" s="479">
        <f t="shared" si="311"/>
        <v>0</v>
      </c>
      <c r="H288" s="479">
        <f t="shared" si="311"/>
        <v>0</v>
      </c>
      <c r="I288" s="479">
        <f t="shared" si="311"/>
        <v>0</v>
      </c>
      <c r="J288" s="479">
        <f t="shared" si="311"/>
        <v>0</v>
      </c>
      <c r="K288" s="479">
        <f t="shared" si="311"/>
        <v>0</v>
      </c>
      <c r="L288" s="479">
        <f t="shared" si="311"/>
        <v>0</v>
      </c>
      <c r="M288" s="1079">
        <f t="shared" si="311"/>
        <v>0</v>
      </c>
      <c r="N288" s="1079">
        <f t="shared" si="311"/>
        <v>0</v>
      </c>
      <c r="O288" s="479">
        <f t="shared" si="311"/>
        <v>0</v>
      </c>
      <c r="P288" s="479">
        <f>+P289+P292</f>
        <v>100000</v>
      </c>
      <c r="Q288" s="479">
        <f>+Q289+Q292</f>
        <v>17900000</v>
      </c>
      <c r="R288" s="479">
        <f>+R289+R292</f>
        <v>0</v>
      </c>
      <c r="S288" s="479"/>
      <c r="T288" s="479"/>
      <c r="U288" s="479"/>
      <c r="V288" s="479"/>
      <c r="W288" s="479"/>
      <c r="X288" s="480">
        <f>X289+X292</f>
        <v>18000000</v>
      </c>
      <c r="Y288" s="2991" t="s">
        <v>104</v>
      </c>
      <c r="Z288" s="843"/>
    </row>
    <row r="289" spans="1:26" ht="13.5" customHeight="1">
      <c r="A289" s="2987"/>
      <c r="B289" s="526" t="s">
        <v>36</v>
      </c>
      <c r="C289" s="2978" t="s">
        <v>101</v>
      </c>
      <c r="D289" s="481">
        <f>+D290+D291</f>
        <v>2836000</v>
      </c>
      <c r="E289" s="481">
        <f>+E290+E291</f>
        <v>0</v>
      </c>
      <c r="F289" s="481">
        <f t="shared" ref="F289:O289" si="312">+F290+F291</f>
        <v>0</v>
      </c>
      <c r="G289" s="481">
        <f t="shared" si="312"/>
        <v>0</v>
      </c>
      <c r="H289" s="481">
        <f t="shared" si="312"/>
        <v>0</v>
      </c>
      <c r="I289" s="481">
        <f t="shared" si="312"/>
        <v>0</v>
      </c>
      <c r="J289" s="481">
        <f t="shared" si="312"/>
        <v>0</v>
      </c>
      <c r="K289" s="481">
        <f t="shared" si="312"/>
        <v>0</v>
      </c>
      <c r="L289" s="481">
        <f t="shared" si="312"/>
        <v>0</v>
      </c>
      <c r="M289" s="1075">
        <f t="shared" si="312"/>
        <v>0</v>
      </c>
      <c r="N289" s="1075">
        <f t="shared" si="312"/>
        <v>0</v>
      </c>
      <c r="O289" s="481">
        <f t="shared" si="312"/>
        <v>0</v>
      </c>
      <c r="P289" s="481">
        <f>+P290+P291</f>
        <v>15000</v>
      </c>
      <c r="Q289" s="481">
        <f>+Q290+Q291</f>
        <v>2821000</v>
      </c>
      <c r="R289" s="481">
        <f>+R290+R291</f>
        <v>0</v>
      </c>
      <c r="S289" s="481"/>
      <c r="T289" s="481"/>
      <c r="U289" s="481"/>
      <c r="V289" s="481"/>
      <c r="W289" s="481"/>
      <c r="X289" s="502">
        <f>X290</f>
        <v>2836000</v>
      </c>
      <c r="Y289" s="2991"/>
      <c r="Z289" s="843"/>
    </row>
    <row r="290" spans="1:26">
      <c r="A290" s="2987"/>
      <c r="B290" s="527" t="s">
        <v>24</v>
      </c>
      <c r="C290" s="2994"/>
      <c r="D290" s="449">
        <f t="shared" ref="D290" si="313">M290+O290+P290+Q290+R290+S290+T290+U290+V290+W290</f>
        <v>2836000</v>
      </c>
      <c r="E290" s="456"/>
      <c r="F290" s="457">
        <v>0</v>
      </c>
      <c r="G290" s="456">
        <v>0</v>
      </c>
      <c r="H290" s="494">
        <v>0</v>
      </c>
      <c r="I290" s="494"/>
      <c r="J290" s="494"/>
      <c r="K290" s="456"/>
      <c r="L290" s="494"/>
      <c r="M290" s="1227">
        <f>+E290+I290+J290+K290+L290+N290</f>
        <v>0</v>
      </c>
      <c r="N290" s="854">
        <v>0</v>
      </c>
      <c r="O290" s="1080">
        <f>6000-6000</f>
        <v>0</v>
      </c>
      <c r="P290" s="1080">
        <v>15000</v>
      </c>
      <c r="Q290" s="1080">
        <v>2821000</v>
      </c>
      <c r="R290" s="1080">
        <v>0</v>
      </c>
      <c r="S290" s="450"/>
      <c r="T290" s="450"/>
      <c r="U290" s="450"/>
      <c r="V290" s="450"/>
      <c r="W290" s="450"/>
      <c r="X290" s="409">
        <f>SUM(P290:T290)</f>
        <v>2836000</v>
      </c>
      <c r="Y290" s="2991"/>
      <c r="Z290" s="843"/>
    </row>
    <row r="291" spans="1:26" ht="10.5" hidden="1" customHeight="1">
      <c r="A291" s="2987"/>
      <c r="B291" s="2060" t="s">
        <v>27</v>
      </c>
      <c r="C291" s="2994"/>
      <c r="D291" s="933">
        <f t="shared" ref="D291" si="314">SUM(M291:T291)</f>
        <v>0</v>
      </c>
      <c r="E291" s="456">
        <v>0</v>
      </c>
      <c r="F291" s="454">
        <v>0</v>
      </c>
      <c r="G291" s="454">
        <v>0</v>
      </c>
      <c r="H291" s="487">
        <v>0</v>
      </c>
      <c r="I291" s="487"/>
      <c r="J291" s="487"/>
      <c r="K291" s="454">
        <v>0</v>
      </c>
      <c r="L291" s="454">
        <v>0</v>
      </c>
      <c r="M291" s="1036">
        <v>0</v>
      </c>
      <c r="N291" s="1036">
        <v>0</v>
      </c>
      <c r="O291" s="454">
        <v>0</v>
      </c>
      <c r="P291" s="454">
        <v>0</v>
      </c>
      <c r="Q291" s="454"/>
      <c r="R291" s="454"/>
      <c r="S291" s="454"/>
      <c r="T291" s="454"/>
      <c r="U291" s="776"/>
      <c r="V291" s="776"/>
      <c r="W291" s="776"/>
      <c r="X291" s="486"/>
      <c r="Y291" s="2991"/>
    </row>
    <row r="292" spans="1:26" ht="12.75" customHeight="1">
      <c r="A292" s="2987"/>
      <c r="B292" s="518" t="s">
        <v>30</v>
      </c>
      <c r="C292" s="2994"/>
      <c r="D292" s="459">
        <f>+D293</f>
        <v>15164000</v>
      </c>
      <c r="E292" s="460">
        <f>+E293</f>
        <v>0</v>
      </c>
      <c r="F292" s="460">
        <f t="shared" ref="F292:R292" si="315">+F293</f>
        <v>0</v>
      </c>
      <c r="G292" s="460">
        <f t="shared" si="315"/>
        <v>0</v>
      </c>
      <c r="H292" s="460">
        <f t="shared" si="315"/>
        <v>0</v>
      </c>
      <c r="I292" s="460">
        <f t="shared" si="315"/>
        <v>0</v>
      </c>
      <c r="J292" s="460">
        <f t="shared" si="315"/>
        <v>0</v>
      </c>
      <c r="K292" s="460">
        <f t="shared" si="315"/>
        <v>0</v>
      </c>
      <c r="L292" s="460">
        <f t="shared" si="315"/>
        <v>0</v>
      </c>
      <c r="M292" s="1081">
        <f t="shared" si="315"/>
        <v>0</v>
      </c>
      <c r="N292" s="1081">
        <f t="shared" si="315"/>
        <v>0</v>
      </c>
      <c r="O292" s="460">
        <f t="shared" si="315"/>
        <v>0</v>
      </c>
      <c r="P292" s="460">
        <f t="shared" si="315"/>
        <v>85000</v>
      </c>
      <c r="Q292" s="460">
        <f t="shared" si="315"/>
        <v>15079000</v>
      </c>
      <c r="R292" s="460">
        <f t="shared" si="315"/>
        <v>0</v>
      </c>
      <c r="S292" s="460"/>
      <c r="T292" s="460"/>
      <c r="U292" s="459"/>
      <c r="V292" s="459"/>
      <c r="W292" s="459"/>
      <c r="X292" s="502">
        <f>X293</f>
        <v>15164000</v>
      </c>
      <c r="Y292" s="2991"/>
    </row>
    <row r="293" spans="1:26">
      <c r="A293" s="2987"/>
      <c r="B293" s="527" t="s">
        <v>33</v>
      </c>
      <c r="C293" s="3014"/>
      <c r="D293" s="2340">
        <f t="shared" ref="D293" si="316">M293+O293+P293+Q293+R293+S293+T293+U293+V293+W293</f>
        <v>15164000</v>
      </c>
      <c r="E293" s="456"/>
      <c r="F293" s="457">
        <v>0</v>
      </c>
      <c r="G293" s="456">
        <v>0</v>
      </c>
      <c r="H293" s="494">
        <v>0</v>
      </c>
      <c r="I293" s="494"/>
      <c r="J293" s="494"/>
      <c r="K293" s="456">
        <v>0</v>
      </c>
      <c r="L293" s="456">
        <v>0</v>
      </c>
      <c r="M293" s="1227">
        <f>+E293+I293+J293+K293+L293+N293</f>
        <v>0</v>
      </c>
      <c r="N293" s="854">
        <v>0</v>
      </c>
      <c r="O293" s="450">
        <f>34000-34000</f>
        <v>0</v>
      </c>
      <c r="P293" s="450">
        <v>85000</v>
      </c>
      <c r="Q293" s="450">
        <v>15079000</v>
      </c>
      <c r="R293" s="450">
        <v>0</v>
      </c>
      <c r="S293" s="456"/>
      <c r="T293" s="456"/>
      <c r="U293" s="457"/>
      <c r="V293" s="457"/>
      <c r="W293" s="457"/>
      <c r="X293" s="409">
        <f>SUM(P293:T293)</f>
        <v>15164000</v>
      </c>
      <c r="Y293" s="3004"/>
    </row>
    <row r="294" spans="1:26" s="848" customFormat="1" ht="13.5" customHeight="1">
      <c r="A294" s="2988"/>
      <c r="B294" s="543" t="s">
        <v>34</v>
      </c>
      <c r="C294" s="538"/>
      <c r="D294" s="571">
        <f t="shared" ref="D294:O294" si="317">+D295+D297</f>
        <v>15164000</v>
      </c>
      <c r="E294" s="851">
        <f t="shared" si="317"/>
        <v>0</v>
      </c>
      <c r="F294" s="851">
        <f t="shared" si="317"/>
        <v>0</v>
      </c>
      <c r="G294" s="851">
        <f t="shared" si="317"/>
        <v>0</v>
      </c>
      <c r="H294" s="851">
        <f t="shared" si="317"/>
        <v>0</v>
      </c>
      <c r="I294" s="851">
        <f t="shared" si="317"/>
        <v>0</v>
      </c>
      <c r="J294" s="851">
        <f t="shared" si="317"/>
        <v>0</v>
      </c>
      <c r="K294" s="851">
        <f t="shared" si="317"/>
        <v>0</v>
      </c>
      <c r="L294" s="851">
        <f t="shared" si="317"/>
        <v>0</v>
      </c>
      <c r="M294" s="855">
        <f t="shared" si="317"/>
        <v>0</v>
      </c>
      <c r="N294" s="855">
        <f t="shared" si="317"/>
        <v>0</v>
      </c>
      <c r="O294" s="855">
        <f t="shared" si="317"/>
        <v>0</v>
      </c>
      <c r="P294" s="851">
        <f>+P295+P297</f>
        <v>0</v>
      </c>
      <c r="Q294" s="851">
        <f>+Q295+Q297</f>
        <v>14164000</v>
      </c>
      <c r="R294" s="851">
        <f>+R295+R297</f>
        <v>1000000</v>
      </c>
      <c r="S294" s="851"/>
      <c r="T294" s="851"/>
      <c r="U294" s="851"/>
      <c r="V294" s="851"/>
      <c r="W294" s="851"/>
      <c r="X294" s="2952" t="s">
        <v>35</v>
      </c>
      <c r="Y294" s="3052" t="s">
        <v>122</v>
      </c>
    </row>
    <row r="295" spans="1:26" ht="13.5" hidden="1" customHeight="1">
      <c r="A295" s="2988"/>
      <c r="B295" s="445" t="s">
        <v>36</v>
      </c>
      <c r="C295" s="3039" t="s">
        <v>328</v>
      </c>
      <c r="D295" s="465">
        <f>+D296</f>
        <v>0</v>
      </c>
      <c r="E295" s="465">
        <f t="shared" ref="E295:P295" si="318">+E296</f>
        <v>0</v>
      </c>
      <c r="F295" s="465">
        <f t="shared" si="318"/>
        <v>0</v>
      </c>
      <c r="G295" s="465">
        <f t="shared" si="318"/>
        <v>0</v>
      </c>
      <c r="H295" s="465">
        <f t="shared" si="318"/>
        <v>0</v>
      </c>
      <c r="I295" s="465">
        <f t="shared" si="318"/>
        <v>0</v>
      </c>
      <c r="J295" s="465">
        <f t="shared" si="318"/>
        <v>0</v>
      </c>
      <c r="K295" s="465">
        <f t="shared" si="318"/>
        <v>0</v>
      </c>
      <c r="L295" s="465">
        <f t="shared" si="318"/>
        <v>0</v>
      </c>
      <c r="M295" s="1038">
        <f t="shared" si="318"/>
        <v>0</v>
      </c>
      <c r="N295" s="1038">
        <f t="shared" si="318"/>
        <v>0</v>
      </c>
      <c r="O295" s="1038">
        <f t="shared" si="318"/>
        <v>0</v>
      </c>
      <c r="P295" s="465">
        <f t="shared" si="318"/>
        <v>0</v>
      </c>
      <c r="Q295" s="465"/>
      <c r="R295" s="465"/>
      <c r="S295" s="465"/>
      <c r="T295" s="465"/>
      <c r="U295" s="465"/>
      <c r="V295" s="465"/>
      <c r="W295" s="465"/>
      <c r="X295" s="2953"/>
      <c r="Y295" s="3050"/>
    </row>
    <row r="296" spans="1:26" ht="13.5" hidden="1" customHeight="1">
      <c r="A296" s="2988"/>
      <c r="B296" s="542" t="s">
        <v>27</v>
      </c>
      <c r="C296" s="3041"/>
      <c r="D296" s="449">
        <f>SUM(M296:T296)</f>
        <v>0</v>
      </c>
      <c r="E296" s="467">
        <f>+F296+G296+H296</f>
        <v>0</v>
      </c>
      <c r="F296" s="467">
        <v>0</v>
      </c>
      <c r="G296" s="467">
        <v>0</v>
      </c>
      <c r="H296" s="467">
        <v>0</v>
      </c>
      <c r="I296" s="467"/>
      <c r="J296" s="467"/>
      <c r="K296" s="467">
        <v>0</v>
      </c>
      <c r="L296" s="467">
        <v>0</v>
      </c>
      <c r="M296" s="1039">
        <v>0</v>
      </c>
      <c r="N296" s="1039">
        <v>0</v>
      </c>
      <c r="O296" s="1039">
        <v>0</v>
      </c>
      <c r="P296" s="467">
        <v>0</v>
      </c>
      <c r="Q296" s="467"/>
      <c r="R296" s="467"/>
      <c r="S296" s="467"/>
      <c r="T296" s="467"/>
      <c r="U296" s="467"/>
      <c r="V296" s="467"/>
      <c r="W296" s="467"/>
      <c r="X296" s="2953"/>
      <c r="Y296" s="3050"/>
    </row>
    <row r="297" spans="1:26" ht="12" customHeight="1">
      <c r="A297" s="2988"/>
      <c r="B297" s="458" t="s">
        <v>30</v>
      </c>
      <c r="C297" s="3041"/>
      <c r="D297" s="459">
        <f t="shared" ref="D297:R297" si="319">+D298</f>
        <v>15164000</v>
      </c>
      <c r="E297" s="460">
        <f t="shared" si="319"/>
        <v>0</v>
      </c>
      <c r="F297" s="460">
        <f t="shared" si="319"/>
        <v>0</v>
      </c>
      <c r="G297" s="460">
        <f t="shared" si="319"/>
        <v>0</v>
      </c>
      <c r="H297" s="460">
        <f t="shared" si="319"/>
        <v>0</v>
      </c>
      <c r="I297" s="460">
        <f t="shared" si="319"/>
        <v>0</v>
      </c>
      <c r="J297" s="460">
        <f t="shared" si="319"/>
        <v>0</v>
      </c>
      <c r="K297" s="460">
        <f t="shared" si="319"/>
        <v>0</v>
      </c>
      <c r="L297" s="460">
        <f t="shared" si="319"/>
        <v>0</v>
      </c>
      <c r="M297" s="1081">
        <f t="shared" si="319"/>
        <v>0</v>
      </c>
      <c r="N297" s="1081">
        <f t="shared" si="319"/>
        <v>0</v>
      </c>
      <c r="O297" s="1081">
        <f t="shared" si="319"/>
        <v>0</v>
      </c>
      <c r="P297" s="460">
        <f t="shared" si="319"/>
        <v>0</v>
      </c>
      <c r="Q297" s="460">
        <f t="shared" si="319"/>
        <v>14164000</v>
      </c>
      <c r="R297" s="460">
        <f t="shared" si="319"/>
        <v>1000000</v>
      </c>
      <c r="S297" s="460"/>
      <c r="T297" s="460"/>
      <c r="U297" s="460"/>
      <c r="V297" s="460"/>
      <c r="W297" s="460"/>
      <c r="X297" s="2953"/>
      <c r="Y297" s="3050"/>
    </row>
    <row r="298" spans="1:26" ht="13.5" customHeight="1" thickBot="1">
      <c r="A298" s="2989"/>
      <c r="B298" s="490" t="s">
        <v>33</v>
      </c>
      <c r="C298" s="3042"/>
      <c r="D298" s="1221">
        <f t="shared" ref="D298" si="320">M298+O298+P298+Q298+R298+S298+T298+U298+V298+W298</f>
        <v>15164000</v>
      </c>
      <c r="E298" s="491">
        <f>+F298+G298+H298</f>
        <v>0</v>
      </c>
      <c r="F298" s="492">
        <v>0</v>
      </c>
      <c r="G298" s="491">
        <v>0</v>
      </c>
      <c r="H298" s="491">
        <v>0</v>
      </c>
      <c r="I298" s="491"/>
      <c r="J298" s="491"/>
      <c r="K298" s="491">
        <v>0</v>
      </c>
      <c r="L298" s="491">
        <v>0</v>
      </c>
      <c r="M298" s="1228">
        <f>+E298+I298+J298+K298+L298+N298</f>
        <v>0</v>
      </c>
      <c r="N298" s="1082">
        <v>0</v>
      </c>
      <c r="O298" s="1082">
        <v>0</v>
      </c>
      <c r="P298" s="491">
        <v>0</v>
      </c>
      <c r="Q298" s="491">
        <v>14164000</v>
      </c>
      <c r="R298" s="491">
        <v>1000000</v>
      </c>
      <c r="S298" s="491"/>
      <c r="T298" s="491"/>
      <c r="U298" s="491"/>
      <c r="V298" s="491"/>
      <c r="W298" s="491"/>
      <c r="X298" s="2954"/>
      <c r="Y298" s="3051"/>
    </row>
    <row r="299" spans="1:26" ht="29.25" customHeight="1">
      <c r="A299" s="2986" t="s">
        <v>114</v>
      </c>
      <c r="B299" s="493" t="s">
        <v>504</v>
      </c>
      <c r="C299" s="473" t="s">
        <v>98</v>
      </c>
      <c r="D299" s="474"/>
      <c r="E299" s="476"/>
      <c r="F299" s="475"/>
      <c r="G299" s="476"/>
      <c r="H299" s="476"/>
      <c r="I299" s="436"/>
      <c r="J299" s="436"/>
      <c r="K299" s="436"/>
      <c r="L299" s="436"/>
      <c r="M299" s="438"/>
      <c r="N299" s="438"/>
      <c r="O299" s="438"/>
      <c r="P299" s="438"/>
      <c r="Q299" s="438"/>
      <c r="R299" s="438"/>
      <c r="S299" s="438"/>
      <c r="T299" s="438"/>
      <c r="U299" s="438"/>
      <c r="V299" s="438"/>
      <c r="W299" s="438"/>
      <c r="X299" s="439"/>
      <c r="Y299" s="535"/>
      <c r="Z299" s="1283" t="s">
        <v>515</v>
      </c>
    </row>
    <row r="300" spans="1:26" ht="13.5" customHeight="1">
      <c r="A300" s="2987"/>
      <c r="B300" s="374" t="s">
        <v>22</v>
      </c>
      <c r="C300" s="375"/>
      <c r="D300" s="478">
        <f t="shared" ref="D300" si="321">+D301+D304</f>
        <v>63000000</v>
      </c>
      <c r="E300" s="478">
        <f>+E301+E304</f>
        <v>0</v>
      </c>
      <c r="F300" s="479">
        <f t="shared" ref="F300:O300" si="322">+F301+F304</f>
        <v>0</v>
      </c>
      <c r="G300" s="479">
        <f t="shared" si="322"/>
        <v>0</v>
      </c>
      <c r="H300" s="479">
        <f t="shared" si="322"/>
        <v>0</v>
      </c>
      <c r="I300" s="479">
        <f t="shared" si="322"/>
        <v>0</v>
      </c>
      <c r="J300" s="479">
        <f t="shared" si="322"/>
        <v>0</v>
      </c>
      <c r="K300" s="479">
        <f t="shared" si="322"/>
        <v>0</v>
      </c>
      <c r="L300" s="479">
        <f t="shared" si="322"/>
        <v>0</v>
      </c>
      <c r="M300" s="1079">
        <f t="shared" si="322"/>
        <v>0</v>
      </c>
      <c r="N300" s="1079">
        <f t="shared" si="322"/>
        <v>0</v>
      </c>
      <c r="O300" s="479">
        <f t="shared" si="322"/>
        <v>0</v>
      </c>
      <c r="P300" s="479">
        <f>+P301+P304</f>
        <v>100000</v>
      </c>
      <c r="Q300" s="479">
        <f>+Q301+Q304</f>
        <v>45000000</v>
      </c>
      <c r="R300" s="479">
        <f>+R301+R304</f>
        <v>17900000</v>
      </c>
      <c r="S300" s="479"/>
      <c r="T300" s="479"/>
      <c r="U300" s="479"/>
      <c r="V300" s="479"/>
      <c r="W300" s="479"/>
      <c r="X300" s="480">
        <f>X301+X304</f>
        <v>63000000</v>
      </c>
      <c r="Y300" s="2991" t="s">
        <v>104</v>
      </c>
      <c r="Z300" s="843"/>
    </row>
    <row r="301" spans="1:26" ht="13.5" customHeight="1">
      <c r="A301" s="2987"/>
      <c r="B301" s="526" t="s">
        <v>36</v>
      </c>
      <c r="C301" s="2978" t="s">
        <v>101</v>
      </c>
      <c r="D301" s="481">
        <f>+D302+D303</f>
        <v>10980000</v>
      </c>
      <c r="E301" s="481">
        <f>+E302+E303</f>
        <v>0</v>
      </c>
      <c r="F301" s="481">
        <f t="shared" ref="F301:O301" si="323">+F302+F303</f>
        <v>0</v>
      </c>
      <c r="G301" s="481">
        <f t="shared" si="323"/>
        <v>0</v>
      </c>
      <c r="H301" s="481">
        <f t="shared" si="323"/>
        <v>0</v>
      </c>
      <c r="I301" s="481">
        <f t="shared" si="323"/>
        <v>0</v>
      </c>
      <c r="J301" s="481">
        <f t="shared" si="323"/>
        <v>0</v>
      </c>
      <c r="K301" s="481">
        <f t="shared" si="323"/>
        <v>0</v>
      </c>
      <c r="L301" s="481">
        <f t="shared" si="323"/>
        <v>0</v>
      </c>
      <c r="M301" s="1075">
        <f t="shared" si="323"/>
        <v>0</v>
      </c>
      <c r="N301" s="1075">
        <f t="shared" si="323"/>
        <v>0</v>
      </c>
      <c r="O301" s="481">
        <f t="shared" si="323"/>
        <v>0</v>
      </c>
      <c r="P301" s="481">
        <f>+P302+P303</f>
        <v>15000</v>
      </c>
      <c r="Q301" s="481">
        <f>+Q302+Q303</f>
        <v>6750000</v>
      </c>
      <c r="R301" s="481">
        <f>+R302+R303</f>
        <v>4215000</v>
      </c>
      <c r="S301" s="481"/>
      <c r="T301" s="481"/>
      <c r="U301" s="481"/>
      <c r="V301" s="481"/>
      <c r="W301" s="481"/>
      <c r="X301" s="502">
        <f>X302</f>
        <v>10980000</v>
      </c>
      <c r="Y301" s="2991"/>
      <c r="Z301" s="843"/>
    </row>
    <row r="302" spans="1:26">
      <c r="A302" s="2987"/>
      <c r="B302" s="527" t="s">
        <v>24</v>
      </c>
      <c r="C302" s="2994"/>
      <c r="D302" s="449">
        <f t="shared" ref="D302" si="324">M302+O302+P302+Q302+R302+S302+T302+U302+V302+W302</f>
        <v>10980000</v>
      </c>
      <c r="E302" s="456"/>
      <c r="F302" s="457">
        <v>0</v>
      </c>
      <c r="G302" s="456">
        <v>0</v>
      </c>
      <c r="H302" s="494">
        <v>0</v>
      </c>
      <c r="I302" s="494"/>
      <c r="J302" s="494"/>
      <c r="K302" s="456"/>
      <c r="L302" s="494"/>
      <c r="M302" s="1227">
        <f>+E302+I302+J302+K302+L302+N302</f>
        <v>0</v>
      </c>
      <c r="N302" s="854">
        <v>0</v>
      </c>
      <c r="O302" s="1080">
        <f>6000-6000</f>
        <v>0</v>
      </c>
      <c r="P302" s="1080">
        <v>15000</v>
      </c>
      <c r="Q302" s="1080">
        <v>6750000</v>
      </c>
      <c r="R302" s="1080">
        <v>4215000</v>
      </c>
      <c r="S302" s="450"/>
      <c r="T302" s="450"/>
      <c r="U302" s="450"/>
      <c r="V302" s="450"/>
      <c r="W302" s="450"/>
      <c r="X302" s="409">
        <f>SUM(P302:T302)</f>
        <v>10980000</v>
      </c>
      <c r="Y302" s="2991"/>
      <c r="Z302" s="843" t="s">
        <v>536</v>
      </c>
    </row>
    <row r="303" spans="1:26" ht="10.5" hidden="1" customHeight="1">
      <c r="A303" s="2987"/>
      <c r="B303" s="2060" t="s">
        <v>27</v>
      </c>
      <c r="C303" s="2994"/>
      <c r="D303" s="933">
        <f t="shared" ref="D303" si="325">SUM(M303:T303)</f>
        <v>0</v>
      </c>
      <c r="E303" s="456">
        <v>0</v>
      </c>
      <c r="F303" s="454">
        <v>0</v>
      </c>
      <c r="G303" s="454">
        <v>0</v>
      </c>
      <c r="H303" s="487">
        <v>0</v>
      </c>
      <c r="I303" s="487"/>
      <c r="J303" s="487"/>
      <c r="K303" s="454">
        <v>0</v>
      </c>
      <c r="L303" s="454">
        <v>0</v>
      </c>
      <c r="M303" s="1036">
        <v>0</v>
      </c>
      <c r="N303" s="1036">
        <v>0</v>
      </c>
      <c r="O303" s="454">
        <v>0</v>
      </c>
      <c r="P303" s="454">
        <v>0</v>
      </c>
      <c r="Q303" s="454"/>
      <c r="R303" s="454"/>
      <c r="S303" s="454"/>
      <c r="T303" s="454"/>
      <c r="U303" s="776"/>
      <c r="V303" s="776"/>
      <c r="W303" s="776"/>
      <c r="X303" s="486"/>
      <c r="Y303" s="2991"/>
    </row>
    <row r="304" spans="1:26" ht="12.75" customHeight="1">
      <c r="A304" s="2987"/>
      <c r="B304" s="518" t="s">
        <v>30</v>
      </c>
      <c r="C304" s="2994"/>
      <c r="D304" s="459">
        <f>+D305</f>
        <v>52020000</v>
      </c>
      <c r="E304" s="460">
        <f>+E305</f>
        <v>0</v>
      </c>
      <c r="F304" s="460">
        <f t="shared" ref="F304:R304" si="326">+F305</f>
        <v>0</v>
      </c>
      <c r="G304" s="460">
        <f t="shared" si="326"/>
        <v>0</v>
      </c>
      <c r="H304" s="460">
        <f t="shared" si="326"/>
        <v>0</v>
      </c>
      <c r="I304" s="460">
        <f t="shared" si="326"/>
        <v>0</v>
      </c>
      <c r="J304" s="460">
        <f t="shared" si="326"/>
        <v>0</v>
      </c>
      <c r="K304" s="460">
        <f t="shared" si="326"/>
        <v>0</v>
      </c>
      <c r="L304" s="460">
        <f t="shared" si="326"/>
        <v>0</v>
      </c>
      <c r="M304" s="1081">
        <f t="shared" si="326"/>
        <v>0</v>
      </c>
      <c r="N304" s="1081">
        <f t="shared" si="326"/>
        <v>0</v>
      </c>
      <c r="O304" s="460">
        <f t="shared" si="326"/>
        <v>0</v>
      </c>
      <c r="P304" s="460">
        <f t="shared" si="326"/>
        <v>85000</v>
      </c>
      <c r="Q304" s="460">
        <f t="shared" si="326"/>
        <v>38250000</v>
      </c>
      <c r="R304" s="460">
        <f t="shared" si="326"/>
        <v>13685000</v>
      </c>
      <c r="S304" s="460"/>
      <c r="T304" s="460"/>
      <c r="U304" s="459"/>
      <c r="V304" s="459"/>
      <c r="W304" s="459"/>
      <c r="X304" s="502">
        <f>X305</f>
        <v>52020000</v>
      </c>
      <c r="Y304" s="2991"/>
    </row>
    <row r="305" spans="1:26">
      <c r="A305" s="2987"/>
      <c r="B305" s="527" t="s">
        <v>33</v>
      </c>
      <c r="C305" s="3014"/>
      <c r="D305" s="2340">
        <f t="shared" ref="D305" si="327">M305+O305+P305+Q305+R305+S305+T305+U305+V305+W305</f>
        <v>52020000</v>
      </c>
      <c r="E305" s="456"/>
      <c r="F305" s="457">
        <v>0</v>
      </c>
      <c r="G305" s="456">
        <v>0</v>
      </c>
      <c r="H305" s="494">
        <v>0</v>
      </c>
      <c r="I305" s="494"/>
      <c r="J305" s="494"/>
      <c r="K305" s="456">
        <v>0</v>
      </c>
      <c r="L305" s="456">
        <v>0</v>
      </c>
      <c r="M305" s="1227">
        <f>+E305+I305+J305+K305+L305+N305</f>
        <v>0</v>
      </c>
      <c r="N305" s="854">
        <v>0</v>
      </c>
      <c r="O305" s="450">
        <f>34000-34000</f>
        <v>0</v>
      </c>
      <c r="P305" s="450">
        <v>85000</v>
      </c>
      <c r="Q305" s="450">
        <v>38250000</v>
      </c>
      <c r="R305" s="450">
        <v>13685000</v>
      </c>
      <c r="S305" s="456"/>
      <c r="T305" s="456"/>
      <c r="U305" s="457"/>
      <c r="V305" s="457"/>
      <c r="W305" s="457"/>
      <c r="X305" s="409">
        <f>SUM(P305:T305)</f>
        <v>52020000</v>
      </c>
      <c r="Y305" s="3004"/>
    </row>
    <row r="306" spans="1:26" s="848" customFormat="1" ht="13.5" customHeight="1">
      <c r="A306" s="2988"/>
      <c r="B306" s="543" t="s">
        <v>34</v>
      </c>
      <c r="C306" s="538"/>
      <c r="D306" s="571">
        <f t="shared" ref="D306:O306" si="328">+D307+D309</f>
        <v>52020000</v>
      </c>
      <c r="E306" s="851">
        <f t="shared" si="328"/>
        <v>0</v>
      </c>
      <c r="F306" s="851">
        <f t="shared" si="328"/>
        <v>0</v>
      </c>
      <c r="G306" s="851">
        <f t="shared" si="328"/>
        <v>0</v>
      </c>
      <c r="H306" s="851">
        <f t="shared" si="328"/>
        <v>0</v>
      </c>
      <c r="I306" s="851">
        <f t="shared" si="328"/>
        <v>0</v>
      </c>
      <c r="J306" s="851">
        <f t="shared" si="328"/>
        <v>0</v>
      </c>
      <c r="K306" s="851">
        <f t="shared" si="328"/>
        <v>0</v>
      </c>
      <c r="L306" s="851">
        <f t="shared" si="328"/>
        <v>0</v>
      </c>
      <c r="M306" s="855">
        <f t="shared" si="328"/>
        <v>0</v>
      </c>
      <c r="N306" s="855">
        <f t="shared" si="328"/>
        <v>0</v>
      </c>
      <c r="O306" s="855">
        <f t="shared" si="328"/>
        <v>0</v>
      </c>
      <c r="P306" s="851">
        <f>+P307+P309</f>
        <v>0</v>
      </c>
      <c r="Q306" s="851">
        <f>+Q307+Q309</f>
        <v>38335000</v>
      </c>
      <c r="R306" s="851">
        <f>+R307+R309</f>
        <v>13685000</v>
      </c>
      <c r="S306" s="851"/>
      <c r="T306" s="851"/>
      <c r="U306" s="851"/>
      <c r="V306" s="851"/>
      <c r="W306" s="851"/>
      <c r="X306" s="2952" t="s">
        <v>35</v>
      </c>
      <c r="Y306" s="3052" t="s">
        <v>122</v>
      </c>
    </row>
    <row r="307" spans="1:26" ht="13.5" hidden="1" customHeight="1">
      <c r="A307" s="2988"/>
      <c r="B307" s="445" t="s">
        <v>36</v>
      </c>
      <c r="C307" s="3039" t="s">
        <v>328</v>
      </c>
      <c r="D307" s="465">
        <f>+D308</f>
        <v>0</v>
      </c>
      <c r="E307" s="465">
        <f t="shared" ref="E307:P307" si="329">+E308</f>
        <v>0</v>
      </c>
      <c r="F307" s="465">
        <f t="shared" si="329"/>
        <v>0</v>
      </c>
      <c r="G307" s="465">
        <f t="shared" si="329"/>
        <v>0</v>
      </c>
      <c r="H307" s="465">
        <f t="shared" si="329"/>
        <v>0</v>
      </c>
      <c r="I307" s="465">
        <f t="shared" si="329"/>
        <v>0</v>
      </c>
      <c r="J307" s="465">
        <f t="shared" si="329"/>
        <v>0</v>
      </c>
      <c r="K307" s="465">
        <f t="shared" si="329"/>
        <v>0</v>
      </c>
      <c r="L307" s="465">
        <f t="shared" si="329"/>
        <v>0</v>
      </c>
      <c r="M307" s="1038">
        <f t="shared" si="329"/>
        <v>0</v>
      </c>
      <c r="N307" s="1038">
        <f t="shared" si="329"/>
        <v>0</v>
      </c>
      <c r="O307" s="1038">
        <f t="shared" si="329"/>
        <v>0</v>
      </c>
      <c r="P307" s="465">
        <f t="shared" si="329"/>
        <v>0</v>
      </c>
      <c r="Q307" s="465"/>
      <c r="R307" s="465"/>
      <c r="S307" s="465"/>
      <c r="T307" s="465"/>
      <c r="U307" s="465"/>
      <c r="V307" s="465"/>
      <c r="W307" s="465"/>
      <c r="X307" s="2953"/>
      <c r="Y307" s="3050"/>
    </row>
    <row r="308" spans="1:26" ht="13.5" hidden="1" customHeight="1">
      <c r="A308" s="2988"/>
      <c r="B308" s="542" t="s">
        <v>27</v>
      </c>
      <c r="C308" s="3041"/>
      <c r="D308" s="449">
        <f>SUM(M308:T308)</f>
        <v>0</v>
      </c>
      <c r="E308" s="467">
        <f>+F308+G308+H308</f>
        <v>0</v>
      </c>
      <c r="F308" s="467">
        <v>0</v>
      </c>
      <c r="G308" s="467">
        <v>0</v>
      </c>
      <c r="H308" s="467">
        <v>0</v>
      </c>
      <c r="I308" s="467"/>
      <c r="J308" s="467"/>
      <c r="K308" s="467">
        <v>0</v>
      </c>
      <c r="L308" s="467">
        <v>0</v>
      </c>
      <c r="M308" s="1039">
        <v>0</v>
      </c>
      <c r="N308" s="1039">
        <v>0</v>
      </c>
      <c r="O308" s="1039">
        <v>0</v>
      </c>
      <c r="P308" s="467">
        <v>0</v>
      </c>
      <c r="Q308" s="467"/>
      <c r="R308" s="467"/>
      <c r="S308" s="467"/>
      <c r="T308" s="467"/>
      <c r="U308" s="467"/>
      <c r="V308" s="467"/>
      <c r="W308" s="467"/>
      <c r="X308" s="2953"/>
      <c r="Y308" s="3050"/>
    </row>
    <row r="309" spans="1:26" ht="12" customHeight="1">
      <c r="A309" s="2988"/>
      <c r="B309" s="458" t="s">
        <v>30</v>
      </c>
      <c r="C309" s="3041"/>
      <c r="D309" s="459">
        <f t="shared" ref="D309:R309" si="330">+D310</f>
        <v>52020000</v>
      </c>
      <c r="E309" s="460">
        <f t="shared" si="330"/>
        <v>0</v>
      </c>
      <c r="F309" s="460">
        <f t="shared" si="330"/>
        <v>0</v>
      </c>
      <c r="G309" s="460">
        <f t="shared" si="330"/>
        <v>0</v>
      </c>
      <c r="H309" s="460">
        <f t="shared" si="330"/>
        <v>0</v>
      </c>
      <c r="I309" s="460">
        <f t="shared" si="330"/>
        <v>0</v>
      </c>
      <c r="J309" s="460">
        <f t="shared" si="330"/>
        <v>0</v>
      </c>
      <c r="K309" s="460">
        <f t="shared" si="330"/>
        <v>0</v>
      </c>
      <c r="L309" s="460">
        <f t="shared" si="330"/>
        <v>0</v>
      </c>
      <c r="M309" s="1081">
        <f t="shared" si="330"/>
        <v>0</v>
      </c>
      <c r="N309" s="1081">
        <f t="shared" si="330"/>
        <v>0</v>
      </c>
      <c r="O309" s="1081">
        <f t="shared" si="330"/>
        <v>0</v>
      </c>
      <c r="P309" s="460">
        <f t="shared" si="330"/>
        <v>0</v>
      </c>
      <c r="Q309" s="460">
        <f t="shared" si="330"/>
        <v>38335000</v>
      </c>
      <c r="R309" s="460">
        <f t="shared" si="330"/>
        <v>13685000</v>
      </c>
      <c r="S309" s="460"/>
      <c r="T309" s="460"/>
      <c r="U309" s="460"/>
      <c r="V309" s="460"/>
      <c r="W309" s="460"/>
      <c r="X309" s="2953"/>
      <c r="Y309" s="3050"/>
    </row>
    <row r="310" spans="1:26" ht="13.5" customHeight="1" thickBot="1">
      <c r="A310" s="2989"/>
      <c r="B310" s="490" t="s">
        <v>33</v>
      </c>
      <c r="C310" s="3042"/>
      <c r="D310" s="1221">
        <f t="shared" ref="D310" si="331">M310+O310+P310+Q310+R310+S310+T310+U310+V310+W310</f>
        <v>52020000</v>
      </c>
      <c r="E310" s="491">
        <f>+F310+G310+H310</f>
        <v>0</v>
      </c>
      <c r="F310" s="492">
        <v>0</v>
      </c>
      <c r="G310" s="491">
        <v>0</v>
      </c>
      <c r="H310" s="491">
        <v>0</v>
      </c>
      <c r="I310" s="491"/>
      <c r="J310" s="491"/>
      <c r="K310" s="491">
        <v>0</v>
      </c>
      <c r="L310" s="491">
        <v>0</v>
      </c>
      <c r="M310" s="1228">
        <f>+E310+I310+J310+K310+L310+N310</f>
        <v>0</v>
      </c>
      <c r="N310" s="1082">
        <v>0</v>
      </c>
      <c r="O310" s="1082">
        <v>0</v>
      </c>
      <c r="P310" s="491">
        <v>0</v>
      </c>
      <c r="Q310" s="491">
        <v>38335000</v>
      </c>
      <c r="R310" s="491">
        <v>13685000</v>
      </c>
      <c r="S310" s="491"/>
      <c r="T310" s="491"/>
      <c r="U310" s="491"/>
      <c r="V310" s="491"/>
      <c r="W310" s="491"/>
      <c r="X310" s="2954"/>
      <c r="Y310" s="3051"/>
    </row>
    <row r="311" spans="1:26" ht="40.5" customHeight="1">
      <c r="A311" s="2986" t="s">
        <v>115</v>
      </c>
      <c r="B311" s="493" t="s">
        <v>505</v>
      </c>
      <c r="C311" s="473" t="s">
        <v>98</v>
      </c>
      <c r="D311" s="474"/>
      <c r="E311" s="476"/>
      <c r="F311" s="475"/>
      <c r="G311" s="476"/>
      <c r="H311" s="476"/>
      <c r="I311" s="436"/>
      <c r="J311" s="436"/>
      <c r="K311" s="436"/>
      <c r="L311" s="436"/>
      <c r="M311" s="438"/>
      <c r="N311" s="438"/>
      <c r="O311" s="438"/>
      <c r="P311" s="438"/>
      <c r="Q311" s="438"/>
      <c r="R311" s="438"/>
      <c r="S311" s="438"/>
      <c r="T311" s="438"/>
      <c r="U311" s="438"/>
      <c r="V311" s="438"/>
      <c r="W311" s="438"/>
      <c r="X311" s="439"/>
      <c r="Y311" s="535"/>
      <c r="Z311" s="1283" t="s">
        <v>515</v>
      </c>
    </row>
    <row r="312" spans="1:26" ht="13.5" customHeight="1">
      <c r="A312" s="2987"/>
      <c r="B312" s="374" t="s">
        <v>22</v>
      </c>
      <c r="C312" s="2381"/>
      <c r="D312" s="2382">
        <f t="shared" ref="D312" si="332">+D313+D316</f>
        <v>4500000</v>
      </c>
      <c r="E312" s="2382">
        <f>+E313+E316</f>
        <v>0</v>
      </c>
      <c r="F312" s="2474">
        <f t="shared" ref="F312:O312" si="333">+F313+F316</f>
        <v>0</v>
      </c>
      <c r="G312" s="2474">
        <f t="shared" si="333"/>
        <v>0</v>
      </c>
      <c r="H312" s="2474">
        <f t="shared" si="333"/>
        <v>0</v>
      </c>
      <c r="I312" s="2474">
        <f t="shared" si="333"/>
        <v>0</v>
      </c>
      <c r="J312" s="2474">
        <f t="shared" si="333"/>
        <v>0</v>
      </c>
      <c r="K312" s="2474">
        <f t="shared" si="333"/>
        <v>0</v>
      </c>
      <c r="L312" s="2474">
        <f t="shared" si="333"/>
        <v>0</v>
      </c>
      <c r="M312" s="2475">
        <f t="shared" si="333"/>
        <v>0</v>
      </c>
      <c r="N312" s="2475">
        <f t="shared" si="333"/>
        <v>0</v>
      </c>
      <c r="O312" s="2474">
        <f t="shared" si="333"/>
        <v>0</v>
      </c>
      <c r="P312" s="2474">
        <f>+P313+P316</f>
        <v>300000</v>
      </c>
      <c r="Q312" s="2474">
        <f>+Q313+Q316</f>
        <v>4200000</v>
      </c>
      <c r="R312" s="2474">
        <f>+R313+R316</f>
        <v>0</v>
      </c>
      <c r="S312" s="2474"/>
      <c r="T312" s="2474"/>
      <c r="U312" s="2474"/>
      <c r="V312" s="2474"/>
      <c r="W312" s="2474"/>
      <c r="X312" s="2383">
        <f>X313+X316</f>
        <v>4500000</v>
      </c>
      <c r="Y312" s="2991" t="s">
        <v>104</v>
      </c>
      <c r="Z312" s="843"/>
    </row>
    <row r="313" spans="1:26" ht="13.5" customHeight="1">
      <c r="A313" s="2987"/>
      <c r="B313" s="526" t="s">
        <v>36</v>
      </c>
      <c r="C313" s="3024" t="s">
        <v>101</v>
      </c>
      <c r="D313" s="2395">
        <f>+D314+D315</f>
        <v>675000</v>
      </c>
      <c r="E313" s="2395">
        <f>+E314+E315</f>
        <v>0</v>
      </c>
      <c r="F313" s="2395">
        <f t="shared" ref="F313:O313" si="334">+F314+F315</f>
        <v>0</v>
      </c>
      <c r="G313" s="2395">
        <f t="shared" si="334"/>
        <v>0</v>
      </c>
      <c r="H313" s="2395">
        <f t="shared" si="334"/>
        <v>0</v>
      </c>
      <c r="I313" s="2395">
        <f t="shared" si="334"/>
        <v>0</v>
      </c>
      <c r="J313" s="2395">
        <f t="shared" si="334"/>
        <v>0</v>
      </c>
      <c r="K313" s="2395">
        <f t="shared" si="334"/>
        <v>0</v>
      </c>
      <c r="L313" s="2395">
        <f t="shared" si="334"/>
        <v>0</v>
      </c>
      <c r="M313" s="2476">
        <f t="shared" si="334"/>
        <v>0</v>
      </c>
      <c r="N313" s="2476">
        <f t="shared" si="334"/>
        <v>0</v>
      </c>
      <c r="O313" s="2395">
        <f t="shared" si="334"/>
        <v>0</v>
      </c>
      <c r="P313" s="2395">
        <f>+P314+P315</f>
        <v>45000</v>
      </c>
      <c r="Q313" s="2395">
        <f>+Q314+Q315</f>
        <v>630000</v>
      </c>
      <c r="R313" s="2395">
        <f>+R314+R315</f>
        <v>0</v>
      </c>
      <c r="S313" s="2395"/>
      <c r="T313" s="2395"/>
      <c r="U313" s="2395"/>
      <c r="V313" s="2395"/>
      <c r="W313" s="2395"/>
      <c r="X313" s="2385">
        <f>X314</f>
        <v>675000</v>
      </c>
      <c r="Y313" s="2991"/>
      <c r="Z313" s="843"/>
    </row>
    <row r="314" spans="1:26" ht="11.25" customHeight="1">
      <c r="A314" s="2987"/>
      <c r="B314" s="527" t="s">
        <v>24</v>
      </c>
      <c r="C314" s="2994"/>
      <c r="D314" s="1930">
        <f t="shared" ref="D314" si="335">M314+O314+P314+Q314+R314+S314+T314+U314+V314+W314</f>
        <v>675000</v>
      </c>
      <c r="E314" s="2312"/>
      <c r="F314" s="2386">
        <v>0</v>
      </c>
      <c r="G314" s="2312">
        <v>0</v>
      </c>
      <c r="H314" s="2336">
        <v>0</v>
      </c>
      <c r="I314" s="2336"/>
      <c r="J314" s="2336"/>
      <c r="K314" s="2312"/>
      <c r="L314" s="2336"/>
      <c r="M314" s="2477">
        <f>+E314+I314+J314+K314+L314+N314</f>
        <v>0</v>
      </c>
      <c r="N314" s="2478">
        <v>0</v>
      </c>
      <c r="O314" s="2479">
        <f>6000-6000</f>
        <v>0</v>
      </c>
      <c r="P314" s="2479">
        <v>45000</v>
      </c>
      <c r="Q314" s="2479">
        <v>630000</v>
      </c>
      <c r="R314" s="2479">
        <v>0</v>
      </c>
      <c r="S314" s="2387"/>
      <c r="T314" s="2387"/>
      <c r="U314" s="2387"/>
      <c r="V314" s="2387"/>
      <c r="W314" s="2387"/>
      <c r="X314" s="2389">
        <f>SUM(P314:T314)</f>
        <v>675000</v>
      </c>
      <c r="Y314" s="2991"/>
      <c r="Z314" s="843"/>
    </row>
    <row r="315" spans="1:26" ht="10.5" hidden="1" customHeight="1">
      <c r="A315" s="2987"/>
      <c r="B315" s="2060" t="s">
        <v>27</v>
      </c>
      <c r="C315" s="2994"/>
      <c r="D315" s="2480">
        <f t="shared" ref="D315" si="336">SUM(M315:T315)</f>
        <v>0</v>
      </c>
      <c r="E315" s="2312">
        <v>0</v>
      </c>
      <c r="F315" s="2325">
        <v>0</v>
      </c>
      <c r="G315" s="2325">
        <v>0</v>
      </c>
      <c r="H315" s="2327">
        <v>0</v>
      </c>
      <c r="I315" s="2327"/>
      <c r="J315" s="2327"/>
      <c r="K315" s="2325">
        <v>0</v>
      </c>
      <c r="L315" s="2325">
        <v>0</v>
      </c>
      <c r="M315" s="2405">
        <v>0</v>
      </c>
      <c r="N315" s="2405">
        <v>0</v>
      </c>
      <c r="O315" s="2325">
        <v>0</v>
      </c>
      <c r="P315" s="2325">
        <v>0</v>
      </c>
      <c r="Q315" s="2325"/>
      <c r="R315" s="2325"/>
      <c r="S315" s="2325"/>
      <c r="T315" s="2325"/>
      <c r="U315" s="776"/>
      <c r="V315" s="776"/>
      <c r="W315" s="776"/>
      <c r="X315" s="486"/>
      <c r="Y315" s="2991"/>
    </row>
    <row r="316" spans="1:26" ht="12.75" customHeight="1">
      <c r="A316" s="2987"/>
      <c r="B316" s="518" t="s">
        <v>30</v>
      </c>
      <c r="C316" s="2994"/>
      <c r="D316" s="2390">
        <f>+D317</f>
        <v>3825000</v>
      </c>
      <c r="E316" s="2391">
        <f>+E317</f>
        <v>0</v>
      </c>
      <c r="F316" s="2391">
        <f t="shared" ref="F316:R316" si="337">+F317</f>
        <v>0</v>
      </c>
      <c r="G316" s="2391">
        <f t="shared" si="337"/>
        <v>0</v>
      </c>
      <c r="H316" s="2391">
        <f t="shared" si="337"/>
        <v>0</v>
      </c>
      <c r="I316" s="2391">
        <f t="shared" si="337"/>
        <v>0</v>
      </c>
      <c r="J316" s="2391">
        <f t="shared" si="337"/>
        <v>0</v>
      </c>
      <c r="K316" s="2391">
        <f t="shared" si="337"/>
        <v>0</v>
      </c>
      <c r="L316" s="2391">
        <f t="shared" si="337"/>
        <v>0</v>
      </c>
      <c r="M316" s="2406">
        <f t="shared" si="337"/>
        <v>0</v>
      </c>
      <c r="N316" s="2406">
        <f t="shared" si="337"/>
        <v>0</v>
      </c>
      <c r="O316" s="2391">
        <f t="shared" si="337"/>
        <v>0</v>
      </c>
      <c r="P316" s="2391">
        <f t="shared" si="337"/>
        <v>255000</v>
      </c>
      <c r="Q316" s="2391">
        <f t="shared" si="337"/>
        <v>3570000</v>
      </c>
      <c r="R316" s="2391">
        <f t="shared" si="337"/>
        <v>0</v>
      </c>
      <c r="S316" s="2391"/>
      <c r="T316" s="2391"/>
      <c r="U316" s="2390"/>
      <c r="V316" s="2390"/>
      <c r="W316" s="2390"/>
      <c r="X316" s="2385">
        <f>X317</f>
        <v>3825000</v>
      </c>
      <c r="Y316" s="2991"/>
    </row>
    <row r="317" spans="1:26" ht="12" customHeight="1">
      <c r="A317" s="2987"/>
      <c r="B317" s="527" t="s">
        <v>33</v>
      </c>
      <c r="C317" s="3014"/>
      <c r="D317" s="2340">
        <f t="shared" ref="D317" si="338">M317+O317+P317+Q317+R317+S317+T317+U317+V317+W317</f>
        <v>3825000</v>
      </c>
      <c r="E317" s="2312"/>
      <c r="F317" s="2386">
        <v>0</v>
      </c>
      <c r="G317" s="2312">
        <v>0</v>
      </c>
      <c r="H317" s="2336">
        <v>0</v>
      </c>
      <c r="I317" s="2336"/>
      <c r="J317" s="2336"/>
      <c r="K317" s="2312">
        <v>0</v>
      </c>
      <c r="L317" s="2312">
        <v>0</v>
      </c>
      <c r="M317" s="2477">
        <f>+E317+I317+J317+K317+L317+N317</f>
        <v>0</v>
      </c>
      <c r="N317" s="2478">
        <v>0</v>
      </c>
      <c r="O317" s="2387">
        <f>34000-34000</f>
        <v>0</v>
      </c>
      <c r="P317" s="2387">
        <v>255000</v>
      </c>
      <c r="Q317" s="2387">
        <v>3570000</v>
      </c>
      <c r="R317" s="2387">
        <v>0</v>
      </c>
      <c r="S317" s="2312"/>
      <c r="T317" s="2312"/>
      <c r="U317" s="2386"/>
      <c r="V317" s="2386"/>
      <c r="W317" s="2386"/>
      <c r="X317" s="2389">
        <f>SUM(P317:T317)</f>
        <v>3825000</v>
      </c>
      <c r="Y317" s="3004"/>
    </row>
    <row r="318" spans="1:26" s="848" customFormat="1" ht="13.5" customHeight="1">
      <c r="A318" s="2988"/>
      <c r="B318" s="543" t="s">
        <v>34</v>
      </c>
      <c r="C318" s="538"/>
      <c r="D318" s="571">
        <f t="shared" ref="D318:O318" si="339">+D319+D321</f>
        <v>3825000</v>
      </c>
      <c r="E318" s="851">
        <f t="shared" si="339"/>
        <v>0</v>
      </c>
      <c r="F318" s="851">
        <f t="shared" si="339"/>
        <v>0</v>
      </c>
      <c r="G318" s="851">
        <f t="shared" si="339"/>
        <v>0</v>
      </c>
      <c r="H318" s="851">
        <f t="shared" si="339"/>
        <v>0</v>
      </c>
      <c r="I318" s="851">
        <f t="shared" si="339"/>
        <v>0</v>
      </c>
      <c r="J318" s="851">
        <f t="shared" si="339"/>
        <v>0</v>
      </c>
      <c r="K318" s="851">
        <f t="shared" si="339"/>
        <v>0</v>
      </c>
      <c r="L318" s="851">
        <f t="shared" si="339"/>
        <v>0</v>
      </c>
      <c r="M318" s="855">
        <f t="shared" si="339"/>
        <v>0</v>
      </c>
      <c r="N318" s="855">
        <f t="shared" si="339"/>
        <v>0</v>
      </c>
      <c r="O318" s="855">
        <f t="shared" si="339"/>
        <v>0</v>
      </c>
      <c r="P318" s="851">
        <f>+P319+P321</f>
        <v>0</v>
      </c>
      <c r="Q318" s="851">
        <f>+Q319+Q321</f>
        <v>3500000</v>
      </c>
      <c r="R318" s="851">
        <f>+R319+R321</f>
        <v>325000</v>
      </c>
      <c r="S318" s="851"/>
      <c r="T318" s="851"/>
      <c r="U318" s="851"/>
      <c r="V318" s="851"/>
      <c r="W318" s="851"/>
      <c r="X318" s="3087" t="s">
        <v>35</v>
      </c>
      <c r="Y318" s="3049" t="s">
        <v>122</v>
      </c>
    </row>
    <row r="319" spans="1:26" ht="13.5" hidden="1" customHeight="1">
      <c r="A319" s="2988"/>
      <c r="B319" s="1941" t="s">
        <v>36</v>
      </c>
      <c r="C319" s="3088" t="s">
        <v>328</v>
      </c>
      <c r="D319" s="465">
        <f>+D320</f>
        <v>0</v>
      </c>
      <c r="E319" s="465">
        <f t="shared" ref="E319:P319" si="340">+E320</f>
        <v>0</v>
      </c>
      <c r="F319" s="465">
        <f t="shared" si="340"/>
        <v>0</v>
      </c>
      <c r="G319" s="465">
        <f t="shared" si="340"/>
        <v>0</v>
      </c>
      <c r="H319" s="465">
        <f t="shared" si="340"/>
        <v>0</v>
      </c>
      <c r="I319" s="465">
        <f t="shared" si="340"/>
        <v>0</v>
      </c>
      <c r="J319" s="465">
        <f t="shared" si="340"/>
        <v>0</v>
      </c>
      <c r="K319" s="465">
        <f t="shared" si="340"/>
        <v>0</v>
      </c>
      <c r="L319" s="465">
        <f t="shared" si="340"/>
        <v>0</v>
      </c>
      <c r="M319" s="1038">
        <f t="shared" si="340"/>
        <v>0</v>
      </c>
      <c r="N319" s="1038">
        <f t="shared" si="340"/>
        <v>0</v>
      </c>
      <c r="O319" s="1038">
        <f t="shared" si="340"/>
        <v>0</v>
      </c>
      <c r="P319" s="465">
        <f t="shared" si="340"/>
        <v>0</v>
      </c>
      <c r="Q319" s="465"/>
      <c r="R319" s="465"/>
      <c r="S319" s="465"/>
      <c r="T319" s="465"/>
      <c r="U319" s="465"/>
      <c r="V319" s="465"/>
      <c r="W319" s="465"/>
      <c r="X319" s="2953"/>
      <c r="Y319" s="3050"/>
    </row>
    <row r="320" spans="1:26" ht="13.5" hidden="1" customHeight="1">
      <c r="A320" s="2988"/>
      <c r="B320" s="542" t="s">
        <v>27</v>
      </c>
      <c r="C320" s="3041"/>
      <c r="D320" s="1930">
        <f>SUM(M320:T320)</f>
        <v>0</v>
      </c>
      <c r="E320" s="2392">
        <f>+F320+G320+H320</f>
        <v>0</v>
      </c>
      <c r="F320" s="2392">
        <v>0</v>
      </c>
      <c r="G320" s="2392">
        <v>0</v>
      </c>
      <c r="H320" s="2392">
        <v>0</v>
      </c>
      <c r="I320" s="2392"/>
      <c r="J320" s="2392"/>
      <c r="K320" s="2392">
        <v>0</v>
      </c>
      <c r="L320" s="2392">
        <v>0</v>
      </c>
      <c r="M320" s="2408">
        <v>0</v>
      </c>
      <c r="N320" s="2408">
        <v>0</v>
      </c>
      <c r="O320" s="2408">
        <v>0</v>
      </c>
      <c r="P320" s="2392">
        <v>0</v>
      </c>
      <c r="Q320" s="2392"/>
      <c r="R320" s="2392"/>
      <c r="S320" s="2392"/>
      <c r="T320" s="2392"/>
      <c r="U320" s="2392"/>
      <c r="V320" s="2392"/>
      <c r="W320" s="2392"/>
      <c r="X320" s="2953"/>
      <c r="Y320" s="3050"/>
    </row>
    <row r="321" spans="1:26" ht="12" customHeight="1">
      <c r="A321" s="2988"/>
      <c r="B321" s="2134" t="s">
        <v>30</v>
      </c>
      <c r="C321" s="3041"/>
      <c r="D321" s="2390">
        <f t="shared" ref="D321:R321" si="341">+D322</f>
        <v>3825000</v>
      </c>
      <c r="E321" s="2391">
        <f t="shared" si="341"/>
        <v>0</v>
      </c>
      <c r="F321" s="2391">
        <f t="shared" si="341"/>
        <v>0</v>
      </c>
      <c r="G321" s="2391">
        <f t="shared" si="341"/>
        <v>0</v>
      </c>
      <c r="H321" s="2391">
        <f t="shared" si="341"/>
        <v>0</v>
      </c>
      <c r="I321" s="2391">
        <f t="shared" si="341"/>
        <v>0</v>
      </c>
      <c r="J321" s="2391">
        <f t="shared" si="341"/>
        <v>0</v>
      </c>
      <c r="K321" s="2391">
        <f t="shared" si="341"/>
        <v>0</v>
      </c>
      <c r="L321" s="2391">
        <f t="shared" si="341"/>
        <v>0</v>
      </c>
      <c r="M321" s="2406">
        <f t="shared" si="341"/>
        <v>0</v>
      </c>
      <c r="N321" s="2406">
        <f t="shared" si="341"/>
        <v>0</v>
      </c>
      <c r="O321" s="2406">
        <f t="shared" si="341"/>
        <v>0</v>
      </c>
      <c r="P321" s="2391">
        <f t="shared" si="341"/>
        <v>0</v>
      </c>
      <c r="Q321" s="2391">
        <f t="shared" si="341"/>
        <v>3500000</v>
      </c>
      <c r="R321" s="2391">
        <f t="shared" si="341"/>
        <v>325000</v>
      </c>
      <c r="S321" s="2391"/>
      <c r="T321" s="2391"/>
      <c r="U321" s="2391"/>
      <c r="V321" s="2391"/>
      <c r="W321" s="2391"/>
      <c r="X321" s="2953"/>
      <c r="Y321" s="3050"/>
    </row>
    <row r="322" spans="1:26" ht="13.5" thickBot="1">
      <c r="A322" s="2989"/>
      <c r="B322" s="490" t="s">
        <v>33</v>
      </c>
      <c r="C322" s="3042"/>
      <c r="D322" s="1221">
        <f t="shared" ref="D322" si="342">M322+O322+P322+Q322+R322+S322+T322+U322+V322+W322</f>
        <v>3825000</v>
      </c>
      <c r="E322" s="491">
        <f>+F322+G322+H322</f>
        <v>0</v>
      </c>
      <c r="F322" s="492">
        <v>0</v>
      </c>
      <c r="G322" s="491">
        <v>0</v>
      </c>
      <c r="H322" s="491">
        <v>0</v>
      </c>
      <c r="I322" s="491"/>
      <c r="J322" s="491"/>
      <c r="K322" s="491">
        <v>0</v>
      </c>
      <c r="L322" s="491">
        <v>0</v>
      </c>
      <c r="M322" s="1228">
        <f>+E322+I322+J322+K322+L322+N322</f>
        <v>0</v>
      </c>
      <c r="N322" s="1082">
        <v>0</v>
      </c>
      <c r="O322" s="1082">
        <v>0</v>
      </c>
      <c r="P322" s="491">
        <v>0</v>
      </c>
      <c r="Q322" s="491">
        <v>3500000</v>
      </c>
      <c r="R322" s="491">
        <v>325000</v>
      </c>
      <c r="S322" s="491"/>
      <c r="T322" s="491"/>
      <c r="U322" s="491"/>
      <c r="V322" s="491"/>
      <c r="W322" s="491"/>
      <c r="X322" s="2954"/>
      <c r="Y322" s="3051"/>
    </row>
    <row r="323" spans="1:26" ht="30.75" customHeight="1">
      <c r="A323" s="2986" t="s">
        <v>116</v>
      </c>
      <c r="B323" s="2057" t="s">
        <v>616</v>
      </c>
      <c r="C323" s="434" t="s">
        <v>98</v>
      </c>
      <c r="D323" s="435"/>
      <c r="E323" s="437"/>
      <c r="F323" s="437"/>
      <c r="G323" s="436"/>
      <c r="H323" s="436"/>
      <c r="I323" s="436"/>
      <c r="J323" s="436"/>
      <c r="K323" s="436"/>
      <c r="L323" s="436"/>
      <c r="M323" s="438"/>
      <c r="N323" s="438"/>
      <c r="O323" s="438"/>
      <c r="P323" s="438"/>
      <c r="Q323" s="438"/>
      <c r="R323" s="438"/>
      <c r="S323" s="438"/>
      <c r="T323" s="438"/>
      <c r="U323" s="438"/>
      <c r="V323" s="438"/>
      <c r="W323" s="438"/>
      <c r="X323" s="439"/>
      <c r="Y323" s="535"/>
    </row>
    <row r="324" spans="1:26" ht="13.5" customHeight="1">
      <c r="A324" s="2987"/>
      <c r="B324" s="505" t="s">
        <v>22</v>
      </c>
      <c r="C324" s="2700"/>
      <c r="D324" s="2701">
        <f>+D325+D327</f>
        <v>3559294</v>
      </c>
      <c r="E324" s="2701">
        <f t="shared" ref="E324:P324" si="343">+E325+E327</f>
        <v>0</v>
      </c>
      <c r="F324" s="2701">
        <f t="shared" si="343"/>
        <v>0</v>
      </c>
      <c r="G324" s="2701">
        <f t="shared" si="343"/>
        <v>0</v>
      </c>
      <c r="H324" s="2701">
        <f t="shared" si="343"/>
        <v>0</v>
      </c>
      <c r="I324" s="2701">
        <f t="shared" si="343"/>
        <v>315360</v>
      </c>
      <c r="J324" s="2701">
        <f t="shared" si="343"/>
        <v>243934</v>
      </c>
      <c r="K324" s="2701">
        <f t="shared" si="343"/>
        <v>0</v>
      </c>
      <c r="L324" s="2701">
        <f t="shared" si="343"/>
        <v>0</v>
      </c>
      <c r="M324" s="2701">
        <f t="shared" si="343"/>
        <v>559294</v>
      </c>
      <c r="N324" s="2701">
        <f t="shared" si="343"/>
        <v>0</v>
      </c>
      <c r="O324" s="2701">
        <f t="shared" si="343"/>
        <v>0</v>
      </c>
      <c r="P324" s="2701">
        <f t="shared" si="343"/>
        <v>39320</v>
      </c>
      <c r="Q324" s="2701">
        <f t="shared" ref="Q324" si="344">+Q325+Q327</f>
        <v>2960680</v>
      </c>
      <c r="R324" s="2701"/>
      <c r="S324" s="2701"/>
      <c r="T324" s="2701"/>
      <c r="U324" s="2701"/>
      <c r="V324" s="2701"/>
      <c r="W324" s="2701"/>
      <c r="X324" s="2409">
        <f>+X325+X327</f>
        <v>3000000</v>
      </c>
      <c r="Y324" s="2991" t="s">
        <v>104</v>
      </c>
      <c r="Z324" s="1283" t="s">
        <v>515</v>
      </c>
    </row>
    <row r="325" spans="1:26" ht="13.5" customHeight="1">
      <c r="A325" s="2987"/>
      <c r="B325" s="528" t="s">
        <v>36</v>
      </c>
      <c r="C325" s="3089" t="s">
        <v>101</v>
      </c>
      <c r="D325" s="2310">
        <f>+D326</f>
        <v>3559294</v>
      </c>
      <c r="E325" s="2310">
        <f t="shared" ref="E325:Q325" si="345">+E326</f>
        <v>0</v>
      </c>
      <c r="F325" s="2310">
        <f t="shared" si="345"/>
        <v>0</v>
      </c>
      <c r="G325" s="2310">
        <f t="shared" si="345"/>
        <v>0</v>
      </c>
      <c r="H325" s="2310">
        <f t="shared" si="345"/>
        <v>0</v>
      </c>
      <c r="I325" s="2310">
        <f t="shared" si="345"/>
        <v>315360</v>
      </c>
      <c r="J325" s="2310">
        <f t="shared" si="345"/>
        <v>243934</v>
      </c>
      <c r="K325" s="2310">
        <f t="shared" si="345"/>
        <v>0</v>
      </c>
      <c r="L325" s="2310">
        <f t="shared" si="345"/>
        <v>0</v>
      </c>
      <c r="M325" s="2310">
        <f t="shared" si="345"/>
        <v>559294</v>
      </c>
      <c r="N325" s="2310">
        <f t="shared" si="345"/>
        <v>0</v>
      </c>
      <c r="O325" s="2310">
        <f t="shared" si="345"/>
        <v>0</v>
      </c>
      <c r="P325" s="2310">
        <f t="shared" si="345"/>
        <v>39320</v>
      </c>
      <c r="Q325" s="2310">
        <f t="shared" si="345"/>
        <v>2960680</v>
      </c>
      <c r="R325" s="2310"/>
      <c r="S325" s="2310"/>
      <c r="T325" s="2310"/>
      <c r="U325" s="2310"/>
      <c r="V325" s="2310"/>
      <c r="W325" s="2310"/>
      <c r="X325" s="2417">
        <f>+X326</f>
        <v>3000000</v>
      </c>
      <c r="Y325" s="2991"/>
      <c r="Z325" s="843"/>
    </row>
    <row r="326" spans="1:26" ht="13.5" customHeight="1" thickBot="1">
      <c r="A326" s="3023"/>
      <c r="B326" s="512" t="s">
        <v>24</v>
      </c>
      <c r="C326" s="3090"/>
      <c r="D326" s="2702">
        <f t="shared" ref="D326" si="346">M326+O326+P326+Q326+R326+S326+T326+U326+V326+W326</f>
        <v>3559294</v>
      </c>
      <c r="E326" s="491">
        <f>+F326+G326+H326</f>
        <v>0</v>
      </c>
      <c r="F326" s="492">
        <v>0</v>
      </c>
      <c r="G326" s="491">
        <v>0</v>
      </c>
      <c r="H326" s="491">
        <v>0</v>
      </c>
      <c r="I326" s="491">
        <f>305899+9461</f>
        <v>315360</v>
      </c>
      <c r="J326" s="491">
        <v>243934</v>
      </c>
      <c r="K326" s="491">
        <v>0</v>
      </c>
      <c r="L326" s="491">
        <f>4000000-4000000</f>
        <v>0</v>
      </c>
      <c r="M326" s="2642">
        <f>+E326+I326+J326+K326+L326+N326</f>
        <v>559294</v>
      </c>
      <c r="N326" s="491">
        <f>4000000-1000000-3000000</f>
        <v>0</v>
      </c>
      <c r="O326" s="491">
        <f>3000000-3000000</f>
        <v>0</v>
      </c>
      <c r="P326" s="492">
        <f>3000000-2960680</f>
        <v>39320</v>
      </c>
      <c r="Q326" s="492">
        <v>2960680</v>
      </c>
      <c r="R326" s="492"/>
      <c r="S326" s="492"/>
      <c r="T326" s="492"/>
      <c r="U326" s="492"/>
      <c r="V326" s="492"/>
      <c r="W326" s="492"/>
      <c r="X326" s="2703">
        <f>SUM(P326:T326)</f>
        <v>3000000</v>
      </c>
      <c r="Y326" s="3025"/>
    </row>
    <row r="327" spans="1:26" ht="23.25" customHeight="1">
      <c r="A327" s="2986" t="s">
        <v>119</v>
      </c>
      <c r="B327" s="1073" t="s">
        <v>459</v>
      </c>
      <c r="C327" s="473" t="s">
        <v>98</v>
      </c>
      <c r="D327" s="435"/>
      <c r="E327" s="436"/>
      <c r="F327" s="437"/>
      <c r="G327" s="436"/>
      <c r="H327" s="436"/>
      <c r="I327" s="436"/>
      <c r="J327" s="436"/>
      <c r="K327" s="436"/>
      <c r="L327" s="436"/>
      <c r="M327" s="438"/>
      <c r="N327" s="438"/>
      <c r="O327" s="438"/>
      <c r="P327" s="438"/>
      <c r="Q327" s="438"/>
      <c r="R327" s="438"/>
      <c r="S327" s="438"/>
      <c r="T327" s="438"/>
      <c r="U327" s="438"/>
      <c r="V327" s="438"/>
      <c r="W327" s="438"/>
      <c r="X327" s="439"/>
      <c r="Y327" s="2990" t="s">
        <v>104</v>
      </c>
      <c r="Z327" s="1283" t="s">
        <v>515</v>
      </c>
    </row>
    <row r="328" spans="1:26" ht="12" customHeight="1">
      <c r="A328" s="2987"/>
      <c r="B328" s="1949" t="s">
        <v>22</v>
      </c>
      <c r="C328" s="2381"/>
      <c r="D328" s="2398">
        <f t="shared" ref="D328:P328" si="347">+D329+D332</f>
        <v>10144499</v>
      </c>
      <c r="E328" s="2399">
        <f t="shared" si="347"/>
        <v>0</v>
      </c>
      <c r="F328" s="2399">
        <f t="shared" si="347"/>
        <v>0</v>
      </c>
      <c r="G328" s="2399">
        <f t="shared" si="347"/>
        <v>0</v>
      </c>
      <c r="H328" s="2399">
        <f t="shared" si="347"/>
        <v>0</v>
      </c>
      <c r="I328" s="2399">
        <f t="shared" si="347"/>
        <v>0</v>
      </c>
      <c r="J328" s="2399">
        <f t="shared" si="347"/>
        <v>0</v>
      </c>
      <c r="K328" s="2399">
        <f t="shared" si="347"/>
        <v>0</v>
      </c>
      <c r="L328" s="2399">
        <f t="shared" si="347"/>
        <v>0</v>
      </c>
      <c r="M328" s="2400">
        <f t="shared" ref="M328" si="348">+M329+M332</f>
        <v>0</v>
      </c>
      <c r="N328" s="2400">
        <f t="shared" si="347"/>
        <v>0</v>
      </c>
      <c r="O328" s="2400">
        <f t="shared" si="347"/>
        <v>0</v>
      </c>
      <c r="P328" s="2399">
        <f t="shared" si="347"/>
        <v>3900000</v>
      </c>
      <c r="Q328" s="2399">
        <f t="shared" ref="Q328:R328" si="349">+Q329+Q332</f>
        <v>1260000</v>
      </c>
      <c r="R328" s="2399">
        <f t="shared" si="349"/>
        <v>4984499</v>
      </c>
      <c r="S328" s="2399"/>
      <c r="T328" s="2399"/>
      <c r="U328" s="2399"/>
      <c r="V328" s="2399"/>
      <c r="W328" s="2399"/>
      <c r="X328" s="2383">
        <f>X329+X332</f>
        <v>10144499</v>
      </c>
      <c r="Y328" s="2991"/>
      <c r="Z328" s="843"/>
    </row>
    <row r="329" spans="1:26" ht="13.5" customHeight="1">
      <c r="A329" s="2987"/>
      <c r="B329" s="1941" t="s">
        <v>36</v>
      </c>
      <c r="C329" s="3024" t="s">
        <v>101</v>
      </c>
      <c r="D329" s="2401">
        <f>+D330+D331</f>
        <v>8244409</v>
      </c>
      <c r="E329" s="2401">
        <f t="shared" ref="E329:J329" si="350">+E330+E331</f>
        <v>0</v>
      </c>
      <c r="F329" s="2401">
        <f t="shared" si="350"/>
        <v>0</v>
      </c>
      <c r="G329" s="2401">
        <f t="shared" si="350"/>
        <v>0</v>
      </c>
      <c r="H329" s="2401">
        <f t="shared" si="350"/>
        <v>0</v>
      </c>
      <c r="I329" s="2401">
        <f t="shared" si="350"/>
        <v>0</v>
      </c>
      <c r="J329" s="2401">
        <f t="shared" si="350"/>
        <v>0</v>
      </c>
      <c r="K329" s="2401">
        <f t="shared" ref="K329:R329" si="351">+K330</f>
        <v>0</v>
      </c>
      <c r="L329" s="2307">
        <f t="shared" si="351"/>
        <v>0</v>
      </c>
      <c r="M329" s="2308">
        <f t="shared" si="351"/>
        <v>0</v>
      </c>
      <c r="N329" s="2308">
        <f t="shared" si="351"/>
        <v>0</v>
      </c>
      <c r="O329" s="2402">
        <f t="shared" si="351"/>
        <v>0</v>
      </c>
      <c r="P329" s="2401">
        <f t="shared" si="351"/>
        <v>1999910</v>
      </c>
      <c r="Q329" s="2401">
        <f t="shared" si="351"/>
        <v>1260000</v>
      </c>
      <c r="R329" s="2401">
        <f t="shared" si="351"/>
        <v>4984499</v>
      </c>
      <c r="S329" s="2401"/>
      <c r="T329" s="2401"/>
      <c r="U329" s="2395"/>
      <c r="V329" s="2395"/>
      <c r="W329" s="2395"/>
      <c r="X329" s="2385">
        <f>X330</f>
        <v>8244409</v>
      </c>
      <c r="Y329" s="2991"/>
      <c r="Z329" s="843"/>
    </row>
    <row r="330" spans="1:26" ht="12" customHeight="1">
      <c r="A330" s="2987"/>
      <c r="B330" s="1946" t="s">
        <v>24</v>
      </c>
      <c r="C330" s="2994"/>
      <c r="D330" s="1930">
        <f t="shared" ref="D330" si="352">M330+O330+P330+Q330+R330+S330+T330+U330+V330+W330</f>
        <v>8244409</v>
      </c>
      <c r="E330" s="2312"/>
      <c r="F330" s="2386">
        <v>0</v>
      </c>
      <c r="G330" s="2312"/>
      <c r="H330" s="2312"/>
      <c r="I330" s="2312"/>
      <c r="J330" s="2312"/>
      <c r="K330" s="2312"/>
      <c r="L330" s="2312"/>
      <c r="M330" s="2387">
        <f>+E330+I330+J330+K330+L330+N330</f>
        <v>0</v>
      </c>
      <c r="N330" s="2403">
        <f>161080-161080</f>
        <v>0</v>
      </c>
      <c r="O330" s="2403">
        <v>0</v>
      </c>
      <c r="P330" s="2386">
        <f>2385310-385400</f>
        <v>1999910</v>
      </c>
      <c r="Q330" s="2386">
        <f>3200000-1940000</f>
        <v>1260000</v>
      </c>
      <c r="R330" s="2386">
        <v>4984499</v>
      </c>
      <c r="S330" s="2386"/>
      <c r="T330" s="2386"/>
      <c r="U330" s="2386"/>
      <c r="V330" s="2386"/>
      <c r="W330" s="2386"/>
      <c r="X330" s="2389">
        <f>SUM(P330:T330)</f>
        <v>8244409</v>
      </c>
      <c r="Y330" s="2991"/>
    </row>
    <row r="331" spans="1:26" hidden="1">
      <c r="A331" s="2987"/>
      <c r="B331" s="542" t="s">
        <v>27</v>
      </c>
      <c r="C331" s="2994"/>
      <c r="D331" s="2404">
        <f>+E331+I331+J331+K331+L331</f>
        <v>0</v>
      </c>
      <c r="E331" s="2312">
        <v>0</v>
      </c>
      <c r="F331" s="2325"/>
      <c r="G331" s="2325"/>
      <c r="H331" s="2327"/>
      <c r="I331" s="2327"/>
      <c r="J331" s="2327"/>
      <c r="K331" s="2325">
        <v>0</v>
      </c>
      <c r="L331" s="2325">
        <v>0</v>
      </c>
      <c r="M331" s="2405">
        <v>0</v>
      </c>
      <c r="N331" s="2405">
        <v>0</v>
      </c>
      <c r="O331" s="2405">
        <v>0</v>
      </c>
      <c r="P331" s="2325">
        <v>0</v>
      </c>
      <c r="Q331" s="2325"/>
      <c r="R331" s="2325"/>
      <c r="S331" s="2325"/>
      <c r="T331" s="2325"/>
      <c r="U331" s="776"/>
      <c r="V331" s="776"/>
      <c r="W331" s="776"/>
      <c r="X331" s="486"/>
      <c r="Y331" s="2991"/>
    </row>
    <row r="332" spans="1:26" ht="13.5" customHeight="1">
      <c r="A332" s="2987"/>
      <c r="B332" s="2134" t="s">
        <v>30</v>
      </c>
      <c r="C332" s="2994"/>
      <c r="D332" s="2390">
        <f>+D333</f>
        <v>1900090</v>
      </c>
      <c r="E332" s="2391">
        <f t="shared" ref="E332:R332" si="353">+E333</f>
        <v>0</v>
      </c>
      <c r="F332" s="2391">
        <f t="shared" si="353"/>
        <v>0</v>
      </c>
      <c r="G332" s="2391">
        <f t="shared" si="353"/>
        <v>0</v>
      </c>
      <c r="H332" s="2391">
        <f t="shared" si="353"/>
        <v>0</v>
      </c>
      <c r="I332" s="2391">
        <f t="shared" si="353"/>
        <v>0</v>
      </c>
      <c r="J332" s="2391">
        <f t="shared" si="353"/>
        <v>0</v>
      </c>
      <c r="K332" s="2391">
        <f t="shared" si="353"/>
        <v>0</v>
      </c>
      <c r="L332" s="2391">
        <f t="shared" si="353"/>
        <v>0</v>
      </c>
      <c r="M332" s="2406">
        <f t="shared" si="353"/>
        <v>0</v>
      </c>
      <c r="N332" s="2406">
        <f t="shared" si="353"/>
        <v>0</v>
      </c>
      <c r="O332" s="2406">
        <f t="shared" si="353"/>
        <v>0</v>
      </c>
      <c r="P332" s="2391">
        <f t="shared" si="353"/>
        <v>1900090</v>
      </c>
      <c r="Q332" s="2406">
        <f t="shared" si="353"/>
        <v>0</v>
      </c>
      <c r="R332" s="2406">
        <f t="shared" si="353"/>
        <v>0</v>
      </c>
      <c r="S332" s="2391"/>
      <c r="T332" s="2391"/>
      <c r="U332" s="2390"/>
      <c r="V332" s="2390"/>
      <c r="W332" s="2390"/>
      <c r="X332" s="2385">
        <f>X333</f>
        <v>1900090</v>
      </c>
      <c r="Y332" s="2991"/>
    </row>
    <row r="333" spans="1:26">
      <c r="A333" s="2987"/>
      <c r="B333" s="503" t="s">
        <v>33</v>
      </c>
      <c r="C333" s="3014"/>
      <c r="D333" s="2340">
        <f t="shared" ref="D333" si="354">M333+O333+P333+Q333+R333+S333+T333+U333+V333+W333</f>
        <v>1900090</v>
      </c>
      <c r="E333" s="2312">
        <f>+F333+G333+H333</f>
        <v>0</v>
      </c>
      <c r="F333" s="2386">
        <v>0</v>
      </c>
      <c r="G333" s="2312"/>
      <c r="H333" s="2312"/>
      <c r="I333" s="2312"/>
      <c r="J333" s="2312"/>
      <c r="K333" s="2312"/>
      <c r="L333" s="2312">
        <v>0</v>
      </c>
      <c r="M333" s="2387">
        <f>+E333+I333+J333+K333+L333+N333</f>
        <v>0</v>
      </c>
      <c r="N333" s="2403">
        <v>0</v>
      </c>
      <c r="O333" s="2403">
        <v>0</v>
      </c>
      <c r="P333" s="2386">
        <v>1900090</v>
      </c>
      <c r="Q333" s="2403">
        <v>0</v>
      </c>
      <c r="R333" s="2403">
        <v>0</v>
      </c>
      <c r="S333" s="2386"/>
      <c r="T333" s="2386"/>
      <c r="U333" s="2386"/>
      <c r="V333" s="2386"/>
      <c r="W333" s="2386"/>
      <c r="X333" s="2389">
        <f>SUM(P333:T333)</f>
        <v>1900090</v>
      </c>
      <c r="Y333" s="3004"/>
    </row>
    <row r="334" spans="1:26" ht="12" customHeight="1">
      <c r="A334" s="2988"/>
      <c r="B334" s="1949" t="s">
        <v>34</v>
      </c>
      <c r="C334" s="538"/>
      <c r="D334" s="539">
        <f>+D337+D335</f>
        <v>1900090</v>
      </c>
      <c r="E334" s="539">
        <f t="shared" ref="E334:J334" si="355">+E337+E335</f>
        <v>0</v>
      </c>
      <c r="F334" s="539">
        <f t="shared" si="355"/>
        <v>0</v>
      </c>
      <c r="G334" s="539">
        <f t="shared" si="355"/>
        <v>0</v>
      </c>
      <c r="H334" s="539">
        <f t="shared" si="355"/>
        <v>0</v>
      </c>
      <c r="I334" s="539">
        <f t="shared" si="355"/>
        <v>0</v>
      </c>
      <c r="J334" s="539">
        <f t="shared" si="355"/>
        <v>0</v>
      </c>
      <c r="K334" s="539">
        <f t="shared" ref="K334:Q334" si="356">+K337+K335</f>
        <v>0</v>
      </c>
      <c r="L334" s="539">
        <f t="shared" si="356"/>
        <v>0</v>
      </c>
      <c r="M334" s="2062">
        <f t="shared" si="356"/>
        <v>0</v>
      </c>
      <c r="N334" s="2062">
        <f t="shared" si="356"/>
        <v>0</v>
      </c>
      <c r="O334" s="2062">
        <f t="shared" si="356"/>
        <v>0</v>
      </c>
      <c r="P334" s="2062">
        <f t="shared" si="356"/>
        <v>0</v>
      </c>
      <c r="Q334" s="539">
        <f t="shared" si="356"/>
        <v>1900090</v>
      </c>
      <c r="R334" s="539"/>
      <c r="S334" s="539"/>
      <c r="T334" s="539"/>
      <c r="U334" s="539"/>
      <c r="V334" s="539"/>
      <c r="W334" s="539"/>
      <c r="X334" s="2955" t="s">
        <v>35</v>
      </c>
      <c r="Y334" s="3049" t="s">
        <v>122</v>
      </c>
    </row>
    <row r="335" spans="1:26" s="848" customFormat="1" ht="13.5" hidden="1" customHeight="1">
      <c r="A335" s="2988"/>
      <c r="B335" s="2407" t="s">
        <v>36</v>
      </c>
      <c r="C335" s="3024" t="s">
        <v>309</v>
      </c>
      <c r="D335" s="465">
        <f>+D336</f>
        <v>0</v>
      </c>
      <c r="E335" s="465">
        <f t="shared" ref="E335:P335" si="357">+E336</f>
        <v>0</v>
      </c>
      <c r="F335" s="465">
        <f t="shared" si="357"/>
        <v>0</v>
      </c>
      <c r="G335" s="465">
        <f t="shared" si="357"/>
        <v>0</v>
      </c>
      <c r="H335" s="465">
        <f t="shared" si="357"/>
        <v>0</v>
      </c>
      <c r="I335" s="465">
        <f t="shared" si="357"/>
        <v>0</v>
      </c>
      <c r="J335" s="465">
        <f t="shared" si="357"/>
        <v>0</v>
      </c>
      <c r="K335" s="465">
        <f t="shared" si="357"/>
        <v>0</v>
      </c>
      <c r="L335" s="465">
        <f t="shared" si="357"/>
        <v>0</v>
      </c>
      <c r="M335" s="1038">
        <f t="shared" si="357"/>
        <v>0</v>
      </c>
      <c r="N335" s="1038">
        <f t="shared" si="357"/>
        <v>0</v>
      </c>
      <c r="O335" s="1038">
        <f t="shared" si="357"/>
        <v>0</v>
      </c>
      <c r="P335" s="1038">
        <f t="shared" si="357"/>
        <v>0</v>
      </c>
      <c r="Q335" s="465"/>
      <c r="R335" s="465"/>
      <c r="S335" s="465"/>
      <c r="T335" s="465"/>
      <c r="U335" s="465"/>
      <c r="V335" s="465"/>
      <c r="W335" s="465"/>
      <c r="X335" s="2956"/>
      <c r="Y335" s="3050"/>
    </row>
    <row r="336" spans="1:26" ht="12.75" hidden="1" customHeight="1">
      <c r="A336" s="2988"/>
      <c r="B336" s="542" t="s">
        <v>27</v>
      </c>
      <c r="C336" s="2980"/>
      <c r="D336" s="2404">
        <f>+E336+I336+J336+K336+L336+N336+O336</f>
        <v>0</v>
      </c>
      <c r="E336" s="2392">
        <f>+F336+G336+H336</f>
        <v>0</v>
      </c>
      <c r="F336" s="2392">
        <v>0</v>
      </c>
      <c r="G336" s="2392">
        <v>0</v>
      </c>
      <c r="H336" s="2392">
        <v>0</v>
      </c>
      <c r="I336" s="2392"/>
      <c r="J336" s="2392"/>
      <c r="K336" s="2392">
        <v>0</v>
      </c>
      <c r="L336" s="2392">
        <v>0</v>
      </c>
      <c r="M336" s="2408">
        <v>0</v>
      </c>
      <c r="N336" s="2408">
        <v>0</v>
      </c>
      <c r="O336" s="2408">
        <v>0</v>
      </c>
      <c r="P336" s="2408">
        <v>0</v>
      </c>
      <c r="Q336" s="2392"/>
      <c r="R336" s="2392"/>
      <c r="S336" s="2392"/>
      <c r="T336" s="2392"/>
      <c r="U336" s="2392"/>
      <c r="V336" s="2392"/>
      <c r="W336" s="2392"/>
      <c r="X336" s="2956"/>
      <c r="Y336" s="3050"/>
    </row>
    <row r="337" spans="1:28" ht="12" customHeight="1">
      <c r="A337" s="2988"/>
      <c r="B337" s="2134" t="s">
        <v>30</v>
      </c>
      <c r="C337" s="2980"/>
      <c r="D337" s="2390">
        <f t="shared" ref="D337:Q337" si="358">+D338</f>
        <v>1900090</v>
      </c>
      <c r="E337" s="2391">
        <f t="shared" si="358"/>
        <v>0</v>
      </c>
      <c r="F337" s="2391">
        <f t="shared" si="358"/>
        <v>0</v>
      </c>
      <c r="G337" s="2391">
        <f t="shared" si="358"/>
        <v>0</v>
      </c>
      <c r="H337" s="2391">
        <f t="shared" si="358"/>
        <v>0</v>
      </c>
      <c r="I337" s="2391">
        <f t="shared" si="358"/>
        <v>0</v>
      </c>
      <c r="J337" s="2391">
        <f t="shared" si="358"/>
        <v>0</v>
      </c>
      <c r="K337" s="2391">
        <f t="shared" si="358"/>
        <v>0</v>
      </c>
      <c r="L337" s="2391">
        <f t="shared" si="358"/>
        <v>0</v>
      </c>
      <c r="M337" s="2406">
        <f t="shared" si="358"/>
        <v>0</v>
      </c>
      <c r="N337" s="2406">
        <f t="shared" si="358"/>
        <v>0</v>
      </c>
      <c r="O337" s="2406">
        <f t="shared" si="358"/>
        <v>0</v>
      </c>
      <c r="P337" s="2406">
        <f t="shared" si="358"/>
        <v>0</v>
      </c>
      <c r="Q337" s="2391">
        <f t="shared" si="358"/>
        <v>1900090</v>
      </c>
      <c r="R337" s="2391"/>
      <c r="S337" s="2391"/>
      <c r="T337" s="2391"/>
      <c r="U337" s="2391"/>
      <c r="V337" s="2391"/>
      <c r="W337" s="2391"/>
      <c r="X337" s="2956"/>
      <c r="Y337" s="3050"/>
    </row>
    <row r="338" spans="1:28" ht="13.5" customHeight="1" thickBot="1">
      <c r="A338" s="2989"/>
      <c r="B338" s="490" t="s">
        <v>33</v>
      </c>
      <c r="C338" s="3016"/>
      <c r="D338" s="1221">
        <f t="shared" ref="D338" si="359">M338+O338+P338+Q338+R338+S338+T338+U338+V338+W338</f>
        <v>1900090</v>
      </c>
      <c r="E338" s="491">
        <f>+F338+G338+H338</f>
        <v>0</v>
      </c>
      <c r="F338" s="492">
        <v>0</v>
      </c>
      <c r="G338" s="491">
        <v>0</v>
      </c>
      <c r="H338" s="491">
        <v>0</v>
      </c>
      <c r="I338" s="491">
        <f>2300000-2300000</f>
        <v>0</v>
      </c>
      <c r="J338" s="491"/>
      <c r="K338" s="491"/>
      <c r="L338" s="491"/>
      <c r="M338" s="1221">
        <f>+E338+I338+J338+K338+L338+N338</f>
        <v>0</v>
      </c>
      <c r="N338" s="2063">
        <v>0</v>
      </c>
      <c r="O338" s="2063">
        <v>0</v>
      </c>
      <c r="P338" s="2063">
        <v>0</v>
      </c>
      <c r="Q338" s="472">
        <v>1900090</v>
      </c>
      <c r="R338" s="472"/>
      <c r="S338" s="472"/>
      <c r="T338" s="491"/>
      <c r="U338" s="491"/>
      <c r="V338" s="491"/>
      <c r="W338" s="491"/>
      <c r="X338" s="2957"/>
      <c r="Y338" s="3051"/>
    </row>
    <row r="339" spans="1:28" ht="27.75" customHeight="1">
      <c r="A339" s="2986" t="s">
        <v>442</v>
      </c>
      <c r="B339" s="493" t="s">
        <v>617</v>
      </c>
      <c r="C339" s="473" t="s">
        <v>98</v>
      </c>
      <c r="D339" s="474"/>
      <c r="E339" s="2704"/>
      <c r="F339" s="474"/>
      <c r="G339" s="563"/>
      <c r="H339" s="563"/>
      <c r="I339" s="559"/>
      <c r="J339" s="559"/>
      <c r="K339" s="559"/>
      <c r="L339" s="559"/>
      <c r="M339" s="438"/>
      <c r="N339" s="438"/>
      <c r="O339" s="438"/>
      <c r="P339" s="438"/>
      <c r="Q339" s="438"/>
      <c r="R339" s="438"/>
      <c r="S339" s="438"/>
      <c r="T339" s="438"/>
      <c r="U339" s="438"/>
      <c r="V339" s="438"/>
      <c r="W339" s="438"/>
      <c r="X339" s="439"/>
      <c r="Y339" s="3032" t="s">
        <v>122</v>
      </c>
      <c r="Z339" s="3099" t="s">
        <v>514</v>
      </c>
      <c r="AA339" s="3100"/>
      <c r="AB339" s="3100"/>
    </row>
    <row r="340" spans="1:28" ht="15" customHeight="1">
      <c r="A340" s="2987"/>
      <c r="B340" s="1949" t="s">
        <v>22</v>
      </c>
      <c r="C340" s="375"/>
      <c r="D340" s="1927">
        <f>+D341+D344</f>
        <v>36435000</v>
      </c>
      <c r="E340" s="1927">
        <f>+E341+E344</f>
        <v>0</v>
      </c>
      <c r="F340" s="1927">
        <f t="shared" ref="F340:O340" si="360">+F341+F344</f>
        <v>0</v>
      </c>
      <c r="G340" s="1927">
        <f t="shared" si="360"/>
        <v>0</v>
      </c>
      <c r="H340" s="1927">
        <f t="shared" si="360"/>
        <v>0</v>
      </c>
      <c r="I340" s="1927">
        <f t="shared" si="360"/>
        <v>0</v>
      </c>
      <c r="J340" s="1927">
        <f t="shared" si="360"/>
        <v>0</v>
      </c>
      <c r="K340" s="1927">
        <f t="shared" si="360"/>
        <v>0</v>
      </c>
      <c r="L340" s="1927">
        <f t="shared" si="360"/>
        <v>0</v>
      </c>
      <c r="M340" s="1927">
        <f t="shared" ref="M340" si="361">+M341+M344</f>
        <v>5000000</v>
      </c>
      <c r="N340" s="1927">
        <f t="shared" si="360"/>
        <v>5000000</v>
      </c>
      <c r="O340" s="2705">
        <f t="shared" si="360"/>
        <v>0</v>
      </c>
      <c r="P340" s="1927">
        <f>+P341+P344</f>
        <v>31435000</v>
      </c>
      <c r="Q340" s="1927"/>
      <c r="R340" s="1927"/>
      <c r="S340" s="1927"/>
      <c r="T340" s="1927"/>
      <c r="U340" s="1927"/>
      <c r="V340" s="1927"/>
      <c r="W340" s="1927"/>
      <c r="X340" s="1544">
        <f>X341+X344</f>
        <v>31435000</v>
      </c>
      <c r="Y340" s="3033"/>
      <c r="Z340" s="843"/>
    </row>
    <row r="341" spans="1:28" ht="13.5" hidden="1" customHeight="1">
      <c r="A341" s="2987"/>
      <c r="B341" s="1941" t="s">
        <v>36</v>
      </c>
      <c r="C341" s="3024" t="s">
        <v>118</v>
      </c>
      <c r="D341" s="501">
        <f>+D342+D343</f>
        <v>0</v>
      </c>
      <c r="E341" s="501">
        <f t="shared" ref="E341:P341" si="362">+E342+E343</f>
        <v>0</v>
      </c>
      <c r="F341" s="501">
        <f t="shared" si="362"/>
        <v>0</v>
      </c>
      <c r="G341" s="501">
        <f t="shared" si="362"/>
        <v>0</v>
      </c>
      <c r="H341" s="501">
        <f t="shared" si="362"/>
        <v>0</v>
      </c>
      <c r="I341" s="501">
        <f t="shared" si="362"/>
        <v>0</v>
      </c>
      <c r="J341" s="501">
        <f t="shared" si="362"/>
        <v>0</v>
      </c>
      <c r="K341" s="501">
        <f t="shared" si="362"/>
        <v>0</v>
      </c>
      <c r="L341" s="501">
        <f t="shared" si="362"/>
        <v>0</v>
      </c>
      <c r="M341" s="501">
        <f t="shared" si="362"/>
        <v>0</v>
      </c>
      <c r="N341" s="501">
        <f t="shared" si="362"/>
        <v>0</v>
      </c>
      <c r="O341" s="2706">
        <f t="shared" si="362"/>
        <v>0</v>
      </c>
      <c r="P341" s="501">
        <f t="shared" si="362"/>
        <v>0</v>
      </c>
      <c r="Q341" s="501"/>
      <c r="R341" s="501"/>
      <c r="S341" s="501"/>
      <c r="T341" s="501"/>
      <c r="U341" s="501"/>
      <c r="V341" s="501"/>
      <c r="W341" s="501"/>
      <c r="X341" s="1929">
        <f t="shared" ref="X341" si="363">+X342+X343</f>
        <v>0</v>
      </c>
      <c r="Y341" s="3033"/>
      <c r="Z341" s="843"/>
    </row>
    <row r="342" spans="1:28" ht="11.25" hidden="1" customHeight="1">
      <c r="A342" s="2987"/>
      <c r="B342" s="2059" t="s">
        <v>24</v>
      </c>
      <c r="C342" s="2994"/>
      <c r="D342" s="1930">
        <f t="shared" ref="D342:D343" si="364">M342+O342+P342+Q342+R342+S342+T342+U342+V342+W342</f>
        <v>0</v>
      </c>
      <c r="E342" s="1548">
        <f>+F342+G342+H342</f>
        <v>0</v>
      </c>
      <c r="F342" s="1931">
        <v>0</v>
      </c>
      <c r="G342" s="1548">
        <v>0</v>
      </c>
      <c r="H342" s="1548">
        <v>0</v>
      </c>
      <c r="I342" s="1550">
        <f>184163-184163</f>
        <v>0</v>
      </c>
      <c r="J342" s="1550"/>
      <c r="K342" s="1550"/>
      <c r="L342" s="1550"/>
      <c r="M342" s="1932">
        <f>+E342+I342+J342+K342+L342+N342</f>
        <v>0</v>
      </c>
      <c r="N342" s="1550">
        <f>750000-750000</f>
        <v>0</v>
      </c>
      <c r="O342" s="2707">
        <v>0</v>
      </c>
      <c r="P342" s="2708">
        <v>0</v>
      </c>
      <c r="Q342" s="2708"/>
      <c r="R342" s="2708"/>
      <c r="S342" s="2708"/>
      <c r="T342" s="2708"/>
      <c r="U342" s="2708"/>
      <c r="V342" s="2708"/>
      <c r="W342" s="2708"/>
      <c r="X342" s="2709">
        <f>SUM(P342:T342)</f>
        <v>0</v>
      </c>
      <c r="Y342" s="3033"/>
    </row>
    <row r="343" spans="1:28" ht="11.25" hidden="1" customHeight="1">
      <c r="A343" s="2987"/>
      <c r="B343" s="643" t="s">
        <v>126</v>
      </c>
      <c r="C343" s="2994"/>
      <c r="D343" s="1930">
        <f t="shared" si="364"/>
        <v>0</v>
      </c>
      <c r="E343" s="1931"/>
      <c r="F343" s="1931"/>
      <c r="G343" s="1931"/>
      <c r="H343" s="1931"/>
      <c r="I343" s="1933"/>
      <c r="J343" s="1933"/>
      <c r="K343" s="1933"/>
      <c r="L343" s="1933"/>
      <c r="M343" s="2710">
        <f>+E343+I343+J343+K343+L343+N343</f>
        <v>0</v>
      </c>
      <c r="N343" s="1933"/>
      <c r="O343" s="2711">
        <v>0</v>
      </c>
      <c r="P343" s="1931">
        <f>4715250-4715250</f>
        <v>0</v>
      </c>
      <c r="Q343" s="1931"/>
      <c r="R343" s="1931"/>
      <c r="S343" s="1931"/>
      <c r="T343" s="1931"/>
      <c r="U343" s="1931"/>
      <c r="V343" s="1931"/>
      <c r="W343" s="1931"/>
      <c r="X343" s="1934">
        <f>SUM(P343:T343)</f>
        <v>0</v>
      </c>
      <c r="Y343" s="3033"/>
    </row>
    <row r="344" spans="1:28">
      <c r="A344" s="2987"/>
      <c r="B344" s="518" t="s">
        <v>30</v>
      </c>
      <c r="C344" s="2994"/>
      <c r="D344" s="1935">
        <f>+D345</f>
        <v>36435000</v>
      </c>
      <c r="E344" s="1935">
        <f t="shared" ref="E344:P344" si="365">+E345</f>
        <v>0</v>
      </c>
      <c r="F344" s="1935">
        <f t="shared" si="365"/>
        <v>0</v>
      </c>
      <c r="G344" s="1935">
        <f t="shared" si="365"/>
        <v>0</v>
      </c>
      <c r="H344" s="1935">
        <f t="shared" si="365"/>
        <v>0</v>
      </c>
      <c r="I344" s="1935">
        <f t="shared" si="365"/>
        <v>0</v>
      </c>
      <c r="J344" s="1935">
        <f t="shared" si="365"/>
        <v>0</v>
      </c>
      <c r="K344" s="1935">
        <f t="shared" si="365"/>
        <v>0</v>
      </c>
      <c r="L344" s="1935">
        <f t="shared" si="365"/>
        <v>0</v>
      </c>
      <c r="M344" s="1935">
        <f t="shared" si="365"/>
        <v>5000000</v>
      </c>
      <c r="N344" s="1935">
        <f t="shared" si="365"/>
        <v>5000000</v>
      </c>
      <c r="O344" s="2692">
        <f t="shared" si="365"/>
        <v>0</v>
      </c>
      <c r="P344" s="1935">
        <f t="shared" si="365"/>
        <v>31435000</v>
      </c>
      <c r="Q344" s="1935"/>
      <c r="R344" s="1935"/>
      <c r="S344" s="1935"/>
      <c r="T344" s="1935"/>
      <c r="U344" s="1935"/>
      <c r="V344" s="1935"/>
      <c r="W344" s="1935"/>
      <c r="X344" s="1929">
        <f>X345</f>
        <v>31435000</v>
      </c>
      <c r="Y344" s="3033"/>
    </row>
    <row r="345" spans="1:28">
      <c r="A345" s="2987"/>
      <c r="B345" s="2712" t="s">
        <v>33</v>
      </c>
      <c r="C345" s="2994"/>
      <c r="D345" s="2480">
        <f t="shared" ref="D345" si="366">M345+O345+P345+Q345+R345+S345+T345+U345+V345+W345</f>
        <v>36435000</v>
      </c>
      <c r="E345" s="1548">
        <f>+F345+G345+H345</f>
        <v>0</v>
      </c>
      <c r="F345" s="1931">
        <v>0</v>
      </c>
      <c r="G345" s="1548">
        <v>0</v>
      </c>
      <c r="H345" s="1548">
        <v>0</v>
      </c>
      <c r="I345" s="1550">
        <f>225757-225757</f>
        <v>0</v>
      </c>
      <c r="J345" s="1550"/>
      <c r="K345" s="1550"/>
      <c r="L345" s="1548"/>
      <c r="M345" s="2713">
        <f>+E345+I345+J345+K345+L345+N345</f>
        <v>5000000</v>
      </c>
      <c r="N345" s="1548">
        <f>4250000+750000</f>
        <v>5000000</v>
      </c>
      <c r="O345" s="2036">
        <v>0</v>
      </c>
      <c r="P345" s="1931">
        <f>26719750+4715250</f>
        <v>31435000</v>
      </c>
      <c r="Q345" s="1931"/>
      <c r="R345" s="1931"/>
      <c r="S345" s="1931"/>
      <c r="T345" s="1931"/>
      <c r="U345" s="1931"/>
      <c r="V345" s="1931"/>
      <c r="W345" s="1931"/>
      <c r="X345" s="1934">
        <f t="shared" ref="X345" si="367">SUM(P345:T345)</f>
        <v>31435000</v>
      </c>
      <c r="Y345" s="3033"/>
    </row>
    <row r="346" spans="1:28" s="988" customFormat="1" ht="15.75" customHeight="1">
      <c r="A346" s="2988"/>
      <c r="B346" s="374" t="s">
        <v>34</v>
      </c>
      <c r="C346" s="375"/>
      <c r="D346" s="2038">
        <f>+D349+D347</f>
        <v>36435000</v>
      </c>
      <c r="E346" s="2038">
        <f t="shared" ref="E346:P346" si="368">+E349+E347</f>
        <v>0</v>
      </c>
      <c r="F346" s="2038">
        <f t="shared" si="368"/>
        <v>0</v>
      </c>
      <c r="G346" s="2038">
        <f t="shared" si="368"/>
        <v>0</v>
      </c>
      <c r="H346" s="2038">
        <f t="shared" si="368"/>
        <v>0</v>
      </c>
      <c r="I346" s="2038">
        <f t="shared" si="368"/>
        <v>0</v>
      </c>
      <c r="J346" s="2038">
        <f t="shared" si="368"/>
        <v>0</v>
      </c>
      <c r="K346" s="2038">
        <f t="shared" si="368"/>
        <v>0</v>
      </c>
      <c r="L346" s="2038">
        <f t="shared" si="368"/>
        <v>0</v>
      </c>
      <c r="M346" s="2714">
        <f t="shared" si="368"/>
        <v>0</v>
      </c>
      <c r="N346" s="2714">
        <f t="shared" si="368"/>
        <v>0</v>
      </c>
      <c r="O346" s="2714">
        <f t="shared" si="368"/>
        <v>0</v>
      </c>
      <c r="P346" s="2038">
        <f t="shared" si="368"/>
        <v>36435000</v>
      </c>
      <c r="Q346" s="2038"/>
      <c r="R346" s="2038"/>
      <c r="S346" s="2038"/>
      <c r="T346" s="2038"/>
      <c r="U346" s="2038"/>
      <c r="V346" s="2038"/>
      <c r="W346" s="2038"/>
      <c r="X346" s="2959" t="s">
        <v>35</v>
      </c>
      <c r="Y346" s="3033"/>
    </row>
    <row r="347" spans="1:28" s="988" customFormat="1" ht="12.75" hidden="1" customHeight="1">
      <c r="A347" s="2988"/>
      <c r="B347" s="1941" t="s">
        <v>36</v>
      </c>
      <c r="C347" s="3024" t="s">
        <v>502</v>
      </c>
      <c r="D347" s="2064">
        <f>D348</f>
        <v>0</v>
      </c>
      <c r="E347" s="2064">
        <f t="shared" ref="E347:P347" si="369">E348</f>
        <v>0</v>
      </c>
      <c r="F347" s="2064">
        <f t="shared" si="369"/>
        <v>0</v>
      </c>
      <c r="G347" s="2064">
        <f t="shared" si="369"/>
        <v>0</v>
      </c>
      <c r="H347" s="2064">
        <f t="shared" si="369"/>
        <v>0</v>
      </c>
      <c r="I347" s="2064">
        <f t="shared" si="369"/>
        <v>0</v>
      </c>
      <c r="J347" s="2064">
        <f t="shared" si="369"/>
        <v>0</v>
      </c>
      <c r="K347" s="2064">
        <f t="shared" si="369"/>
        <v>0</v>
      </c>
      <c r="L347" s="2064">
        <f t="shared" si="369"/>
        <v>0</v>
      </c>
      <c r="M347" s="2715">
        <f t="shared" si="369"/>
        <v>0</v>
      </c>
      <c r="N347" s="2715">
        <f t="shared" si="369"/>
        <v>0</v>
      </c>
      <c r="O347" s="2715">
        <f t="shared" si="369"/>
        <v>0</v>
      </c>
      <c r="P347" s="2064">
        <f t="shared" si="369"/>
        <v>0</v>
      </c>
      <c r="Q347" s="2064"/>
      <c r="R347" s="2064"/>
      <c r="S347" s="2064"/>
      <c r="T347" s="2064"/>
      <c r="U347" s="2064"/>
      <c r="V347" s="2064"/>
      <c r="W347" s="2064"/>
      <c r="X347" s="2943"/>
      <c r="Y347" s="3033"/>
    </row>
    <row r="348" spans="1:28" s="988" customFormat="1" ht="12.75" hidden="1" customHeight="1">
      <c r="A348" s="2988"/>
      <c r="B348" s="643" t="s">
        <v>126</v>
      </c>
      <c r="C348" s="2980"/>
      <c r="D348" s="1930">
        <f t="shared" ref="D348" si="370">M348+O348+P348+Q348+R348+S348+T348+U348+V348+W348</f>
        <v>0</v>
      </c>
      <c r="E348" s="2064"/>
      <c r="F348" s="2064"/>
      <c r="G348" s="2064"/>
      <c r="H348" s="2064"/>
      <c r="I348" s="2064"/>
      <c r="J348" s="2064"/>
      <c r="K348" s="2064"/>
      <c r="L348" s="2064"/>
      <c r="M348" s="2710">
        <f>+E348+I348+J348+K348+L348+N348</f>
        <v>0</v>
      </c>
      <c r="N348" s="2716">
        <f>4715250-4715250</f>
        <v>0</v>
      </c>
      <c r="O348" s="2715">
        <v>0</v>
      </c>
      <c r="P348" s="2064">
        <v>0</v>
      </c>
      <c r="Q348" s="2064"/>
      <c r="R348" s="2064"/>
      <c r="S348" s="2064"/>
      <c r="T348" s="2064"/>
      <c r="U348" s="2064"/>
      <c r="V348" s="2064"/>
      <c r="W348" s="2064"/>
      <c r="X348" s="2943"/>
      <c r="Y348" s="3033"/>
    </row>
    <row r="349" spans="1:28" s="1030" customFormat="1" ht="16.5" customHeight="1">
      <c r="A349" s="2988"/>
      <c r="B349" s="2510" t="s">
        <v>30</v>
      </c>
      <c r="C349" s="2980"/>
      <c r="D349" s="2717">
        <f>+D350</f>
        <v>36435000</v>
      </c>
      <c r="E349" s="2718">
        <f t="shared" ref="E349:P349" si="371">+E350</f>
        <v>0</v>
      </c>
      <c r="F349" s="2718">
        <f t="shared" si="371"/>
        <v>0</v>
      </c>
      <c r="G349" s="2718">
        <f t="shared" si="371"/>
        <v>0</v>
      </c>
      <c r="H349" s="2718">
        <f t="shared" si="371"/>
        <v>0</v>
      </c>
      <c r="I349" s="2718">
        <f t="shared" si="371"/>
        <v>0</v>
      </c>
      <c r="J349" s="2718">
        <f t="shared" si="371"/>
        <v>0</v>
      </c>
      <c r="K349" s="2718">
        <f t="shared" si="371"/>
        <v>0</v>
      </c>
      <c r="L349" s="2717">
        <f t="shared" si="371"/>
        <v>0</v>
      </c>
      <c r="M349" s="2719">
        <f t="shared" si="371"/>
        <v>0</v>
      </c>
      <c r="N349" s="2719">
        <f t="shared" si="371"/>
        <v>0</v>
      </c>
      <c r="O349" s="2719">
        <f t="shared" si="371"/>
        <v>0</v>
      </c>
      <c r="P349" s="2718">
        <f t="shared" si="371"/>
        <v>36435000</v>
      </c>
      <c r="Q349" s="2718"/>
      <c r="R349" s="2718"/>
      <c r="S349" s="2718"/>
      <c r="T349" s="2718"/>
      <c r="U349" s="2718"/>
      <c r="V349" s="2718"/>
      <c r="W349" s="2718"/>
      <c r="X349" s="2943"/>
      <c r="Y349" s="3033"/>
    </row>
    <row r="350" spans="1:28" s="1030" customFormat="1" ht="17.25" customHeight="1" thickBot="1">
      <c r="A350" s="2989"/>
      <c r="B350" s="1378" t="s">
        <v>33</v>
      </c>
      <c r="C350" s="3016"/>
      <c r="D350" s="2720">
        <f t="shared" ref="D350" si="372">M350+O350+P350+Q350+R350+S350+T350+U350+V350+W350</f>
        <v>36435000</v>
      </c>
      <c r="E350" s="2721">
        <f>+F350+G350+H350</f>
        <v>0</v>
      </c>
      <c r="F350" s="2722">
        <v>0</v>
      </c>
      <c r="G350" s="2721">
        <v>0</v>
      </c>
      <c r="H350" s="2721">
        <v>0</v>
      </c>
      <c r="I350" s="2721">
        <v>0</v>
      </c>
      <c r="J350" s="2721">
        <v>0</v>
      </c>
      <c r="K350" s="2721">
        <v>0</v>
      </c>
      <c r="L350" s="2723"/>
      <c r="M350" s="2246">
        <f>+E350+I350+J350+K350+L350+N350</f>
        <v>0</v>
      </c>
      <c r="N350" s="2724">
        <v>0</v>
      </c>
      <c r="O350" s="2724">
        <f>953694-953694</f>
        <v>0</v>
      </c>
      <c r="P350" s="2725">
        <f>30969750+5465250</f>
        <v>36435000</v>
      </c>
      <c r="Q350" s="2725"/>
      <c r="R350" s="2725"/>
      <c r="S350" s="2725"/>
      <c r="T350" s="2725"/>
      <c r="U350" s="2725"/>
      <c r="V350" s="2725"/>
      <c r="W350" s="2725"/>
      <c r="X350" s="2944"/>
      <c r="Y350" s="3034"/>
    </row>
    <row r="351" spans="1:28" ht="26.25" customHeight="1">
      <c r="A351" s="2986" t="s">
        <v>124</v>
      </c>
      <c r="B351" s="493" t="s">
        <v>460</v>
      </c>
      <c r="C351" s="473" t="s">
        <v>98</v>
      </c>
      <c r="D351" s="435"/>
      <c r="E351" s="436"/>
      <c r="F351" s="437"/>
      <c r="G351" s="436"/>
      <c r="H351" s="436"/>
      <c r="I351" s="436"/>
      <c r="J351" s="436"/>
      <c r="K351" s="436"/>
      <c r="L351" s="436"/>
      <c r="M351" s="2066"/>
      <c r="N351" s="2066"/>
      <c r="O351" s="2066"/>
      <c r="P351" s="2066"/>
      <c r="Q351" s="2066"/>
      <c r="R351" s="2066"/>
      <c r="S351" s="2066"/>
      <c r="T351" s="2066"/>
      <c r="U351" s="438"/>
      <c r="V351" s="438"/>
      <c r="W351" s="438"/>
      <c r="X351" s="439"/>
      <c r="Y351" s="3032" t="s">
        <v>122</v>
      </c>
      <c r="Z351" s="1283" t="s">
        <v>515</v>
      </c>
    </row>
    <row r="352" spans="1:28" ht="13.5" customHeight="1">
      <c r="A352" s="2987"/>
      <c r="B352" s="499" t="s">
        <v>22</v>
      </c>
      <c r="C352" s="375"/>
      <c r="D352" s="464">
        <f t="shared" ref="D352:O352" si="373">+D353+D356</f>
        <v>36000000</v>
      </c>
      <c r="E352" s="443">
        <f t="shared" si="373"/>
        <v>0</v>
      </c>
      <c r="F352" s="443">
        <f t="shared" si="373"/>
        <v>0</v>
      </c>
      <c r="G352" s="443">
        <f t="shared" si="373"/>
        <v>0</v>
      </c>
      <c r="H352" s="443">
        <f t="shared" si="373"/>
        <v>0</v>
      </c>
      <c r="I352" s="443">
        <f t="shared" si="373"/>
        <v>0</v>
      </c>
      <c r="J352" s="443">
        <f t="shared" si="373"/>
        <v>0</v>
      </c>
      <c r="K352" s="443">
        <f t="shared" si="373"/>
        <v>0</v>
      </c>
      <c r="L352" s="443">
        <f t="shared" si="373"/>
        <v>0</v>
      </c>
      <c r="M352" s="2067">
        <f t="shared" ref="M352" si="374">+M353+M356</f>
        <v>0</v>
      </c>
      <c r="N352" s="2067">
        <f t="shared" si="373"/>
        <v>0</v>
      </c>
      <c r="O352" s="2067">
        <f t="shared" si="373"/>
        <v>0</v>
      </c>
      <c r="P352" s="2067">
        <f>+P353+P356</f>
        <v>0</v>
      </c>
      <c r="Q352" s="443">
        <f t="shared" ref="Q352" si="375">+Q353+Q356</f>
        <v>36000000</v>
      </c>
      <c r="R352" s="443"/>
      <c r="S352" s="443"/>
      <c r="T352" s="443"/>
      <c r="U352" s="443"/>
      <c r="V352" s="443"/>
      <c r="W352" s="443"/>
      <c r="X352" s="480">
        <f>X353+X356</f>
        <v>36000000</v>
      </c>
      <c r="Y352" s="3033"/>
      <c r="Z352" s="843"/>
    </row>
    <row r="353" spans="1:27" ht="14.25" customHeight="1">
      <c r="A353" s="2987"/>
      <c r="B353" s="2068" t="s">
        <v>36</v>
      </c>
      <c r="C353" s="2978" t="s">
        <v>118</v>
      </c>
      <c r="D353" s="511">
        <f t="shared" ref="D353:P353" si="376">+D354+D355</f>
        <v>5400000</v>
      </c>
      <c r="E353" s="511">
        <f t="shared" si="376"/>
        <v>0</v>
      </c>
      <c r="F353" s="511">
        <f t="shared" si="376"/>
        <v>0</v>
      </c>
      <c r="G353" s="511">
        <f t="shared" si="376"/>
        <v>0</v>
      </c>
      <c r="H353" s="511">
        <f t="shared" si="376"/>
        <v>0</v>
      </c>
      <c r="I353" s="511">
        <f t="shared" si="376"/>
        <v>0</v>
      </c>
      <c r="J353" s="511">
        <f t="shared" si="376"/>
        <v>0</v>
      </c>
      <c r="K353" s="511">
        <f t="shared" si="376"/>
        <v>0</v>
      </c>
      <c r="L353" s="511">
        <f t="shared" si="376"/>
        <v>0</v>
      </c>
      <c r="M353" s="1077">
        <f t="shared" si="376"/>
        <v>0</v>
      </c>
      <c r="N353" s="1077">
        <f t="shared" si="376"/>
        <v>0</v>
      </c>
      <c r="O353" s="1077">
        <f t="shared" si="376"/>
        <v>0</v>
      </c>
      <c r="P353" s="1077">
        <f t="shared" si="376"/>
        <v>0</v>
      </c>
      <c r="Q353" s="511">
        <f>+Q354+Q355</f>
        <v>5400000</v>
      </c>
      <c r="R353" s="511"/>
      <c r="S353" s="511"/>
      <c r="T353" s="511"/>
      <c r="U353" s="511"/>
      <c r="V353" s="511"/>
      <c r="W353" s="511"/>
      <c r="X353" s="502">
        <f t="shared" ref="X353" si="377">+X354+X355</f>
        <v>5400000</v>
      </c>
      <c r="Y353" s="3033"/>
      <c r="Z353" s="843"/>
    </row>
    <row r="354" spans="1:27" ht="12.75" hidden="1" customHeight="1">
      <c r="A354" s="2987"/>
      <c r="B354" s="537" t="s">
        <v>24</v>
      </c>
      <c r="C354" s="2994"/>
      <c r="D354" s="449">
        <f>SUM(M354:W354)</f>
        <v>0</v>
      </c>
      <c r="E354" s="456">
        <f>+F354+G354+H354</f>
        <v>0</v>
      </c>
      <c r="F354" s="457">
        <v>0</v>
      </c>
      <c r="G354" s="456"/>
      <c r="H354" s="456"/>
      <c r="I354" s="456"/>
      <c r="J354" s="456"/>
      <c r="K354" s="456"/>
      <c r="L354" s="456">
        <f>420000-420000</f>
        <v>0</v>
      </c>
      <c r="M354" s="1227"/>
      <c r="N354" s="2069"/>
      <c r="O354" s="1227">
        <v>0</v>
      </c>
      <c r="P354" s="1227">
        <v>0</v>
      </c>
      <c r="Q354" s="456"/>
      <c r="R354" s="456"/>
      <c r="S354" s="456"/>
      <c r="T354" s="456"/>
      <c r="U354" s="456"/>
      <c r="V354" s="456"/>
      <c r="W354" s="456"/>
      <c r="X354" s="2070"/>
      <c r="Y354" s="3033"/>
    </row>
    <row r="355" spans="1:27" ht="11.25" customHeight="1">
      <c r="A355" s="2987"/>
      <c r="B355" s="643" t="s">
        <v>126</v>
      </c>
      <c r="C355" s="2994"/>
      <c r="D355" s="449">
        <f>SUM(M355:W355)</f>
        <v>5400000</v>
      </c>
      <c r="E355" s="1258"/>
      <c r="F355" s="1270"/>
      <c r="G355" s="1258"/>
      <c r="H355" s="1258"/>
      <c r="I355" s="1258"/>
      <c r="J355" s="1258"/>
      <c r="K355" s="1258"/>
      <c r="L355" s="1258"/>
      <c r="M355" s="2071">
        <v>0</v>
      </c>
      <c r="N355" s="2072"/>
      <c r="O355" s="1227">
        <v>0</v>
      </c>
      <c r="P355" s="1227">
        <v>0</v>
      </c>
      <c r="Q355" s="1258">
        <v>5400000</v>
      </c>
      <c r="R355" s="1259"/>
      <c r="S355" s="1259"/>
      <c r="T355" s="1259"/>
      <c r="U355" s="1259"/>
      <c r="V355" s="1259"/>
      <c r="W355" s="1259"/>
      <c r="X355" s="409">
        <f t="shared" ref="X355" si="378">SUM(P355:T355)</f>
        <v>5400000</v>
      </c>
      <c r="Y355" s="3033"/>
    </row>
    <row r="356" spans="1:27" ht="11.25" customHeight="1">
      <c r="A356" s="2987"/>
      <c r="B356" s="2073" t="s">
        <v>30</v>
      </c>
      <c r="C356" s="2994"/>
      <c r="D356" s="459">
        <f t="shared" ref="D356:Q356" si="379">+D357</f>
        <v>30600000</v>
      </c>
      <c r="E356" s="460">
        <f t="shared" si="379"/>
        <v>0</v>
      </c>
      <c r="F356" s="460">
        <f t="shared" si="379"/>
        <v>0</v>
      </c>
      <c r="G356" s="460">
        <f t="shared" si="379"/>
        <v>0</v>
      </c>
      <c r="H356" s="460">
        <f t="shared" si="379"/>
        <v>0</v>
      </c>
      <c r="I356" s="460">
        <f t="shared" si="379"/>
        <v>0</v>
      </c>
      <c r="J356" s="460">
        <f t="shared" si="379"/>
        <v>0</v>
      </c>
      <c r="K356" s="460">
        <f t="shared" si="379"/>
        <v>0</v>
      </c>
      <c r="L356" s="460">
        <f t="shared" si="379"/>
        <v>0</v>
      </c>
      <c r="M356" s="1081">
        <f t="shared" si="379"/>
        <v>0</v>
      </c>
      <c r="N356" s="1081">
        <f t="shared" si="379"/>
        <v>0</v>
      </c>
      <c r="O356" s="1081">
        <f t="shared" si="379"/>
        <v>0</v>
      </c>
      <c r="P356" s="1081">
        <f t="shared" si="379"/>
        <v>0</v>
      </c>
      <c r="Q356" s="460">
        <f t="shared" si="379"/>
        <v>30600000</v>
      </c>
      <c r="R356" s="460"/>
      <c r="S356" s="460"/>
      <c r="T356" s="460"/>
      <c r="U356" s="460"/>
      <c r="V356" s="460"/>
      <c r="W356" s="460"/>
      <c r="X356" s="502">
        <f>X357</f>
        <v>30600000</v>
      </c>
      <c r="Y356" s="3033"/>
    </row>
    <row r="357" spans="1:27" ht="13.5" customHeight="1">
      <c r="A357" s="2987"/>
      <c r="B357" s="2074" t="s">
        <v>33</v>
      </c>
      <c r="C357" s="3014"/>
      <c r="D357" s="2075">
        <f>SUM(M357:W357)</f>
        <v>30600000</v>
      </c>
      <c r="E357" s="456">
        <f>+F357+G357+H357</f>
        <v>0</v>
      </c>
      <c r="F357" s="457">
        <v>0</v>
      </c>
      <c r="G357" s="456"/>
      <c r="H357" s="456"/>
      <c r="I357" s="456"/>
      <c r="J357" s="456"/>
      <c r="K357" s="456"/>
      <c r="L357" s="456">
        <v>0</v>
      </c>
      <c r="M357" s="1227">
        <f>+E357+I357+J357+K357+L357</f>
        <v>0</v>
      </c>
      <c r="N357" s="854">
        <v>0</v>
      </c>
      <c r="O357" s="854">
        <v>0</v>
      </c>
      <c r="P357" s="854">
        <v>0</v>
      </c>
      <c r="Q357" s="456">
        <v>30600000</v>
      </c>
      <c r="R357" s="456"/>
      <c r="S357" s="457"/>
      <c r="T357" s="457"/>
      <c r="U357" s="457"/>
      <c r="V357" s="457"/>
      <c r="W357" s="457"/>
      <c r="X357" s="409">
        <f>SUM(P357:T357)</f>
        <v>30600000</v>
      </c>
      <c r="Y357" s="3033"/>
    </row>
    <row r="358" spans="1:27" ht="13.5" customHeight="1">
      <c r="A358" s="2988"/>
      <c r="B358" s="2076" t="s">
        <v>34</v>
      </c>
      <c r="C358" s="538"/>
      <c r="D358" s="539">
        <f>+D361+D359</f>
        <v>36000000</v>
      </c>
      <c r="E358" s="539">
        <f t="shared" ref="E358:Q358" si="380">+E361+E359</f>
        <v>0</v>
      </c>
      <c r="F358" s="539">
        <f t="shared" si="380"/>
        <v>0</v>
      </c>
      <c r="G358" s="539">
        <f t="shared" si="380"/>
        <v>0</v>
      </c>
      <c r="H358" s="539">
        <f t="shared" si="380"/>
        <v>0</v>
      </c>
      <c r="I358" s="539">
        <f t="shared" si="380"/>
        <v>0</v>
      </c>
      <c r="J358" s="539">
        <f t="shared" si="380"/>
        <v>0</v>
      </c>
      <c r="K358" s="539">
        <f t="shared" si="380"/>
        <v>0</v>
      </c>
      <c r="L358" s="539">
        <f t="shared" si="380"/>
        <v>0</v>
      </c>
      <c r="M358" s="2062">
        <f t="shared" si="380"/>
        <v>0</v>
      </c>
      <c r="N358" s="2062">
        <f t="shared" si="380"/>
        <v>0</v>
      </c>
      <c r="O358" s="2062">
        <f t="shared" si="380"/>
        <v>0</v>
      </c>
      <c r="P358" s="539">
        <f t="shared" si="380"/>
        <v>5400000</v>
      </c>
      <c r="Q358" s="539">
        <f t="shared" si="380"/>
        <v>30600000</v>
      </c>
      <c r="R358" s="539"/>
      <c r="S358" s="539"/>
      <c r="T358" s="539"/>
      <c r="U358" s="539"/>
      <c r="V358" s="539"/>
      <c r="W358" s="539"/>
      <c r="X358" s="2964" t="s">
        <v>35</v>
      </c>
      <c r="Y358" s="3033"/>
    </row>
    <row r="359" spans="1:27" ht="13.5" customHeight="1">
      <c r="A359" s="2988"/>
      <c r="B359" s="445" t="s">
        <v>36</v>
      </c>
      <c r="C359" s="3024" t="s">
        <v>502</v>
      </c>
      <c r="D359" s="2077">
        <f>D360</f>
        <v>5400000</v>
      </c>
      <c r="E359" s="2077">
        <f t="shared" ref="E359:Q359" si="381">E360</f>
        <v>0</v>
      </c>
      <c r="F359" s="2077">
        <f t="shared" si="381"/>
        <v>0</v>
      </c>
      <c r="G359" s="2077">
        <f t="shared" si="381"/>
        <v>0</v>
      </c>
      <c r="H359" s="2077">
        <f t="shared" si="381"/>
        <v>0</v>
      </c>
      <c r="I359" s="2077">
        <f t="shared" si="381"/>
        <v>0</v>
      </c>
      <c r="J359" s="2077">
        <f t="shared" si="381"/>
        <v>0</v>
      </c>
      <c r="K359" s="2077">
        <f t="shared" si="381"/>
        <v>0</v>
      </c>
      <c r="L359" s="2077">
        <f t="shared" si="381"/>
        <v>0</v>
      </c>
      <c r="M359" s="2078">
        <f t="shared" si="381"/>
        <v>0</v>
      </c>
      <c r="N359" s="2078">
        <f t="shared" si="381"/>
        <v>0</v>
      </c>
      <c r="O359" s="2078">
        <f t="shared" si="381"/>
        <v>0</v>
      </c>
      <c r="P359" s="2077">
        <f t="shared" si="381"/>
        <v>5400000</v>
      </c>
      <c r="Q359" s="2077">
        <f t="shared" si="381"/>
        <v>0</v>
      </c>
      <c r="R359" s="2077"/>
      <c r="S359" s="2077"/>
      <c r="T359" s="2077"/>
      <c r="U359" s="2077"/>
      <c r="V359" s="2077"/>
      <c r="W359" s="2077"/>
      <c r="X359" s="2953"/>
      <c r="Y359" s="3033"/>
    </row>
    <row r="360" spans="1:27" ht="13.5" customHeight="1">
      <c r="A360" s="2988"/>
      <c r="B360" s="643" t="s">
        <v>126</v>
      </c>
      <c r="C360" s="2980"/>
      <c r="D360" s="449">
        <f>SUM(M360:W360)</f>
        <v>5400000</v>
      </c>
      <c r="E360" s="2077"/>
      <c r="F360" s="2077"/>
      <c r="G360" s="2077"/>
      <c r="H360" s="2077"/>
      <c r="I360" s="2077"/>
      <c r="J360" s="2077"/>
      <c r="K360" s="2077"/>
      <c r="L360" s="2077"/>
      <c r="M360" s="2078">
        <v>0</v>
      </c>
      <c r="N360" s="2078"/>
      <c r="O360" s="2078">
        <v>0</v>
      </c>
      <c r="P360" s="2079">
        <v>5400000</v>
      </c>
      <c r="Q360" s="2079">
        <v>0</v>
      </c>
      <c r="R360" s="2077"/>
      <c r="S360" s="2077"/>
      <c r="T360" s="2077"/>
      <c r="U360" s="2077"/>
      <c r="V360" s="2077"/>
      <c r="W360" s="2077"/>
      <c r="X360" s="2953"/>
      <c r="Y360" s="3033"/>
    </row>
    <row r="361" spans="1:27" ht="12" customHeight="1">
      <c r="A361" s="2988"/>
      <c r="B361" s="540" t="s">
        <v>30</v>
      </c>
      <c r="C361" s="2980"/>
      <c r="D361" s="459">
        <f>+D362</f>
        <v>30600000</v>
      </c>
      <c r="E361" s="460">
        <f t="shared" ref="E361:Q361" si="382">+E362</f>
        <v>0</v>
      </c>
      <c r="F361" s="460">
        <f t="shared" si="382"/>
        <v>0</v>
      </c>
      <c r="G361" s="460">
        <f t="shared" si="382"/>
        <v>0</v>
      </c>
      <c r="H361" s="460">
        <f t="shared" si="382"/>
        <v>0</v>
      </c>
      <c r="I361" s="460">
        <f t="shared" si="382"/>
        <v>0</v>
      </c>
      <c r="J361" s="460">
        <f t="shared" si="382"/>
        <v>0</v>
      </c>
      <c r="K361" s="460">
        <f t="shared" si="382"/>
        <v>0</v>
      </c>
      <c r="L361" s="460">
        <f t="shared" si="382"/>
        <v>0</v>
      </c>
      <c r="M361" s="1081">
        <f t="shared" si="382"/>
        <v>0</v>
      </c>
      <c r="N361" s="1081">
        <f t="shared" si="382"/>
        <v>0</v>
      </c>
      <c r="O361" s="1081">
        <f t="shared" si="382"/>
        <v>0</v>
      </c>
      <c r="P361" s="1081">
        <f t="shared" si="382"/>
        <v>0</v>
      </c>
      <c r="Q361" s="460">
        <f t="shared" si="382"/>
        <v>30600000</v>
      </c>
      <c r="R361" s="460"/>
      <c r="S361" s="460"/>
      <c r="T361" s="460"/>
      <c r="U361" s="460"/>
      <c r="V361" s="460"/>
      <c r="W361" s="460"/>
      <c r="X361" s="2953"/>
      <c r="Y361" s="3033"/>
    </row>
    <row r="362" spans="1:27" ht="13.5" customHeight="1" thickBot="1">
      <c r="A362" s="2989"/>
      <c r="B362" s="490" t="s">
        <v>33</v>
      </c>
      <c r="C362" s="3016"/>
      <c r="D362" s="449">
        <f>SUM(M362:W362)</f>
        <v>30600000</v>
      </c>
      <c r="E362" s="491">
        <f>+F362+G362+H362</f>
        <v>0</v>
      </c>
      <c r="F362" s="492">
        <v>0</v>
      </c>
      <c r="G362" s="491">
        <v>0</v>
      </c>
      <c r="H362" s="491">
        <v>0</v>
      </c>
      <c r="I362" s="491">
        <f>5500000-5500000</f>
        <v>0</v>
      </c>
      <c r="J362" s="491"/>
      <c r="K362" s="491"/>
      <c r="L362" s="491">
        <f>862500-862500</f>
        <v>0</v>
      </c>
      <c r="M362" s="2080">
        <f>L362+E362+I362+J362+K362</f>
        <v>0</v>
      </c>
      <c r="N362" s="2063"/>
      <c r="O362" s="2063">
        <v>0</v>
      </c>
      <c r="P362" s="2063">
        <v>0</v>
      </c>
      <c r="Q362" s="472">
        <v>30600000</v>
      </c>
      <c r="R362" s="472"/>
      <c r="S362" s="472"/>
      <c r="T362" s="472"/>
      <c r="U362" s="472"/>
      <c r="V362" s="472"/>
      <c r="W362" s="472"/>
      <c r="X362" s="2954"/>
      <c r="Y362" s="3034"/>
    </row>
    <row r="363" spans="1:27" ht="26.25" customHeight="1">
      <c r="A363" s="2986" t="s">
        <v>443</v>
      </c>
      <c r="B363" s="493" t="s">
        <v>461</v>
      </c>
      <c r="C363" s="473" t="s">
        <v>98</v>
      </c>
      <c r="D363" s="2081"/>
      <c r="E363" s="546"/>
      <c r="F363" s="547"/>
      <c r="G363" s="546"/>
      <c r="H363" s="546"/>
      <c r="I363" s="546"/>
      <c r="J363" s="546"/>
      <c r="K363" s="546"/>
      <c r="L363" s="546"/>
      <c r="M363" s="546"/>
      <c r="N363" s="546"/>
      <c r="O363" s="546"/>
      <c r="P363" s="548"/>
      <c r="Q363" s="548"/>
      <c r="R363" s="548"/>
      <c r="S363" s="928"/>
      <c r="T363" s="928"/>
      <c r="U363" s="928"/>
      <c r="V363" s="928"/>
      <c r="W363" s="928"/>
      <c r="X363" s="549"/>
      <c r="Y363" s="3032" t="s">
        <v>122</v>
      </c>
      <c r="Z363" s="1283" t="s">
        <v>515</v>
      </c>
    </row>
    <row r="364" spans="1:27" ht="13.5" customHeight="1">
      <c r="A364" s="2987"/>
      <c r="B364" s="399" t="s">
        <v>22</v>
      </c>
      <c r="C364" s="375"/>
      <c r="D364" s="441">
        <f t="shared" ref="D364:O364" si="383">+D365+D369</f>
        <v>246000000</v>
      </c>
      <c r="E364" s="442">
        <f t="shared" si="383"/>
        <v>0</v>
      </c>
      <c r="F364" s="442">
        <f t="shared" si="383"/>
        <v>0</v>
      </c>
      <c r="G364" s="442">
        <f t="shared" si="383"/>
        <v>0</v>
      </c>
      <c r="H364" s="442">
        <f t="shared" si="383"/>
        <v>0</v>
      </c>
      <c r="I364" s="442">
        <f t="shared" si="383"/>
        <v>0</v>
      </c>
      <c r="J364" s="442">
        <f t="shared" si="383"/>
        <v>0</v>
      </c>
      <c r="K364" s="442">
        <f t="shared" si="383"/>
        <v>0</v>
      </c>
      <c r="L364" s="2082">
        <f t="shared" si="383"/>
        <v>0</v>
      </c>
      <c r="M364" s="2083">
        <f t="shared" ref="M364" si="384">+M365+M369</f>
        <v>0</v>
      </c>
      <c r="N364" s="2083">
        <f t="shared" si="383"/>
        <v>0</v>
      </c>
      <c r="O364" s="2083">
        <f t="shared" si="383"/>
        <v>0</v>
      </c>
      <c r="P364" s="2084">
        <f>+P365+P369</f>
        <v>0</v>
      </c>
      <c r="Q364" s="442">
        <f t="shared" ref="Q364:R364" si="385">+Q365+Q369</f>
        <v>132000000</v>
      </c>
      <c r="R364" s="442">
        <f t="shared" si="385"/>
        <v>114000000</v>
      </c>
      <c r="S364" s="442"/>
      <c r="T364" s="442"/>
      <c r="U364" s="442"/>
      <c r="V364" s="442"/>
      <c r="W364" s="442"/>
      <c r="X364" s="480">
        <f t="shared" ref="X364" si="386">+X365+X369</f>
        <v>246000000</v>
      </c>
      <c r="Y364" s="3033"/>
      <c r="AA364" s="843"/>
    </row>
    <row r="365" spans="1:27" ht="13.5" customHeight="1">
      <c r="A365" s="2987"/>
      <c r="B365" s="445" t="s">
        <v>36</v>
      </c>
      <c r="C365" s="2978" t="s">
        <v>118</v>
      </c>
      <c r="D365" s="2085">
        <f>+D366+D368+D367</f>
        <v>36900000</v>
      </c>
      <c r="E365" s="2085">
        <f t="shared" ref="E365:R365" si="387">+E366+E368+E367</f>
        <v>0</v>
      </c>
      <c r="F365" s="2085">
        <f t="shared" si="387"/>
        <v>0</v>
      </c>
      <c r="G365" s="2085">
        <f t="shared" si="387"/>
        <v>0</v>
      </c>
      <c r="H365" s="2085">
        <f t="shared" si="387"/>
        <v>0</v>
      </c>
      <c r="I365" s="2085">
        <f t="shared" si="387"/>
        <v>0</v>
      </c>
      <c r="J365" s="2085">
        <f t="shared" si="387"/>
        <v>0</v>
      </c>
      <c r="K365" s="2085">
        <f t="shared" si="387"/>
        <v>0</v>
      </c>
      <c r="L365" s="2085">
        <f t="shared" si="387"/>
        <v>0</v>
      </c>
      <c r="M365" s="2086">
        <f t="shared" si="387"/>
        <v>0</v>
      </c>
      <c r="N365" s="2086">
        <f t="shared" si="387"/>
        <v>0</v>
      </c>
      <c r="O365" s="2086">
        <f t="shared" si="387"/>
        <v>0</v>
      </c>
      <c r="P365" s="2086">
        <f t="shared" si="387"/>
        <v>0</v>
      </c>
      <c r="Q365" s="2085">
        <f t="shared" si="387"/>
        <v>19800000</v>
      </c>
      <c r="R365" s="2085">
        <f t="shared" si="387"/>
        <v>17100000</v>
      </c>
      <c r="S365" s="2085"/>
      <c r="T365" s="2085"/>
      <c r="U365" s="2085"/>
      <c r="V365" s="2085"/>
      <c r="W365" s="2085"/>
      <c r="X365" s="502">
        <f t="shared" ref="X365" si="388">+X366+X368+X367</f>
        <v>36900000</v>
      </c>
      <c r="Y365" s="3033"/>
      <c r="AA365" s="843"/>
    </row>
    <row r="366" spans="1:27" ht="12.75" customHeight="1">
      <c r="A366" s="2987"/>
      <c r="B366" s="484" t="s">
        <v>24</v>
      </c>
      <c r="C366" s="2994"/>
      <c r="D366" s="449">
        <f>SUM(M366:T366)</f>
        <v>12933859</v>
      </c>
      <c r="E366" s="456">
        <f>+F366+G366+H366</f>
        <v>0</v>
      </c>
      <c r="F366" s="457">
        <v>0</v>
      </c>
      <c r="G366" s="494">
        <v>0</v>
      </c>
      <c r="H366" s="494"/>
      <c r="I366" s="494"/>
      <c r="J366" s="494"/>
      <c r="K366" s="456"/>
      <c r="L366" s="494"/>
      <c r="M366" s="1227">
        <f t="shared" ref="M366:M370" si="389">+E366+I366+J366+K366+L366</f>
        <v>0</v>
      </c>
      <c r="N366" s="1076"/>
      <c r="O366" s="2061">
        <v>0</v>
      </c>
      <c r="P366" s="2061">
        <v>0</v>
      </c>
      <c r="Q366" s="457">
        <v>4253144</v>
      </c>
      <c r="R366" s="457">
        <v>8680715</v>
      </c>
      <c r="S366" s="457"/>
      <c r="T366" s="457"/>
      <c r="U366" s="457"/>
      <c r="V366" s="457"/>
      <c r="W366" s="457"/>
      <c r="X366" s="409">
        <f t="shared" ref="X366:X367" si="390">SUM(P366:T366)</f>
        <v>12933859</v>
      </c>
      <c r="Y366" s="3033"/>
    </row>
    <row r="367" spans="1:27" ht="12.75" customHeight="1">
      <c r="A367" s="2987"/>
      <c r="B367" s="643" t="s">
        <v>126</v>
      </c>
      <c r="C367" s="2994"/>
      <c r="D367" s="449">
        <f>SUM(M367:T367)</f>
        <v>23966141</v>
      </c>
      <c r="E367" s="1259"/>
      <c r="F367" s="1938"/>
      <c r="G367" s="1939"/>
      <c r="H367" s="1939"/>
      <c r="I367" s="1939"/>
      <c r="J367" s="1939"/>
      <c r="K367" s="1937"/>
      <c r="L367" s="1939"/>
      <c r="M367" s="2071">
        <v>0</v>
      </c>
      <c r="N367" s="2087"/>
      <c r="O367" s="2088">
        <v>0</v>
      </c>
      <c r="P367" s="2088">
        <v>0</v>
      </c>
      <c r="Q367" s="1938">
        <v>15546856</v>
      </c>
      <c r="R367" s="1938">
        <v>8419285</v>
      </c>
      <c r="S367" s="1938"/>
      <c r="T367" s="1938"/>
      <c r="U367" s="1938"/>
      <c r="V367" s="1938"/>
      <c r="W367" s="1938"/>
      <c r="X367" s="409">
        <f t="shared" si="390"/>
        <v>23966141</v>
      </c>
      <c r="Y367" s="3033"/>
    </row>
    <row r="368" spans="1:27" ht="13.5" hidden="1" customHeight="1">
      <c r="A368" s="2987"/>
      <c r="B368" s="542" t="s">
        <v>27</v>
      </c>
      <c r="C368" s="2994"/>
      <c r="D368" s="449">
        <f t="shared" ref="D368" si="391">SUM(M368:T368)</f>
        <v>0</v>
      </c>
      <c r="E368" s="456">
        <f>+F368+G368+H368</f>
        <v>0</v>
      </c>
      <c r="F368" s="454">
        <v>0</v>
      </c>
      <c r="G368" s="454">
        <v>0</v>
      </c>
      <c r="H368" s="487"/>
      <c r="I368" s="487"/>
      <c r="J368" s="487">
        <v>0</v>
      </c>
      <c r="K368" s="454">
        <v>0</v>
      </c>
      <c r="L368" s="454">
        <v>0</v>
      </c>
      <c r="M368" s="1227"/>
      <c r="N368" s="2089">
        <v>0</v>
      </c>
      <c r="O368" s="2089">
        <v>0</v>
      </c>
      <c r="P368" s="2089">
        <v>0</v>
      </c>
      <c r="Q368" s="462">
        <v>0</v>
      </c>
      <c r="R368" s="462">
        <v>0</v>
      </c>
      <c r="S368" s="462"/>
      <c r="T368" s="462"/>
      <c r="U368" s="462"/>
      <c r="V368" s="462"/>
      <c r="W368" s="462"/>
      <c r="X368" s="486"/>
      <c r="Y368" s="3033"/>
    </row>
    <row r="369" spans="1:27" ht="13.5" customHeight="1">
      <c r="A369" s="2987"/>
      <c r="B369" s="458" t="s">
        <v>30</v>
      </c>
      <c r="C369" s="2994"/>
      <c r="D369" s="459">
        <f>+D370</f>
        <v>209100000</v>
      </c>
      <c r="E369" s="460">
        <f t="shared" ref="E369:X369" si="392">+E370</f>
        <v>0</v>
      </c>
      <c r="F369" s="460">
        <f t="shared" si="392"/>
        <v>0</v>
      </c>
      <c r="G369" s="460">
        <f t="shared" si="392"/>
        <v>0</v>
      </c>
      <c r="H369" s="460">
        <f t="shared" si="392"/>
        <v>0</v>
      </c>
      <c r="I369" s="460">
        <f t="shared" si="392"/>
        <v>0</v>
      </c>
      <c r="J369" s="460">
        <f t="shared" si="392"/>
        <v>0</v>
      </c>
      <c r="K369" s="460">
        <f t="shared" si="392"/>
        <v>0</v>
      </c>
      <c r="L369" s="460">
        <f t="shared" si="392"/>
        <v>0</v>
      </c>
      <c r="M369" s="1081">
        <f t="shared" si="392"/>
        <v>0</v>
      </c>
      <c r="N369" s="1081">
        <f t="shared" si="392"/>
        <v>0</v>
      </c>
      <c r="O369" s="1081">
        <f t="shared" si="392"/>
        <v>0</v>
      </c>
      <c r="P369" s="1081">
        <f t="shared" si="392"/>
        <v>0</v>
      </c>
      <c r="Q369" s="460">
        <f t="shared" si="392"/>
        <v>112200000</v>
      </c>
      <c r="R369" s="460">
        <f t="shared" si="392"/>
        <v>96900000</v>
      </c>
      <c r="S369" s="460"/>
      <c r="T369" s="460"/>
      <c r="U369" s="460"/>
      <c r="V369" s="460"/>
      <c r="W369" s="460"/>
      <c r="X369" s="502">
        <f t="shared" si="392"/>
        <v>209100000</v>
      </c>
      <c r="Y369" s="3033"/>
    </row>
    <row r="370" spans="1:27" ht="13.5" customHeight="1">
      <c r="A370" s="2987"/>
      <c r="B370" s="489" t="s">
        <v>33</v>
      </c>
      <c r="C370" s="3014"/>
      <c r="D370" s="449">
        <f>SUM(M370:T370)</f>
        <v>209100000</v>
      </c>
      <c r="E370" s="454">
        <f>+F370+G370+H370</f>
        <v>0</v>
      </c>
      <c r="F370" s="462">
        <v>0</v>
      </c>
      <c r="G370" s="487">
        <v>0</v>
      </c>
      <c r="H370" s="487"/>
      <c r="I370" s="487"/>
      <c r="J370" s="487"/>
      <c r="K370" s="487">
        <v>0</v>
      </c>
      <c r="L370" s="454">
        <v>0</v>
      </c>
      <c r="M370" s="1227">
        <f t="shared" si="389"/>
        <v>0</v>
      </c>
      <c r="N370" s="2089">
        <v>0</v>
      </c>
      <c r="O370" s="2089">
        <v>0</v>
      </c>
      <c r="P370" s="2089">
        <v>0</v>
      </c>
      <c r="Q370" s="462">
        <v>112200000</v>
      </c>
      <c r="R370" s="462">
        <v>96900000</v>
      </c>
      <c r="S370" s="462"/>
      <c r="T370" s="462"/>
      <c r="U370" s="462"/>
      <c r="V370" s="462"/>
      <c r="W370" s="462"/>
      <c r="X370" s="409">
        <f>SUM(P370:T370)</f>
        <v>209100000</v>
      </c>
      <c r="Y370" s="3033"/>
    </row>
    <row r="371" spans="1:27" ht="12.75" customHeight="1">
      <c r="A371" s="2988"/>
      <c r="B371" s="399" t="s">
        <v>34</v>
      </c>
      <c r="C371" s="375"/>
      <c r="D371" s="464">
        <f>+D372+D375</f>
        <v>233066141</v>
      </c>
      <c r="E371" s="443">
        <f t="shared" ref="E371:L371" si="393">+E372+E375</f>
        <v>0</v>
      </c>
      <c r="F371" s="443">
        <f t="shared" si="393"/>
        <v>0</v>
      </c>
      <c r="G371" s="443">
        <f t="shared" si="393"/>
        <v>0</v>
      </c>
      <c r="H371" s="443">
        <f t="shared" si="393"/>
        <v>0</v>
      </c>
      <c r="I371" s="443">
        <f t="shared" si="393"/>
        <v>0</v>
      </c>
      <c r="J371" s="443">
        <f t="shared" si="393"/>
        <v>0</v>
      </c>
      <c r="K371" s="443">
        <f t="shared" si="393"/>
        <v>0</v>
      </c>
      <c r="L371" s="443">
        <f t="shared" si="393"/>
        <v>0</v>
      </c>
      <c r="M371" s="443">
        <f t="shared" ref="M371" si="394">+M372+M375</f>
        <v>4108286</v>
      </c>
      <c r="N371" s="443">
        <f>+N372+N375</f>
        <v>4108286</v>
      </c>
      <c r="O371" s="2067">
        <f>+O372+O375</f>
        <v>0</v>
      </c>
      <c r="P371" s="443">
        <f>+P372+P375</f>
        <v>3019285</v>
      </c>
      <c r="Q371" s="443">
        <f t="shared" ref="Q371:R371" si="395">+Q372+Q375</f>
        <v>120619285</v>
      </c>
      <c r="R371" s="443">
        <f t="shared" si="395"/>
        <v>105319285</v>
      </c>
      <c r="S371" s="443"/>
      <c r="T371" s="443"/>
      <c r="U371" s="443"/>
      <c r="V371" s="443"/>
      <c r="W371" s="443"/>
      <c r="X371" s="2658"/>
      <c r="Y371" s="3033"/>
    </row>
    <row r="372" spans="1:27" ht="13.5" customHeight="1">
      <c r="A372" s="2988"/>
      <c r="B372" s="445" t="s">
        <v>36</v>
      </c>
      <c r="C372" s="3039" t="s">
        <v>502</v>
      </c>
      <c r="D372" s="465">
        <f>+D374+D373</f>
        <v>23966141</v>
      </c>
      <c r="E372" s="465">
        <f t="shared" ref="E372:R372" si="396">+E374+E373</f>
        <v>0</v>
      </c>
      <c r="F372" s="465">
        <f t="shared" si="396"/>
        <v>0</v>
      </c>
      <c r="G372" s="465">
        <f t="shared" si="396"/>
        <v>0</v>
      </c>
      <c r="H372" s="465">
        <f t="shared" si="396"/>
        <v>0</v>
      </c>
      <c r="I372" s="465">
        <f t="shared" si="396"/>
        <v>0</v>
      </c>
      <c r="J372" s="465">
        <f t="shared" si="396"/>
        <v>0</v>
      </c>
      <c r="K372" s="465">
        <f t="shared" si="396"/>
        <v>0</v>
      </c>
      <c r="L372" s="465">
        <f t="shared" si="396"/>
        <v>0</v>
      </c>
      <c r="M372" s="465">
        <f t="shared" si="396"/>
        <v>4108286</v>
      </c>
      <c r="N372" s="465">
        <f t="shared" si="396"/>
        <v>4108286</v>
      </c>
      <c r="O372" s="1038">
        <f t="shared" si="396"/>
        <v>0</v>
      </c>
      <c r="P372" s="465">
        <f t="shared" si="396"/>
        <v>3019285</v>
      </c>
      <c r="Q372" s="465">
        <f t="shared" si="396"/>
        <v>8419285</v>
      </c>
      <c r="R372" s="465">
        <f t="shared" si="396"/>
        <v>8419285</v>
      </c>
      <c r="S372" s="465"/>
      <c r="T372" s="465"/>
      <c r="U372" s="465"/>
      <c r="V372" s="465"/>
      <c r="W372" s="465"/>
      <c r="X372" s="2659"/>
      <c r="Y372" s="3033"/>
    </row>
    <row r="373" spans="1:27" s="848" customFormat="1" ht="13.5" customHeight="1">
      <c r="A373" s="2988"/>
      <c r="B373" s="2090" t="s">
        <v>126</v>
      </c>
      <c r="C373" s="3040"/>
      <c r="D373" s="933">
        <f>M373+O373+P373+Q373+R373+S373+T373+U373+V373+W373</f>
        <v>23966141</v>
      </c>
      <c r="E373" s="465"/>
      <c r="F373" s="465"/>
      <c r="G373" s="465"/>
      <c r="H373" s="465"/>
      <c r="I373" s="465"/>
      <c r="J373" s="465"/>
      <c r="K373" s="465"/>
      <c r="L373" s="465"/>
      <c r="M373" s="1080">
        <f>+E373+I373+J373+K373+L373+N373</f>
        <v>4108286</v>
      </c>
      <c r="N373" s="2091">
        <v>4108286</v>
      </c>
      <c r="O373" s="1038">
        <v>0</v>
      </c>
      <c r="P373" s="2091">
        <v>3019285</v>
      </c>
      <c r="Q373" s="2091">
        <v>8419285</v>
      </c>
      <c r="R373" s="2091">
        <v>8419285</v>
      </c>
      <c r="S373" s="465"/>
      <c r="T373" s="465"/>
      <c r="U373" s="465"/>
      <c r="V373" s="465"/>
      <c r="W373" s="465"/>
      <c r="X373" s="2659"/>
      <c r="Y373" s="3033"/>
    </row>
    <row r="374" spans="1:27" ht="12.75" hidden="1" customHeight="1">
      <c r="A374" s="2988"/>
      <c r="B374" s="542" t="s">
        <v>27</v>
      </c>
      <c r="C374" s="3041"/>
      <c r="D374" s="449">
        <f t="shared" ref="D374" si="397">SUM(M374:T374)</f>
        <v>0</v>
      </c>
      <c r="E374" s="456">
        <f>+F374+G374+H374</f>
        <v>0</v>
      </c>
      <c r="F374" s="467">
        <v>0</v>
      </c>
      <c r="G374" s="467">
        <v>0</v>
      </c>
      <c r="H374" s="467">
        <v>0</v>
      </c>
      <c r="I374" s="467"/>
      <c r="J374" s="467">
        <v>0</v>
      </c>
      <c r="K374" s="467">
        <v>0</v>
      </c>
      <c r="L374" s="467">
        <v>0</v>
      </c>
      <c r="M374" s="450">
        <f t="shared" ref="M374" si="398">+E374+I374+J374+K374+L374</f>
        <v>0</v>
      </c>
      <c r="N374" s="467">
        <v>0</v>
      </c>
      <c r="O374" s="1039">
        <v>0</v>
      </c>
      <c r="P374" s="550">
        <v>0</v>
      </c>
      <c r="Q374" s="550"/>
      <c r="R374" s="550"/>
      <c r="S374" s="550"/>
      <c r="T374" s="550"/>
      <c r="U374" s="550"/>
      <c r="V374" s="550"/>
      <c r="W374" s="550"/>
      <c r="X374" s="2659"/>
      <c r="Y374" s="3033"/>
    </row>
    <row r="375" spans="1:27" ht="12" customHeight="1">
      <c r="A375" s="2988"/>
      <c r="B375" s="458" t="s">
        <v>30</v>
      </c>
      <c r="C375" s="3041"/>
      <c r="D375" s="459">
        <f t="shared" ref="D375:R375" si="399">+D376</f>
        <v>209100000</v>
      </c>
      <c r="E375" s="460">
        <f t="shared" si="399"/>
        <v>0</v>
      </c>
      <c r="F375" s="460">
        <f t="shared" si="399"/>
        <v>0</v>
      </c>
      <c r="G375" s="460">
        <f t="shared" si="399"/>
        <v>0</v>
      </c>
      <c r="H375" s="460">
        <f t="shared" si="399"/>
        <v>0</v>
      </c>
      <c r="I375" s="460">
        <f t="shared" si="399"/>
        <v>0</v>
      </c>
      <c r="J375" s="460">
        <f t="shared" si="399"/>
        <v>0</v>
      </c>
      <c r="K375" s="460">
        <f t="shared" si="399"/>
        <v>0</v>
      </c>
      <c r="L375" s="460">
        <f t="shared" si="399"/>
        <v>0</v>
      </c>
      <c r="M375" s="1081">
        <f t="shared" si="399"/>
        <v>0</v>
      </c>
      <c r="N375" s="1081">
        <f t="shared" si="399"/>
        <v>0</v>
      </c>
      <c r="O375" s="1081">
        <f t="shared" si="399"/>
        <v>0</v>
      </c>
      <c r="P375" s="1081">
        <f t="shared" si="399"/>
        <v>0</v>
      </c>
      <c r="Q375" s="460">
        <f t="shared" si="399"/>
        <v>112200000</v>
      </c>
      <c r="R375" s="460">
        <f t="shared" si="399"/>
        <v>96900000</v>
      </c>
      <c r="S375" s="460"/>
      <c r="T375" s="460"/>
      <c r="U375" s="460"/>
      <c r="V375" s="460"/>
      <c r="W375" s="460"/>
      <c r="X375" s="2659"/>
      <c r="Y375" s="3033"/>
    </row>
    <row r="376" spans="1:27" ht="13.5" customHeight="1" thickBot="1">
      <c r="A376" s="2989"/>
      <c r="B376" s="490" t="s">
        <v>33</v>
      </c>
      <c r="C376" s="3042"/>
      <c r="D376" s="449">
        <f>SUM(M376:T376)</f>
        <v>209100000</v>
      </c>
      <c r="E376" s="491">
        <f>+F376+G376+H376</f>
        <v>0</v>
      </c>
      <c r="F376" s="492">
        <v>0</v>
      </c>
      <c r="G376" s="491">
        <v>0</v>
      </c>
      <c r="H376" s="491">
        <v>0</v>
      </c>
      <c r="I376" s="491"/>
      <c r="J376" s="491"/>
      <c r="K376" s="491"/>
      <c r="L376" s="491">
        <v>0</v>
      </c>
      <c r="M376" s="1227">
        <f t="shared" ref="M376" si="400">+E376+I376+J376+K376+L376</f>
        <v>0</v>
      </c>
      <c r="N376" s="1082">
        <v>0</v>
      </c>
      <c r="O376" s="1082">
        <v>0</v>
      </c>
      <c r="P376" s="2063">
        <v>0</v>
      </c>
      <c r="Q376" s="472">
        <v>112200000</v>
      </c>
      <c r="R376" s="472">
        <v>96900000</v>
      </c>
      <c r="S376" s="472"/>
      <c r="T376" s="472"/>
      <c r="U376" s="472"/>
      <c r="V376" s="472"/>
      <c r="W376" s="472"/>
      <c r="X376" s="2660"/>
      <c r="Y376" s="3034"/>
    </row>
    <row r="377" spans="1:27" ht="17.25" customHeight="1">
      <c r="A377" s="3026" t="s">
        <v>319</v>
      </c>
      <c r="B377" s="594" t="s">
        <v>337</v>
      </c>
      <c r="C377" s="595"/>
      <c r="D377" s="596"/>
      <c r="E377" s="597"/>
      <c r="F377" s="597"/>
      <c r="G377" s="597"/>
      <c r="H377" s="597"/>
      <c r="I377" s="597"/>
      <c r="J377" s="598"/>
      <c r="K377" s="598"/>
      <c r="L377" s="598"/>
      <c r="M377" s="598"/>
      <c r="N377" s="598"/>
      <c r="O377" s="598"/>
      <c r="P377" s="598"/>
      <c r="Q377" s="598"/>
      <c r="R377" s="598"/>
      <c r="S377" s="598"/>
      <c r="T377" s="598"/>
      <c r="U377" s="1176"/>
      <c r="V377" s="1177"/>
      <c r="W377" s="1177"/>
      <c r="X377" s="599"/>
      <c r="Y377" s="3030"/>
    </row>
    <row r="378" spans="1:27" s="993" customFormat="1" ht="14.25" customHeight="1">
      <c r="A378" s="3027"/>
      <c r="B378" s="1949" t="s">
        <v>22</v>
      </c>
      <c r="C378" s="538"/>
      <c r="D378" s="600">
        <f>+D379+D382</f>
        <v>43543940</v>
      </c>
      <c r="E378" s="600">
        <f t="shared" ref="E378:N378" si="401">+E379+E382</f>
        <v>0</v>
      </c>
      <c r="F378" s="600">
        <f t="shared" si="401"/>
        <v>0</v>
      </c>
      <c r="G378" s="600">
        <f t="shared" si="401"/>
        <v>0</v>
      </c>
      <c r="H378" s="600">
        <f t="shared" si="401"/>
        <v>0</v>
      </c>
      <c r="I378" s="600">
        <f t="shared" si="401"/>
        <v>228400</v>
      </c>
      <c r="J378" s="600">
        <f t="shared" si="401"/>
        <v>3000</v>
      </c>
      <c r="K378" s="600">
        <f t="shared" si="401"/>
        <v>22878</v>
      </c>
      <c r="L378" s="600">
        <f t="shared" si="401"/>
        <v>137917</v>
      </c>
      <c r="M378" s="600">
        <f t="shared" si="401"/>
        <v>395660</v>
      </c>
      <c r="N378" s="600">
        <f t="shared" si="401"/>
        <v>3465</v>
      </c>
      <c r="O378" s="600">
        <f t="shared" ref="O378" si="402">+O379+O382</f>
        <v>0</v>
      </c>
      <c r="P378" s="600">
        <f>+P379+P382</f>
        <v>6096546</v>
      </c>
      <c r="Q378" s="600">
        <f t="shared" ref="Q378:T378" si="403">+Q379+Q382</f>
        <v>24692764</v>
      </c>
      <c r="R378" s="600">
        <f t="shared" si="403"/>
        <v>4637525</v>
      </c>
      <c r="S378" s="600">
        <f t="shared" si="403"/>
        <v>7721445</v>
      </c>
      <c r="T378" s="600">
        <f t="shared" si="403"/>
        <v>0</v>
      </c>
      <c r="U378" s="600">
        <f t="shared" ref="U378:W378" si="404">+U379+U382</f>
        <v>0</v>
      </c>
      <c r="V378" s="600">
        <f t="shared" si="404"/>
        <v>0</v>
      </c>
      <c r="W378" s="600">
        <f t="shared" si="404"/>
        <v>0</v>
      </c>
      <c r="X378" s="2409">
        <f>+X379+X382</f>
        <v>43148280</v>
      </c>
      <c r="Y378" s="3031"/>
      <c r="Z378" s="987">
        <f>+O378+P378</f>
        <v>6096546</v>
      </c>
      <c r="AA378" s="992"/>
    </row>
    <row r="379" spans="1:27" s="994" customFormat="1" ht="13.5" customHeight="1">
      <c r="A379" s="3027"/>
      <c r="B379" s="601" t="s">
        <v>23</v>
      </c>
      <c r="C379" s="602"/>
      <c r="D379" s="2410">
        <f>+D380+D381</f>
        <v>10642837</v>
      </c>
      <c r="E379" s="2410">
        <f t="shared" ref="E379:N379" si="405">+E380+E381</f>
        <v>0</v>
      </c>
      <c r="F379" s="2410">
        <f t="shared" si="405"/>
        <v>0</v>
      </c>
      <c r="G379" s="2410">
        <f t="shared" si="405"/>
        <v>0</v>
      </c>
      <c r="H379" s="2410">
        <f t="shared" si="405"/>
        <v>0</v>
      </c>
      <c r="I379" s="2410">
        <f t="shared" si="405"/>
        <v>228400</v>
      </c>
      <c r="J379" s="2410">
        <f t="shared" si="405"/>
        <v>3000</v>
      </c>
      <c r="K379" s="2410">
        <f t="shared" si="405"/>
        <v>22878</v>
      </c>
      <c r="L379" s="2410">
        <f t="shared" si="405"/>
        <v>137917</v>
      </c>
      <c r="M379" s="2410">
        <f t="shared" si="405"/>
        <v>395660</v>
      </c>
      <c r="N379" s="2410">
        <f t="shared" si="405"/>
        <v>3465</v>
      </c>
      <c r="O379" s="2410">
        <f t="shared" ref="O379:W379" si="406">+O380</f>
        <v>0</v>
      </c>
      <c r="P379" s="2410">
        <f t="shared" si="406"/>
        <v>1457058</v>
      </c>
      <c r="Q379" s="2410">
        <f t="shared" si="406"/>
        <v>5858293</v>
      </c>
      <c r="R379" s="2410">
        <f t="shared" si="406"/>
        <v>1094482</v>
      </c>
      <c r="S379" s="2410">
        <f t="shared" si="406"/>
        <v>1837344</v>
      </c>
      <c r="T379" s="2410">
        <f t="shared" si="406"/>
        <v>0</v>
      </c>
      <c r="U379" s="2410">
        <f t="shared" si="406"/>
        <v>0</v>
      </c>
      <c r="V379" s="2410">
        <f t="shared" si="406"/>
        <v>0</v>
      </c>
      <c r="W379" s="2410">
        <f t="shared" si="406"/>
        <v>0</v>
      </c>
      <c r="X379" s="2385">
        <f>+X380</f>
        <v>10247177</v>
      </c>
      <c r="Y379" s="3031"/>
      <c r="AA379" s="992"/>
    </row>
    <row r="380" spans="1:27" s="993" customFormat="1" ht="11.25" customHeight="1">
      <c r="A380" s="3027"/>
      <c r="B380" s="424" t="s">
        <v>24</v>
      </c>
      <c r="C380" s="425"/>
      <c r="D380" s="2339">
        <f>+D392+D402+D459++D411+D423+D432+D441+D450</f>
        <v>10585834</v>
      </c>
      <c r="E380" s="2339">
        <f t="shared" ref="E380:W380" si="407">+E392+E402+E459++E411+E423+E432+E441+E450</f>
        <v>0</v>
      </c>
      <c r="F380" s="2339">
        <f t="shared" si="407"/>
        <v>0</v>
      </c>
      <c r="G380" s="2339">
        <f t="shared" si="407"/>
        <v>0</v>
      </c>
      <c r="H380" s="2339">
        <f t="shared" si="407"/>
        <v>0</v>
      </c>
      <c r="I380" s="2339">
        <f t="shared" si="407"/>
        <v>228400</v>
      </c>
      <c r="J380" s="2339">
        <f t="shared" si="407"/>
        <v>3000</v>
      </c>
      <c r="K380" s="2339">
        <f t="shared" si="407"/>
        <v>0</v>
      </c>
      <c r="L380" s="2339">
        <f t="shared" si="407"/>
        <v>103792</v>
      </c>
      <c r="M380" s="2339">
        <f t="shared" si="407"/>
        <v>338657</v>
      </c>
      <c r="N380" s="2339">
        <f t="shared" si="407"/>
        <v>3465</v>
      </c>
      <c r="O380" s="2339">
        <f t="shared" si="407"/>
        <v>0</v>
      </c>
      <c r="P380" s="2339">
        <f t="shared" si="407"/>
        <v>1457058</v>
      </c>
      <c r="Q380" s="2339">
        <f t="shared" si="407"/>
        <v>5858293</v>
      </c>
      <c r="R380" s="2339">
        <f t="shared" si="407"/>
        <v>1094482</v>
      </c>
      <c r="S380" s="2339">
        <f t="shared" si="407"/>
        <v>1837344</v>
      </c>
      <c r="T380" s="2339">
        <f t="shared" si="407"/>
        <v>0</v>
      </c>
      <c r="U380" s="2339">
        <f t="shared" si="407"/>
        <v>0</v>
      </c>
      <c r="V380" s="2339">
        <f t="shared" si="407"/>
        <v>0</v>
      </c>
      <c r="W380" s="2339">
        <f t="shared" si="407"/>
        <v>0</v>
      </c>
      <c r="X380" s="2389">
        <f>SUM(P380:T380)</f>
        <v>10247177</v>
      </c>
      <c r="Y380" s="3031"/>
      <c r="Z380" s="992"/>
      <c r="AA380" s="992"/>
    </row>
    <row r="381" spans="1:27" s="993" customFormat="1" ht="11.25" customHeight="1">
      <c r="A381" s="3027"/>
      <c r="B381" s="424" t="s">
        <v>27</v>
      </c>
      <c r="C381" s="425"/>
      <c r="D381" s="2339">
        <f>+D412</f>
        <v>57003</v>
      </c>
      <c r="E381" s="2339">
        <f t="shared" ref="E381:W381" si="408">+E412</f>
        <v>0</v>
      </c>
      <c r="F381" s="2339">
        <f t="shared" si="408"/>
        <v>0</v>
      </c>
      <c r="G381" s="2339">
        <f t="shared" si="408"/>
        <v>0</v>
      </c>
      <c r="H381" s="2339">
        <f t="shared" si="408"/>
        <v>0</v>
      </c>
      <c r="I381" s="2339">
        <f t="shared" si="408"/>
        <v>0</v>
      </c>
      <c r="J381" s="2339">
        <f t="shared" si="408"/>
        <v>0</v>
      </c>
      <c r="K381" s="2339">
        <f t="shared" si="408"/>
        <v>22878</v>
      </c>
      <c r="L381" s="2339">
        <f t="shared" si="408"/>
        <v>34125</v>
      </c>
      <c r="M381" s="2339">
        <f t="shared" si="408"/>
        <v>57003</v>
      </c>
      <c r="N381" s="2339">
        <f t="shared" si="408"/>
        <v>0</v>
      </c>
      <c r="O381" s="2339">
        <f t="shared" si="408"/>
        <v>0</v>
      </c>
      <c r="P381" s="2339">
        <f t="shared" si="408"/>
        <v>0</v>
      </c>
      <c r="Q381" s="2339">
        <f t="shared" si="408"/>
        <v>0</v>
      </c>
      <c r="R381" s="2339">
        <f t="shared" si="408"/>
        <v>0</v>
      </c>
      <c r="S381" s="2339">
        <f t="shared" si="408"/>
        <v>0</v>
      </c>
      <c r="T381" s="2339">
        <f t="shared" si="408"/>
        <v>0</v>
      </c>
      <c r="U381" s="2339">
        <f t="shared" si="408"/>
        <v>0</v>
      </c>
      <c r="V381" s="2339">
        <f t="shared" si="408"/>
        <v>0</v>
      </c>
      <c r="W381" s="2339">
        <f t="shared" si="408"/>
        <v>0</v>
      </c>
      <c r="X381" s="2389">
        <f>SUM(P381:T381)</f>
        <v>0</v>
      </c>
      <c r="Y381" s="3031"/>
      <c r="Z381" s="992"/>
      <c r="AA381" s="992"/>
    </row>
    <row r="382" spans="1:27" s="994" customFormat="1" ht="13.5" customHeight="1">
      <c r="A382" s="3027"/>
      <c r="B382" s="2411" t="s">
        <v>120</v>
      </c>
      <c r="C382" s="2412"/>
      <c r="D382" s="2413">
        <f>+D383</f>
        <v>32901103</v>
      </c>
      <c r="E382" s="2413">
        <f t="shared" ref="E382:W382" si="409">+E383</f>
        <v>0</v>
      </c>
      <c r="F382" s="2413">
        <f t="shared" si="409"/>
        <v>0</v>
      </c>
      <c r="G382" s="2413">
        <f t="shared" si="409"/>
        <v>0</v>
      </c>
      <c r="H382" s="2413">
        <f t="shared" si="409"/>
        <v>0</v>
      </c>
      <c r="I382" s="2413">
        <f t="shared" si="409"/>
        <v>0</v>
      </c>
      <c r="J382" s="2413">
        <f t="shared" si="409"/>
        <v>0</v>
      </c>
      <c r="K382" s="2413">
        <f t="shared" si="409"/>
        <v>0</v>
      </c>
      <c r="L382" s="2413">
        <f t="shared" si="409"/>
        <v>0</v>
      </c>
      <c r="M382" s="2413">
        <f t="shared" si="409"/>
        <v>0</v>
      </c>
      <c r="N382" s="2413">
        <f t="shared" si="409"/>
        <v>0</v>
      </c>
      <c r="O382" s="2413">
        <f t="shared" si="409"/>
        <v>0</v>
      </c>
      <c r="P382" s="2413">
        <f t="shared" si="409"/>
        <v>4639488</v>
      </c>
      <c r="Q382" s="2413">
        <f t="shared" si="409"/>
        <v>18834471</v>
      </c>
      <c r="R382" s="2413">
        <f t="shared" si="409"/>
        <v>3543043</v>
      </c>
      <c r="S382" s="2413">
        <f t="shared" si="409"/>
        <v>5884101</v>
      </c>
      <c r="T382" s="2413">
        <f t="shared" si="409"/>
        <v>0</v>
      </c>
      <c r="U382" s="2413">
        <f t="shared" si="409"/>
        <v>0</v>
      </c>
      <c r="V382" s="2413">
        <f t="shared" si="409"/>
        <v>0</v>
      </c>
      <c r="W382" s="2413">
        <f t="shared" si="409"/>
        <v>0</v>
      </c>
      <c r="X382" s="2385">
        <f>+X383</f>
        <v>32901103</v>
      </c>
      <c r="Y382" s="3031"/>
      <c r="AA382" s="992"/>
    </row>
    <row r="383" spans="1:27" s="993" customFormat="1" ht="12.75" customHeight="1">
      <c r="A383" s="3027"/>
      <c r="B383" s="424" t="s">
        <v>32</v>
      </c>
      <c r="C383" s="425"/>
      <c r="D383" s="2339">
        <f>+D394+D404+D464+D414+D425+D434+D443+D452</f>
        <v>32901103</v>
      </c>
      <c r="E383" s="2339">
        <f t="shared" ref="E383:W383" si="410">+E394+E404+E464+E414+E425+E434+E443+E452</f>
        <v>0</v>
      </c>
      <c r="F383" s="2339">
        <f t="shared" si="410"/>
        <v>0</v>
      </c>
      <c r="G383" s="2339">
        <f t="shared" si="410"/>
        <v>0</v>
      </c>
      <c r="H383" s="2339">
        <f t="shared" si="410"/>
        <v>0</v>
      </c>
      <c r="I383" s="2339">
        <f t="shared" si="410"/>
        <v>0</v>
      </c>
      <c r="J383" s="2339">
        <f t="shared" si="410"/>
        <v>0</v>
      </c>
      <c r="K383" s="2339">
        <f t="shared" si="410"/>
        <v>0</v>
      </c>
      <c r="L383" s="2339">
        <f t="shared" si="410"/>
        <v>0</v>
      </c>
      <c r="M383" s="2339">
        <f t="shared" si="410"/>
        <v>0</v>
      </c>
      <c r="N383" s="2339">
        <f t="shared" si="410"/>
        <v>0</v>
      </c>
      <c r="O383" s="2339">
        <f t="shared" si="410"/>
        <v>0</v>
      </c>
      <c r="P383" s="2339">
        <f t="shared" si="410"/>
        <v>4639488</v>
      </c>
      <c r="Q383" s="2339">
        <f t="shared" si="410"/>
        <v>18834471</v>
      </c>
      <c r="R383" s="2339">
        <f t="shared" si="410"/>
        <v>3543043</v>
      </c>
      <c r="S383" s="2339">
        <f t="shared" si="410"/>
        <v>5884101</v>
      </c>
      <c r="T383" s="2339">
        <f t="shared" si="410"/>
        <v>0</v>
      </c>
      <c r="U383" s="2339">
        <f t="shared" si="410"/>
        <v>0</v>
      </c>
      <c r="V383" s="2339">
        <f t="shared" si="410"/>
        <v>0</v>
      </c>
      <c r="W383" s="2339">
        <f t="shared" si="410"/>
        <v>0</v>
      </c>
      <c r="X383" s="2389">
        <f>SUM(P383:T383)</f>
        <v>32901103</v>
      </c>
      <c r="Y383" s="3031"/>
      <c r="Z383" s="992"/>
      <c r="AA383" s="992"/>
    </row>
    <row r="384" spans="1:27" s="993" customFormat="1" ht="12" customHeight="1">
      <c r="A384" s="3028"/>
      <c r="B384" s="374" t="s">
        <v>34</v>
      </c>
      <c r="C384" s="2381"/>
      <c r="D384" s="2382">
        <f>+D387+D385</f>
        <v>32958106</v>
      </c>
      <c r="E384" s="2382">
        <f t="shared" ref="E384:W384" si="411">+E387+E385</f>
        <v>0</v>
      </c>
      <c r="F384" s="2382">
        <f t="shared" si="411"/>
        <v>0</v>
      </c>
      <c r="G384" s="2382">
        <f t="shared" si="411"/>
        <v>0</v>
      </c>
      <c r="H384" s="2382">
        <f t="shared" si="411"/>
        <v>0</v>
      </c>
      <c r="I384" s="2382">
        <f t="shared" si="411"/>
        <v>0</v>
      </c>
      <c r="J384" s="2382">
        <f t="shared" si="411"/>
        <v>0</v>
      </c>
      <c r="K384" s="2382">
        <f t="shared" si="411"/>
        <v>22878</v>
      </c>
      <c r="L384" s="2382">
        <f t="shared" si="411"/>
        <v>34125</v>
      </c>
      <c r="M384" s="2382">
        <f t="shared" si="411"/>
        <v>57003</v>
      </c>
      <c r="N384" s="2382">
        <f t="shared" si="411"/>
        <v>0</v>
      </c>
      <c r="O384" s="2382">
        <f t="shared" si="411"/>
        <v>0</v>
      </c>
      <c r="P384" s="2382">
        <f t="shared" si="411"/>
        <v>0</v>
      </c>
      <c r="Q384" s="2382">
        <f t="shared" si="411"/>
        <v>13806204</v>
      </c>
      <c r="R384" s="2382">
        <f t="shared" si="411"/>
        <v>9554405</v>
      </c>
      <c r="S384" s="2382">
        <f t="shared" si="411"/>
        <v>6558936</v>
      </c>
      <c r="T384" s="2382">
        <f t="shared" si="411"/>
        <v>2981558</v>
      </c>
      <c r="U384" s="2382">
        <f t="shared" si="411"/>
        <v>0</v>
      </c>
      <c r="V384" s="2382">
        <f t="shared" si="411"/>
        <v>0</v>
      </c>
      <c r="W384" s="2382">
        <f t="shared" si="411"/>
        <v>0</v>
      </c>
      <c r="X384" s="2958" t="s">
        <v>35</v>
      </c>
      <c r="Y384" s="604"/>
      <c r="Z384" s="992"/>
    </row>
    <row r="385" spans="1:26" s="993" customFormat="1" ht="12" customHeight="1">
      <c r="A385" s="3028"/>
      <c r="B385" s="601" t="s">
        <v>36</v>
      </c>
      <c r="C385" s="602"/>
      <c r="D385" s="2410">
        <f>+D386</f>
        <v>57003</v>
      </c>
      <c r="E385" s="2410">
        <f t="shared" ref="E385:M385" si="412">+E386</f>
        <v>0</v>
      </c>
      <c r="F385" s="2410">
        <f t="shared" si="412"/>
        <v>0</v>
      </c>
      <c r="G385" s="2410">
        <f t="shared" si="412"/>
        <v>0</v>
      </c>
      <c r="H385" s="2410">
        <f t="shared" si="412"/>
        <v>0</v>
      </c>
      <c r="I385" s="2410">
        <f t="shared" si="412"/>
        <v>0</v>
      </c>
      <c r="J385" s="2410">
        <f t="shared" si="412"/>
        <v>0</v>
      </c>
      <c r="K385" s="2410">
        <f t="shared" si="412"/>
        <v>22878</v>
      </c>
      <c r="L385" s="2410">
        <f t="shared" si="412"/>
        <v>34125</v>
      </c>
      <c r="M385" s="2410">
        <f t="shared" si="412"/>
        <v>57003</v>
      </c>
      <c r="N385" s="2410"/>
      <c r="O385" s="2410"/>
      <c r="P385" s="2410"/>
      <c r="Q385" s="2410"/>
      <c r="R385" s="2410"/>
      <c r="S385" s="2410"/>
      <c r="T385" s="2410"/>
      <c r="U385" s="2410"/>
      <c r="V385" s="2410"/>
      <c r="W385" s="2410"/>
      <c r="X385" s="2943"/>
      <c r="Y385" s="604"/>
      <c r="Z385" s="992"/>
    </row>
    <row r="386" spans="1:26" s="993" customFormat="1" ht="12" customHeight="1">
      <c r="A386" s="3028"/>
      <c r="B386" s="424" t="s">
        <v>27</v>
      </c>
      <c r="C386" s="425"/>
      <c r="D386" s="2339">
        <f>+D417</f>
        <v>57003</v>
      </c>
      <c r="E386" s="2339">
        <f t="shared" ref="E386:W386" si="413">+E417</f>
        <v>0</v>
      </c>
      <c r="F386" s="2339">
        <f t="shared" si="413"/>
        <v>0</v>
      </c>
      <c r="G386" s="2339">
        <f t="shared" si="413"/>
        <v>0</v>
      </c>
      <c r="H386" s="2339">
        <f t="shared" si="413"/>
        <v>0</v>
      </c>
      <c r="I386" s="2339">
        <f t="shared" si="413"/>
        <v>0</v>
      </c>
      <c r="J386" s="2339">
        <f t="shared" si="413"/>
        <v>0</v>
      </c>
      <c r="K386" s="2339">
        <f t="shared" si="413"/>
        <v>22878</v>
      </c>
      <c r="L386" s="2339">
        <f t="shared" si="413"/>
        <v>34125</v>
      </c>
      <c r="M386" s="2339">
        <f t="shared" si="413"/>
        <v>57003</v>
      </c>
      <c r="N386" s="2339">
        <f t="shared" si="413"/>
        <v>0</v>
      </c>
      <c r="O386" s="2339">
        <f t="shared" si="413"/>
        <v>0</v>
      </c>
      <c r="P386" s="2339">
        <f t="shared" si="413"/>
        <v>0</v>
      </c>
      <c r="Q386" s="2339">
        <f t="shared" si="413"/>
        <v>0</v>
      </c>
      <c r="R386" s="2339">
        <f t="shared" si="413"/>
        <v>0</v>
      </c>
      <c r="S386" s="2339">
        <f t="shared" si="413"/>
        <v>0</v>
      </c>
      <c r="T386" s="2339">
        <f t="shared" si="413"/>
        <v>0</v>
      </c>
      <c r="U386" s="2339">
        <f t="shared" si="413"/>
        <v>0</v>
      </c>
      <c r="V386" s="2339">
        <f t="shared" si="413"/>
        <v>0</v>
      </c>
      <c r="W386" s="2339">
        <f t="shared" si="413"/>
        <v>0</v>
      </c>
      <c r="X386" s="2943"/>
      <c r="Y386" s="604"/>
      <c r="Z386" s="992"/>
    </row>
    <row r="387" spans="1:26" s="993" customFormat="1" ht="12.75" customHeight="1">
      <c r="A387" s="3028"/>
      <c r="B387" s="605" t="s">
        <v>30</v>
      </c>
      <c r="C387" s="606"/>
      <c r="D387" s="607">
        <f>+D388</f>
        <v>32901103</v>
      </c>
      <c r="E387" s="607">
        <f t="shared" ref="E387:T387" si="414">+E388</f>
        <v>0</v>
      </c>
      <c r="F387" s="607">
        <f t="shared" si="414"/>
        <v>0</v>
      </c>
      <c r="G387" s="607">
        <f t="shared" si="414"/>
        <v>0</v>
      </c>
      <c r="H387" s="607">
        <f t="shared" si="414"/>
        <v>0</v>
      </c>
      <c r="I387" s="607">
        <f t="shared" si="414"/>
        <v>0</v>
      </c>
      <c r="J387" s="607">
        <f>+J388</f>
        <v>0</v>
      </c>
      <c r="K387" s="607">
        <f t="shared" si="414"/>
        <v>0</v>
      </c>
      <c r="L387" s="607">
        <f t="shared" si="414"/>
        <v>0</v>
      </c>
      <c r="M387" s="607">
        <f t="shared" si="414"/>
        <v>0</v>
      </c>
      <c r="N387" s="607">
        <f t="shared" si="414"/>
        <v>0</v>
      </c>
      <c r="O387" s="607">
        <f t="shared" si="414"/>
        <v>0</v>
      </c>
      <c r="P387" s="607">
        <f t="shared" si="414"/>
        <v>0</v>
      </c>
      <c r="Q387" s="607">
        <f t="shared" si="414"/>
        <v>13806204</v>
      </c>
      <c r="R387" s="607">
        <f t="shared" si="414"/>
        <v>9554405</v>
      </c>
      <c r="S387" s="607">
        <f t="shared" si="414"/>
        <v>6558936</v>
      </c>
      <c r="T387" s="607">
        <f t="shared" si="414"/>
        <v>2981558</v>
      </c>
      <c r="U387" s="607">
        <f t="shared" ref="U387:W387" si="415">+U388</f>
        <v>0</v>
      </c>
      <c r="V387" s="607">
        <f t="shared" si="415"/>
        <v>0</v>
      </c>
      <c r="W387" s="607">
        <f t="shared" si="415"/>
        <v>0</v>
      </c>
      <c r="X387" s="2943"/>
      <c r="Y387" s="2656"/>
      <c r="Z387" s="992"/>
    </row>
    <row r="388" spans="1:26" s="993" customFormat="1" ht="13.5" customHeight="1" thickBot="1">
      <c r="A388" s="3029"/>
      <c r="B388" s="608" t="s">
        <v>32</v>
      </c>
      <c r="C388" s="609"/>
      <c r="D388" s="610">
        <f>+D397+D407+D470+D419+D428+D437+D446+D455</f>
        <v>32901103</v>
      </c>
      <c r="E388" s="610">
        <f t="shared" ref="E388:W388" si="416">+E397+E407+E470+E419+E428+E437+E446+E455</f>
        <v>0</v>
      </c>
      <c r="F388" s="610">
        <f t="shared" si="416"/>
        <v>0</v>
      </c>
      <c r="G388" s="610">
        <f t="shared" si="416"/>
        <v>0</v>
      </c>
      <c r="H388" s="610">
        <f t="shared" si="416"/>
        <v>0</v>
      </c>
      <c r="I388" s="610">
        <f t="shared" si="416"/>
        <v>0</v>
      </c>
      <c r="J388" s="610">
        <f t="shared" si="416"/>
        <v>0</v>
      </c>
      <c r="K388" s="610">
        <f t="shared" si="416"/>
        <v>0</v>
      </c>
      <c r="L388" s="610">
        <f t="shared" si="416"/>
        <v>0</v>
      </c>
      <c r="M388" s="610">
        <f t="shared" si="416"/>
        <v>0</v>
      </c>
      <c r="N388" s="610">
        <f t="shared" si="416"/>
        <v>0</v>
      </c>
      <c r="O388" s="610">
        <f t="shared" si="416"/>
        <v>0</v>
      </c>
      <c r="P388" s="610">
        <f t="shared" si="416"/>
        <v>0</v>
      </c>
      <c r="Q388" s="610">
        <f t="shared" si="416"/>
        <v>13806204</v>
      </c>
      <c r="R388" s="610">
        <f t="shared" si="416"/>
        <v>9554405</v>
      </c>
      <c r="S388" s="610">
        <f t="shared" si="416"/>
        <v>6558936</v>
      </c>
      <c r="T388" s="610">
        <f t="shared" si="416"/>
        <v>2981558</v>
      </c>
      <c r="U388" s="610">
        <f t="shared" si="416"/>
        <v>0</v>
      </c>
      <c r="V388" s="610">
        <f t="shared" si="416"/>
        <v>0</v>
      </c>
      <c r="W388" s="610">
        <f t="shared" si="416"/>
        <v>0</v>
      </c>
      <c r="X388" s="2944"/>
      <c r="Y388" s="611"/>
      <c r="Z388" s="992">
        <f>D388-D383</f>
        <v>0</v>
      </c>
    </row>
    <row r="389" spans="1:26" hidden="1">
      <c r="A389" s="2986"/>
      <c r="B389" s="1073"/>
      <c r="C389" s="434" t="s">
        <v>98</v>
      </c>
      <c r="D389" s="617"/>
      <c r="E389" s="436"/>
      <c r="F389" s="437"/>
      <c r="G389" s="437"/>
      <c r="H389" s="436"/>
      <c r="I389" s="436"/>
      <c r="J389" s="436"/>
      <c r="K389" s="436"/>
      <c r="L389" s="436"/>
      <c r="M389" s="436"/>
      <c r="N389" s="436"/>
      <c r="O389" s="436"/>
      <c r="P389" s="438"/>
      <c r="Q389" s="438"/>
      <c r="R389" s="438"/>
      <c r="S389" s="1085"/>
      <c r="T389" s="437"/>
      <c r="U389" s="1085"/>
      <c r="V389" s="1085"/>
      <c r="W389" s="1085"/>
      <c r="X389" s="1086"/>
      <c r="Y389" s="2969" t="s">
        <v>121</v>
      </c>
    </row>
    <row r="390" spans="1:26" hidden="1">
      <c r="A390" s="2987"/>
      <c r="B390" s="374" t="s">
        <v>22</v>
      </c>
      <c r="C390" s="375"/>
      <c r="D390" s="612">
        <f>+D391+D393</f>
        <v>0</v>
      </c>
      <c r="E390" s="612">
        <f t="shared" ref="E390:P390" si="417">+E391+E393</f>
        <v>0</v>
      </c>
      <c r="F390" s="612">
        <f t="shared" si="417"/>
        <v>0</v>
      </c>
      <c r="G390" s="612">
        <f t="shared" si="417"/>
        <v>0</v>
      </c>
      <c r="H390" s="612">
        <f t="shared" si="417"/>
        <v>0</v>
      </c>
      <c r="I390" s="612">
        <f t="shared" si="417"/>
        <v>0</v>
      </c>
      <c r="J390" s="612">
        <f t="shared" si="417"/>
        <v>0</v>
      </c>
      <c r="K390" s="612">
        <f t="shared" si="417"/>
        <v>0</v>
      </c>
      <c r="L390" s="612">
        <f t="shared" si="417"/>
        <v>0</v>
      </c>
      <c r="M390" s="612">
        <f t="shared" ref="M390" si="418">+M391+M393</f>
        <v>0</v>
      </c>
      <c r="N390" s="612">
        <f t="shared" si="417"/>
        <v>0</v>
      </c>
      <c r="O390" s="612">
        <f t="shared" si="417"/>
        <v>0</v>
      </c>
      <c r="P390" s="612">
        <f t="shared" si="417"/>
        <v>0</v>
      </c>
      <c r="Q390" s="612"/>
      <c r="R390" s="612"/>
      <c r="S390" s="612"/>
      <c r="T390" s="612"/>
      <c r="U390" s="612"/>
      <c r="V390" s="612"/>
      <c r="W390" s="612"/>
      <c r="X390" s="480">
        <f>+X391+X393</f>
        <v>0</v>
      </c>
      <c r="Y390" s="2970"/>
    </row>
    <row r="391" spans="1:26" hidden="1">
      <c r="A391" s="2987"/>
      <c r="B391" s="526" t="s">
        <v>36</v>
      </c>
      <c r="C391" s="2978" t="s">
        <v>101</v>
      </c>
      <c r="D391" s="615">
        <f>+D392</f>
        <v>0</v>
      </c>
      <c r="E391" s="615">
        <f t="shared" ref="E391:P391" si="419">+E392</f>
        <v>0</v>
      </c>
      <c r="F391" s="615">
        <f t="shared" si="419"/>
        <v>0</v>
      </c>
      <c r="G391" s="615">
        <f t="shared" si="419"/>
        <v>0</v>
      </c>
      <c r="H391" s="615">
        <f t="shared" si="419"/>
        <v>0</v>
      </c>
      <c r="I391" s="615">
        <f t="shared" si="419"/>
        <v>0</v>
      </c>
      <c r="J391" s="615">
        <f t="shared" si="419"/>
        <v>0</v>
      </c>
      <c r="K391" s="615">
        <f t="shared" si="419"/>
        <v>0</v>
      </c>
      <c r="L391" s="615">
        <f t="shared" si="419"/>
        <v>0</v>
      </c>
      <c r="M391" s="615">
        <f t="shared" si="419"/>
        <v>0</v>
      </c>
      <c r="N391" s="615">
        <f t="shared" si="419"/>
        <v>0</v>
      </c>
      <c r="O391" s="615">
        <f t="shared" si="419"/>
        <v>0</v>
      </c>
      <c r="P391" s="615">
        <f t="shared" si="419"/>
        <v>0</v>
      </c>
      <c r="Q391" s="615"/>
      <c r="R391" s="615"/>
      <c r="S391" s="615"/>
      <c r="T391" s="615"/>
      <c r="U391" s="615"/>
      <c r="V391" s="615"/>
      <c r="W391" s="615"/>
      <c r="X391" s="502">
        <f>+X392</f>
        <v>0</v>
      </c>
      <c r="Y391" s="2970"/>
    </row>
    <row r="392" spans="1:26" hidden="1">
      <c r="A392" s="2987"/>
      <c r="B392" s="527" t="s">
        <v>24</v>
      </c>
      <c r="C392" s="2983"/>
      <c r="D392" s="449">
        <f t="shared" ref="D392" si="420">M392+O392+P392+Q392+R392+S392+T392+U392+V392+W392</f>
        <v>0</v>
      </c>
      <c r="E392" s="456">
        <f>+F392+G392+H392</f>
        <v>0</v>
      </c>
      <c r="F392" s="530">
        <v>0</v>
      </c>
      <c r="G392" s="530">
        <v>0</v>
      </c>
      <c r="H392" s="530">
        <v>0</v>
      </c>
      <c r="I392" s="530"/>
      <c r="J392" s="530"/>
      <c r="K392" s="530"/>
      <c r="L392" s="530">
        <f>47545-47545</f>
        <v>0</v>
      </c>
      <c r="M392" s="450">
        <f>+E392+I392+J392+K392+L392+N392</f>
        <v>0</v>
      </c>
      <c r="N392" s="530">
        <f>57803-57803</f>
        <v>0</v>
      </c>
      <c r="O392" s="530"/>
      <c r="P392" s="530">
        <v>0</v>
      </c>
      <c r="Q392" s="530"/>
      <c r="R392" s="530"/>
      <c r="S392" s="530"/>
      <c r="T392" s="530"/>
      <c r="U392" s="530"/>
      <c r="V392" s="530"/>
      <c r="W392" s="530"/>
      <c r="X392" s="409">
        <f>SUM(P392:T392)</f>
        <v>0</v>
      </c>
      <c r="Y392" s="2970"/>
    </row>
    <row r="393" spans="1:26" ht="12.75" hidden="1" customHeight="1">
      <c r="A393" s="2987"/>
      <c r="B393" s="518" t="s">
        <v>30</v>
      </c>
      <c r="C393" s="2983"/>
      <c r="D393" s="459">
        <f>+D394</f>
        <v>0</v>
      </c>
      <c r="E393" s="459">
        <f t="shared" ref="E393:P393" si="421">+E394</f>
        <v>0</v>
      </c>
      <c r="F393" s="459">
        <f t="shared" si="421"/>
        <v>0</v>
      </c>
      <c r="G393" s="459">
        <f t="shared" si="421"/>
        <v>0</v>
      </c>
      <c r="H393" s="459">
        <f t="shared" si="421"/>
        <v>0</v>
      </c>
      <c r="I393" s="459">
        <f t="shared" si="421"/>
        <v>0</v>
      </c>
      <c r="J393" s="459">
        <f t="shared" si="421"/>
        <v>0</v>
      </c>
      <c r="K393" s="459">
        <f t="shared" si="421"/>
        <v>0</v>
      </c>
      <c r="L393" s="459">
        <f t="shared" si="421"/>
        <v>0</v>
      </c>
      <c r="M393" s="459">
        <f t="shared" si="421"/>
        <v>0</v>
      </c>
      <c r="N393" s="459">
        <f t="shared" si="421"/>
        <v>0</v>
      </c>
      <c r="O393" s="459">
        <f t="shared" si="421"/>
        <v>0</v>
      </c>
      <c r="P393" s="459">
        <f t="shared" si="421"/>
        <v>0</v>
      </c>
      <c r="Q393" s="459"/>
      <c r="R393" s="459"/>
      <c r="S393" s="459"/>
      <c r="T393" s="459"/>
      <c r="U393" s="459"/>
      <c r="V393" s="459"/>
      <c r="W393" s="459"/>
      <c r="X393" s="502">
        <f>+X394</f>
        <v>0</v>
      </c>
      <c r="Y393" s="2970"/>
    </row>
    <row r="394" spans="1:26" hidden="1">
      <c r="A394" s="2987"/>
      <c r="B394" s="463" t="s">
        <v>338</v>
      </c>
      <c r="C394" s="3086"/>
      <c r="D394" s="449">
        <f t="shared" ref="D394" si="422">M394+O394+P394+Q394+R394+S394+T394+U394+V394+W394</f>
        <v>0</v>
      </c>
      <c r="E394" s="456">
        <f>+F394+G394+H394</f>
        <v>0</v>
      </c>
      <c r="F394" s="454">
        <v>0</v>
      </c>
      <c r="G394" s="454">
        <v>0</v>
      </c>
      <c r="H394" s="454">
        <v>0</v>
      </c>
      <c r="I394" s="530"/>
      <c r="J394" s="530"/>
      <c r="K394" s="530">
        <v>0</v>
      </c>
      <c r="L394" s="530">
        <v>0</v>
      </c>
      <c r="M394" s="450"/>
      <c r="N394" s="530">
        <v>0</v>
      </c>
      <c r="O394" s="530">
        <v>0</v>
      </c>
      <c r="P394" s="530"/>
      <c r="Q394" s="530"/>
      <c r="R394" s="530"/>
      <c r="S394" s="530"/>
      <c r="T394" s="530"/>
      <c r="U394" s="530"/>
      <c r="V394" s="530"/>
      <c r="W394" s="530"/>
      <c r="X394" s="409">
        <f>SUM(P394:T394)</f>
        <v>0</v>
      </c>
      <c r="Y394" s="3085"/>
      <c r="Z394" s="843"/>
    </row>
    <row r="395" spans="1:26" s="988" customFormat="1" ht="10.5" hidden="1" customHeight="1">
      <c r="A395" s="2988"/>
      <c r="B395" s="374" t="s">
        <v>34</v>
      </c>
      <c r="C395" s="375"/>
      <c r="D395" s="464">
        <f>+D396</f>
        <v>0</v>
      </c>
      <c r="E395" s="464">
        <f t="shared" ref="E395:P396" si="423">+E396</f>
        <v>0</v>
      </c>
      <c r="F395" s="464">
        <f t="shared" si="423"/>
        <v>0</v>
      </c>
      <c r="G395" s="464">
        <f t="shared" si="423"/>
        <v>0</v>
      </c>
      <c r="H395" s="464">
        <f t="shared" si="423"/>
        <v>0</v>
      </c>
      <c r="I395" s="464">
        <f t="shared" si="423"/>
        <v>0</v>
      </c>
      <c r="J395" s="464">
        <f t="shared" si="423"/>
        <v>0</v>
      </c>
      <c r="K395" s="464">
        <f t="shared" si="423"/>
        <v>0</v>
      </c>
      <c r="L395" s="464">
        <f t="shared" si="423"/>
        <v>0</v>
      </c>
      <c r="M395" s="464">
        <f t="shared" si="423"/>
        <v>0</v>
      </c>
      <c r="N395" s="464">
        <f t="shared" si="423"/>
        <v>0</v>
      </c>
      <c r="O395" s="464">
        <f t="shared" si="423"/>
        <v>0</v>
      </c>
      <c r="P395" s="464">
        <f t="shared" si="423"/>
        <v>0</v>
      </c>
      <c r="Q395" s="464"/>
      <c r="R395" s="464"/>
      <c r="S395" s="464"/>
      <c r="T395" s="464"/>
      <c r="U395" s="464"/>
      <c r="V395" s="464"/>
      <c r="W395" s="464"/>
      <c r="X395" s="2942" t="s">
        <v>35</v>
      </c>
      <c r="Y395" s="3035" t="s">
        <v>122</v>
      </c>
    </row>
    <row r="396" spans="1:26" s="990" customFormat="1" ht="12.75" hidden="1" customHeight="1">
      <c r="A396" s="2988"/>
      <c r="B396" s="518" t="s">
        <v>30</v>
      </c>
      <c r="C396" s="2978" t="s">
        <v>101</v>
      </c>
      <c r="D396" s="511">
        <f>+D397</f>
        <v>0</v>
      </c>
      <c r="E396" s="511">
        <f t="shared" si="423"/>
        <v>0</v>
      </c>
      <c r="F396" s="511">
        <f t="shared" si="423"/>
        <v>0</v>
      </c>
      <c r="G396" s="511">
        <f t="shared" si="423"/>
        <v>0</v>
      </c>
      <c r="H396" s="511">
        <f t="shared" si="423"/>
        <v>0</v>
      </c>
      <c r="I396" s="511">
        <f t="shared" si="423"/>
        <v>0</v>
      </c>
      <c r="J396" s="536">
        <f t="shared" si="423"/>
        <v>0</v>
      </c>
      <c r="K396" s="536">
        <f t="shared" si="423"/>
        <v>0</v>
      </c>
      <c r="L396" s="536">
        <f t="shared" si="423"/>
        <v>0</v>
      </c>
      <c r="M396" s="536">
        <f t="shared" si="423"/>
        <v>0</v>
      </c>
      <c r="N396" s="511">
        <f t="shared" si="423"/>
        <v>0</v>
      </c>
      <c r="O396" s="536">
        <f t="shared" si="423"/>
        <v>0</v>
      </c>
      <c r="P396" s="511">
        <f t="shared" si="423"/>
        <v>0</v>
      </c>
      <c r="Q396" s="511"/>
      <c r="R396" s="511"/>
      <c r="S396" s="511"/>
      <c r="T396" s="511"/>
      <c r="U396" s="511"/>
      <c r="V396" s="511"/>
      <c r="W396" s="511"/>
      <c r="X396" s="2943"/>
      <c r="Y396" s="3033"/>
    </row>
    <row r="397" spans="1:26" s="988" customFormat="1" ht="12" hidden="1" customHeight="1" thickBot="1">
      <c r="A397" s="2989"/>
      <c r="B397" s="573" t="s">
        <v>32</v>
      </c>
      <c r="C397" s="2995"/>
      <c r="D397" s="449">
        <f t="shared" ref="D397" si="424">M397+O397+P397+Q397+R397+S397+T397+U397+V397+W397</f>
        <v>0</v>
      </c>
      <c r="E397" s="492">
        <f>+F397+G397+H397</f>
        <v>0</v>
      </c>
      <c r="F397" s="555">
        <v>0</v>
      </c>
      <c r="G397" s="556">
        <v>0</v>
      </c>
      <c r="H397" s="557">
        <v>0</v>
      </c>
      <c r="I397" s="1068">
        <v>0</v>
      </c>
      <c r="J397" s="556"/>
      <c r="K397" s="556"/>
      <c r="L397" s="556"/>
      <c r="M397" s="450">
        <f>+E397+I397+J397+K397+L397+N397</f>
        <v>0</v>
      </c>
      <c r="N397" s="555">
        <v>0</v>
      </c>
      <c r="O397" s="556">
        <v>0</v>
      </c>
      <c r="P397" s="556">
        <v>0</v>
      </c>
      <c r="Q397" s="556"/>
      <c r="R397" s="556"/>
      <c r="S397" s="556"/>
      <c r="T397" s="556"/>
      <c r="U397" s="556"/>
      <c r="V397" s="556"/>
      <c r="W397" s="556"/>
      <c r="X397" s="2944"/>
      <c r="Y397" s="3034"/>
    </row>
    <row r="398" spans="1:26" s="988" customFormat="1" ht="20.25" customHeight="1" thickBot="1">
      <c r="A398" s="1087"/>
      <c r="B398" s="1060" t="s">
        <v>339</v>
      </c>
      <c r="C398" s="781"/>
      <c r="D398" s="1088"/>
      <c r="E398" s="782"/>
      <c r="F398" s="1089"/>
      <c r="G398" s="1089"/>
      <c r="H398" s="1090"/>
      <c r="I398" s="1091"/>
      <c r="J398" s="778"/>
      <c r="K398" s="778"/>
      <c r="L398" s="778"/>
      <c r="M398" s="779"/>
      <c r="N398" s="1089"/>
      <c r="O398" s="778"/>
      <c r="P398" s="1092"/>
      <c r="Q398" s="1092"/>
      <c r="R398" s="1092"/>
      <c r="S398" s="777"/>
      <c r="T398" s="1089"/>
      <c r="U398" s="777"/>
      <c r="V398" s="777"/>
      <c r="W398" s="777"/>
      <c r="X398" s="1093"/>
      <c r="Y398" s="1094"/>
    </row>
    <row r="399" spans="1:26" ht="28.5" customHeight="1">
      <c r="A399" s="2986" t="s">
        <v>313</v>
      </c>
      <c r="B399" s="1073" t="s">
        <v>637</v>
      </c>
      <c r="C399" s="434" t="s">
        <v>98</v>
      </c>
      <c r="D399" s="617"/>
      <c r="E399" s="436"/>
      <c r="F399" s="437"/>
      <c r="G399" s="437"/>
      <c r="H399" s="436"/>
      <c r="I399" s="436"/>
      <c r="J399" s="436"/>
      <c r="K399" s="436"/>
      <c r="L399" s="436"/>
      <c r="M399" s="436"/>
      <c r="N399" s="436"/>
      <c r="O399" s="436"/>
      <c r="P399" s="438"/>
      <c r="Q399" s="438"/>
      <c r="R399" s="438"/>
      <c r="S399" s="916"/>
      <c r="T399" s="437"/>
      <c r="U399" s="916"/>
      <c r="V399" s="916"/>
      <c r="W399" s="916"/>
      <c r="X399" s="477"/>
      <c r="Y399" s="2969" t="s">
        <v>104</v>
      </c>
      <c r="Z399" s="1283" t="s">
        <v>515</v>
      </c>
    </row>
    <row r="400" spans="1:26">
      <c r="A400" s="2987"/>
      <c r="B400" s="374" t="s">
        <v>22</v>
      </c>
      <c r="C400" s="375"/>
      <c r="D400" s="1950">
        <f>+D401+D403</f>
        <v>9000000</v>
      </c>
      <c r="E400" s="1950">
        <f t="shared" ref="E400:P400" si="425">+E401+E403</f>
        <v>0</v>
      </c>
      <c r="F400" s="1950">
        <f t="shared" si="425"/>
        <v>0</v>
      </c>
      <c r="G400" s="1950">
        <f t="shared" si="425"/>
        <v>0</v>
      </c>
      <c r="H400" s="1950">
        <f t="shared" si="425"/>
        <v>0</v>
      </c>
      <c r="I400" s="1950">
        <f t="shared" si="425"/>
        <v>0</v>
      </c>
      <c r="J400" s="1950">
        <f t="shared" si="425"/>
        <v>0</v>
      </c>
      <c r="K400" s="1950">
        <f t="shared" si="425"/>
        <v>0</v>
      </c>
      <c r="L400" s="1950">
        <f t="shared" si="425"/>
        <v>0</v>
      </c>
      <c r="M400" s="1950">
        <f t="shared" si="425"/>
        <v>0</v>
      </c>
      <c r="N400" s="1950">
        <f t="shared" si="425"/>
        <v>0</v>
      </c>
      <c r="O400" s="1950">
        <f t="shared" si="425"/>
        <v>0</v>
      </c>
      <c r="P400" s="1950">
        <f t="shared" si="425"/>
        <v>1680000</v>
      </c>
      <c r="Q400" s="1950">
        <f t="shared" ref="Q400" si="426">+Q401+Q403</f>
        <v>7320000</v>
      </c>
      <c r="R400" s="1950"/>
      <c r="S400" s="1950"/>
      <c r="T400" s="1950"/>
      <c r="U400" s="1950"/>
      <c r="V400" s="1950"/>
      <c r="W400" s="1950"/>
      <c r="X400" s="1544">
        <f>+X401+X403</f>
        <v>9000000</v>
      </c>
      <c r="Y400" s="2970"/>
    </row>
    <row r="401" spans="1:26">
      <c r="A401" s="2987"/>
      <c r="B401" s="526" t="s">
        <v>36</v>
      </c>
      <c r="C401" s="3024" t="s">
        <v>101</v>
      </c>
      <c r="D401" s="1951">
        <f>+D402</f>
        <v>2152942</v>
      </c>
      <c r="E401" s="1951">
        <f t="shared" ref="E401:Q401" si="427">+E402</f>
        <v>0</v>
      </c>
      <c r="F401" s="1951">
        <f t="shared" si="427"/>
        <v>0</v>
      </c>
      <c r="G401" s="1951">
        <f t="shared" si="427"/>
        <v>0</v>
      </c>
      <c r="H401" s="1951">
        <f t="shared" si="427"/>
        <v>0</v>
      </c>
      <c r="I401" s="1951">
        <f t="shared" si="427"/>
        <v>0</v>
      </c>
      <c r="J401" s="1951">
        <f t="shared" si="427"/>
        <v>0</v>
      </c>
      <c r="K401" s="1951">
        <f t="shared" si="427"/>
        <v>0</v>
      </c>
      <c r="L401" s="1951">
        <f t="shared" si="427"/>
        <v>0</v>
      </c>
      <c r="M401" s="1951">
        <f t="shared" si="427"/>
        <v>0</v>
      </c>
      <c r="N401" s="1951">
        <f t="shared" si="427"/>
        <v>0</v>
      </c>
      <c r="O401" s="1951">
        <f t="shared" si="427"/>
        <v>0</v>
      </c>
      <c r="P401" s="1951">
        <f t="shared" si="427"/>
        <v>409318</v>
      </c>
      <c r="Q401" s="1951">
        <f t="shared" si="427"/>
        <v>1743624</v>
      </c>
      <c r="R401" s="1951"/>
      <c r="S401" s="1951"/>
      <c r="T401" s="1951"/>
      <c r="U401" s="1951"/>
      <c r="V401" s="1951"/>
      <c r="W401" s="1951"/>
      <c r="X401" s="1929">
        <f>+X402</f>
        <v>2152942</v>
      </c>
      <c r="Y401" s="2970"/>
    </row>
    <row r="402" spans="1:26">
      <c r="A402" s="2987"/>
      <c r="B402" s="527" t="s">
        <v>24</v>
      </c>
      <c r="C402" s="2983"/>
      <c r="D402" s="1930">
        <f>M402+O402+P402+Q402+R402+S402+T402+U402+V402+W402</f>
        <v>2152942</v>
      </c>
      <c r="E402" s="1548">
        <f>+F402+G402+H402</f>
        <v>0</v>
      </c>
      <c r="F402" s="1933">
        <v>0</v>
      </c>
      <c r="G402" s="1933">
        <v>0</v>
      </c>
      <c r="H402" s="1933">
        <v>0</v>
      </c>
      <c r="I402" s="1933"/>
      <c r="J402" s="1933"/>
      <c r="K402" s="1933"/>
      <c r="L402" s="1933">
        <f>47545-47545</f>
        <v>0</v>
      </c>
      <c r="M402" s="1932">
        <f>+E402+I402+J402+K402+L402+N402</f>
        <v>0</v>
      </c>
      <c r="N402" s="1933">
        <f>57803-57803</f>
        <v>0</v>
      </c>
      <c r="O402" s="1933"/>
      <c r="P402" s="1933">
        <f>9000000-8590682</f>
        <v>409318</v>
      </c>
      <c r="Q402" s="1933">
        <v>1743624</v>
      </c>
      <c r="R402" s="1933"/>
      <c r="S402" s="1933"/>
      <c r="T402" s="1933"/>
      <c r="U402" s="1933"/>
      <c r="V402" s="1933"/>
      <c r="W402" s="1933"/>
      <c r="X402" s="1934">
        <f>SUM(P402:T402)</f>
        <v>2152942</v>
      </c>
      <c r="Y402" s="2970"/>
    </row>
    <row r="403" spans="1:26">
      <c r="A403" s="2987"/>
      <c r="B403" s="518" t="s">
        <v>30</v>
      </c>
      <c r="C403" s="2983"/>
      <c r="D403" s="1935">
        <f>+D404</f>
        <v>6847058</v>
      </c>
      <c r="E403" s="1935">
        <f t="shared" ref="E403:Q403" si="428">+E404</f>
        <v>0</v>
      </c>
      <c r="F403" s="1935">
        <f t="shared" si="428"/>
        <v>0</v>
      </c>
      <c r="G403" s="1935">
        <f t="shared" si="428"/>
        <v>0</v>
      </c>
      <c r="H403" s="1935">
        <f t="shared" si="428"/>
        <v>0</v>
      </c>
      <c r="I403" s="1935">
        <f t="shared" si="428"/>
        <v>0</v>
      </c>
      <c r="J403" s="1935">
        <f t="shared" si="428"/>
        <v>0</v>
      </c>
      <c r="K403" s="1935">
        <f t="shared" si="428"/>
        <v>0</v>
      </c>
      <c r="L403" s="1935">
        <f t="shared" si="428"/>
        <v>0</v>
      </c>
      <c r="M403" s="1935">
        <f t="shared" si="428"/>
        <v>0</v>
      </c>
      <c r="N403" s="1935">
        <f t="shared" si="428"/>
        <v>0</v>
      </c>
      <c r="O403" s="1935">
        <f t="shared" si="428"/>
        <v>0</v>
      </c>
      <c r="P403" s="1935">
        <f t="shared" si="428"/>
        <v>1270682</v>
      </c>
      <c r="Q403" s="1935">
        <f t="shared" si="428"/>
        <v>5576376</v>
      </c>
      <c r="R403" s="1935"/>
      <c r="S403" s="1935"/>
      <c r="T403" s="1935"/>
      <c r="U403" s="1935"/>
      <c r="V403" s="1935"/>
      <c r="W403" s="1935"/>
      <c r="X403" s="1929">
        <f>+X404</f>
        <v>6847058</v>
      </c>
      <c r="Y403" s="2970"/>
    </row>
    <row r="404" spans="1:26">
      <c r="A404" s="2987"/>
      <c r="B404" s="1952" t="s">
        <v>338</v>
      </c>
      <c r="C404" s="3086"/>
      <c r="D404" s="1930">
        <f>M404+O404+P404+Q404+R404+S404+T404+U404+V404+W404</f>
        <v>6847058</v>
      </c>
      <c r="E404" s="1548">
        <f>+F404+G404+H404</f>
        <v>0</v>
      </c>
      <c r="F404" s="1937">
        <v>0</v>
      </c>
      <c r="G404" s="1937">
        <v>0</v>
      </c>
      <c r="H404" s="1937">
        <v>0</v>
      </c>
      <c r="I404" s="1933"/>
      <c r="J404" s="1933"/>
      <c r="K404" s="1933">
        <v>0</v>
      </c>
      <c r="L404" s="1933">
        <v>0</v>
      </c>
      <c r="M404" s="1932">
        <f>+E404+I404+J404+K404+L404+N404</f>
        <v>0</v>
      </c>
      <c r="N404" s="1933">
        <v>0</v>
      </c>
      <c r="O404" s="1933">
        <v>0</v>
      </c>
      <c r="P404" s="1933">
        <v>1270682</v>
      </c>
      <c r="Q404" s="1933">
        <v>5576376</v>
      </c>
      <c r="R404" s="1933"/>
      <c r="S404" s="1933"/>
      <c r="T404" s="1933"/>
      <c r="U404" s="1933"/>
      <c r="V404" s="1933"/>
      <c r="W404" s="1933"/>
      <c r="X404" s="1934">
        <f>SUM(P404:T404)</f>
        <v>6847058</v>
      </c>
      <c r="Y404" s="3085"/>
      <c r="Z404" s="843"/>
    </row>
    <row r="405" spans="1:26" s="988" customFormat="1">
      <c r="A405" s="2988"/>
      <c r="B405" s="374" t="s">
        <v>34</v>
      </c>
      <c r="C405" s="375"/>
      <c r="D405" s="1940">
        <f>+D406</f>
        <v>6847058</v>
      </c>
      <c r="E405" s="1940">
        <f t="shared" ref="E405:R406" si="429">+E406</f>
        <v>0</v>
      </c>
      <c r="F405" s="1940">
        <f t="shared" si="429"/>
        <v>0</v>
      </c>
      <c r="G405" s="1940">
        <f t="shared" si="429"/>
        <v>0</v>
      </c>
      <c r="H405" s="1940">
        <f t="shared" si="429"/>
        <v>0</v>
      </c>
      <c r="I405" s="1940">
        <f t="shared" si="429"/>
        <v>0</v>
      </c>
      <c r="J405" s="1940">
        <f t="shared" si="429"/>
        <v>0</v>
      </c>
      <c r="K405" s="1940">
        <f t="shared" si="429"/>
        <v>0</v>
      </c>
      <c r="L405" s="1940">
        <f t="shared" si="429"/>
        <v>0</v>
      </c>
      <c r="M405" s="1940">
        <f t="shared" si="429"/>
        <v>0</v>
      </c>
      <c r="N405" s="1940">
        <f t="shared" si="429"/>
        <v>0</v>
      </c>
      <c r="O405" s="1940">
        <f t="shared" si="429"/>
        <v>0</v>
      </c>
      <c r="P405" s="1940">
        <f t="shared" si="429"/>
        <v>0</v>
      </c>
      <c r="Q405" s="1940">
        <f t="shared" si="429"/>
        <v>3985934</v>
      </c>
      <c r="R405" s="1940">
        <f t="shared" si="429"/>
        <v>2861124</v>
      </c>
      <c r="S405" s="1940"/>
      <c r="T405" s="1940"/>
      <c r="U405" s="1940"/>
      <c r="V405" s="1940"/>
      <c r="W405" s="1940"/>
      <c r="X405" s="2959" t="s">
        <v>35</v>
      </c>
      <c r="Y405" s="3045" t="s">
        <v>122</v>
      </c>
      <c r="Z405" s="987">
        <f>D405-'[3]Tab. 6A -Drogi'!$D$350</f>
        <v>-802942</v>
      </c>
    </row>
    <row r="406" spans="1:26" s="990" customFormat="1" ht="12.75" customHeight="1">
      <c r="A406" s="2988"/>
      <c r="B406" s="518" t="s">
        <v>30</v>
      </c>
      <c r="C406" s="3024" t="s">
        <v>101</v>
      </c>
      <c r="D406" s="1942">
        <f>+D407</f>
        <v>6847058</v>
      </c>
      <c r="E406" s="1942">
        <f t="shared" si="429"/>
        <v>0</v>
      </c>
      <c r="F406" s="1942">
        <f t="shared" si="429"/>
        <v>0</v>
      </c>
      <c r="G406" s="1942">
        <f t="shared" si="429"/>
        <v>0</v>
      </c>
      <c r="H406" s="1942">
        <f t="shared" si="429"/>
        <v>0</v>
      </c>
      <c r="I406" s="1942">
        <f t="shared" si="429"/>
        <v>0</v>
      </c>
      <c r="J406" s="1953">
        <f t="shared" si="429"/>
        <v>0</v>
      </c>
      <c r="K406" s="1953">
        <f t="shared" si="429"/>
        <v>0</v>
      </c>
      <c r="L406" s="1953">
        <f t="shared" si="429"/>
        <v>0</v>
      </c>
      <c r="M406" s="1953">
        <f t="shared" si="429"/>
        <v>0</v>
      </c>
      <c r="N406" s="1942">
        <f t="shared" si="429"/>
        <v>0</v>
      </c>
      <c r="O406" s="1953">
        <f t="shared" si="429"/>
        <v>0</v>
      </c>
      <c r="P406" s="1942">
        <f t="shared" si="429"/>
        <v>0</v>
      </c>
      <c r="Q406" s="1953">
        <f t="shared" si="429"/>
        <v>3985934</v>
      </c>
      <c r="R406" s="1953">
        <f t="shared" si="429"/>
        <v>2861124</v>
      </c>
      <c r="S406" s="1942"/>
      <c r="T406" s="1942"/>
      <c r="U406" s="1942"/>
      <c r="V406" s="1942"/>
      <c r="W406" s="1942"/>
      <c r="X406" s="2943"/>
      <c r="Y406" s="3033"/>
    </row>
    <row r="407" spans="1:26" s="988" customFormat="1" ht="12" customHeight="1" thickBot="1">
      <c r="A407" s="2989"/>
      <c r="B407" s="573" t="s">
        <v>32</v>
      </c>
      <c r="C407" s="2995"/>
      <c r="D407" s="1221">
        <f t="shared" ref="D407" si="430">M407+O407+P407+Q407+R407+S407+T407+U407+V407+W407</f>
        <v>6847058</v>
      </c>
      <c r="E407" s="492">
        <f>+F407+G407+H407</f>
        <v>0</v>
      </c>
      <c r="F407" s="555">
        <v>0</v>
      </c>
      <c r="G407" s="556">
        <v>0</v>
      </c>
      <c r="H407" s="557">
        <v>0</v>
      </c>
      <c r="I407" s="1068">
        <v>0</v>
      </c>
      <c r="J407" s="556"/>
      <c r="K407" s="556">
        <v>0</v>
      </c>
      <c r="L407" s="556"/>
      <c r="M407" s="1221">
        <f>+E407+I407+J407+K407+L407+N407</f>
        <v>0</v>
      </c>
      <c r="N407" s="555">
        <v>0</v>
      </c>
      <c r="O407" s="556">
        <v>0</v>
      </c>
      <c r="P407" s="556">
        <f>2550000-2550000</f>
        <v>0</v>
      </c>
      <c r="Q407" s="556">
        <f>5100000-1114066</f>
        <v>3985934</v>
      </c>
      <c r="R407" s="556">
        <v>2861124</v>
      </c>
      <c r="S407" s="556"/>
      <c r="T407" s="556"/>
      <c r="U407" s="556"/>
      <c r="V407" s="556"/>
      <c r="W407" s="556"/>
      <c r="X407" s="2944"/>
      <c r="Y407" s="3034"/>
    </row>
    <row r="408" spans="1:26" ht="27.75" customHeight="1">
      <c r="A408" s="2986" t="s">
        <v>314</v>
      </c>
      <c r="B408" s="1073" t="s">
        <v>478</v>
      </c>
      <c r="C408" s="434" t="s">
        <v>98</v>
      </c>
      <c r="D408" s="617"/>
      <c r="E408" s="436"/>
      <c r="F408" s="437"/>
      <c r="G408" s="437"/>
      <c r="H408" s="436"/>
      <c r="I408" s="436"/>
      <c r="J408" s="436"/>
      <c r="K408" s="436"/>
      <c r="L408" s="436"/>
      <c r="M408" s="436"/>
      <c r="N408" s="436"/>
      <c r="O408" s="436"/>
      <c r="P408" s="438"/>
      <c r="Q408" s="438"/>
      <c r="R408" s="438"/>
      <c r="S408" s="916"/>
      <c r="T408" s="437"/>
      <c r="U408" s="916"/>
      <c r="V408" s="916"/>
      <c r="W408" s="916"/>
      <c r="X408" s="477"/>
      <c r="Y408" s="2969" t="s">
        <v>104</v>
      </c>
      <c r="Z408" s="1283" t="s">
        <v>515</v>
      </c>
    </row>
    <row r="409" spans="1:26" ht="14.25" customHeight="1">
      <c r="A409" s="2987"/>
      <c r="B409" s="374" t="s">
        <v>22</v>
      </c>
      <c r="C409" s="375"/>
      <c r="D409" s="1950">
        <f>+D410+D413</f>
        <v>8417660</v>
      </c>
      <c r="E409" s="1950">
        <f t="shared" ref="E409:R409" si="431">+E410+E413</f>
        <v>0</v>
      </c>
      <c r="F409" s="1950">
        <f t="shared" si="431"/>
        <v>0</v>
      </c>
      <c r="G409" s="1950">
        <f t="shared" si="431"/>
        <v>0</v>
      </c>
      <c r="H409" s="1950">
        <f t="shared" si="431"/>
        <v>0</v>
      </c>
      <c r="I409" s="1950">
        <f t="shared" si="431"/>
        <v>228400</v>
      </c>
      <c r="J409" s="1950">
        <f t="shared" si="431"/>
        <v>3000</v>
      </c>
      <c r="K409" s="1950">
        <f t="shared" si="431"/>
        <v>22878</v>
      </c>
      <c r="L409" s="1950">
        <f t="shared" si="431"/>
        <v>137917</v>
      </c>
      <c r="M409" s="1950">
        <f>+M410+M413</f>
        <v>395660</v>
      </c>
      <c r="N409" s="1950">
        <f t="shared" si="431"/>
        <v>3465</v>
      </c>
      <c r="O409" s="1950">
        <f t="shared" si="431"/>
        <v>0</v>
      </c>
      <c r="P409" s="1950">
        <f t="shared" si="431"/>
        <v>1344000</v>
      </c>
      <c r="Q409" s="1950">
        <f t="shared" si="431"/>
        <v>6678000</v>
      </c>
      <c r="R409" s="1950">
        <f t="shared" si="431"/>
        <v>0</v>
      </c>
      <c r="S409" s="1950"/>
      <c r="T409" s="1950"/>
      <c r="U409" s="1950"/>
      <c r="V409" s="1950"/>
      <c r="W409" s="1950"/>
      <c r="X409" s="1544">
        <f>+X410+X413</f>
        <v>8022000</v>
      </c>
      <c r="Y409" s="2970"/>
    </row>
    <row r="410" spans="1:26">
      <c r="A410" s="2987"/>
      <c r="B410" s="526" t="s">
        <v>36</v>
      </c>
      <c r="C410" s="3024" t="s">
        <v>101</v>
      </c>
      <c r="D410" s="1951">
        <f>+D411+D412</f>
        <v>2306501</v>
      </c>
      <c r="E410" s="1951">
        <f t="shared" ref="E410:N410" si="432">+E411+E412</f>
        <v>0</v>
      </c>
      <c r="F410" s="1951">
        <f t="shared" si="432"/>
        <v>0</v>
      </c>
      <c r="G410" s="1951">
        <f t="shared" si="432"/>
        <v>0</v>
      </c>
      <c r="H410" s="1951">
        <f t="shared" si="432"/>
        <v>0</v>
      </c>
      <c r="I410" s="1951">
        <f t="shared" si="432"/>
        <v>228400</v>
      </c>
      <c r="J410" s="1951">
        <f t="shared" si="432"/>
        <v>3000</v>
      </c>
      <c r="K410" s="1951">
        <f t="shared" si="432"/>
        <v>22878</v>
      </c>
      <c r="L410" s="1951">
        <f t="shared" si="432"/>
        <v>137917</v>
      </c>
      <c r="M410" s="1951">
        <f>+M411+M412</f>
        <v>395660</v>
      </c>
      <c r="N410" s="615">
        <f t="shared" si="432"/>
        <v>3465</v>
      </c>
      <c r="O410" s="1951">
        <f t="shared" ref="O410:R410" si="433">+O411+O412</f>
        <v>0</v>
      </c>
      <c r="P410" s="1951">
        <f t="shared" si="433"/>
        <v>320141</v>
      </c>
      <c r="Q410" s="1951">
        <f t="shared" si="433"/>
        <v>1590700</v>
      </c>
      <c r="R410" s="1951">
        <f t="shared" si="433"/>
        <v>0</v>
      </c>
      <c r="S410" s="1951"/>
      <c r="T410" s="1951"/>
      <c r="U410" s="1951"/>
      <c r="V410" s="1951"/>
      <c r="W410" s="1951"/>
      <c r="X410" s="1929">
        <f>+X411</f>
        <v>1910841</v>
      </c>
      <c r="Y410" s="2970"/>
    </row>
    <row r="411" spans="1:26">
      <c r="A411" s="2987"/>
      <c r="B411" s="527" t="s">
        <v>24</v>
      </c>
      <c r="C411" s="2983"/>
      <c r="D411" s="1930">
        <f>M411+O411+P411+Q411+R411+S411+T411+U411+V411+W411</f>
        <v>2249498</v>
      </c>
      <c r="E411" s="1548">
        <f>+F411+G411+H411</f>
        <v>0</v>
      </c>
      <c r="F411" s="1933">
        <v>0</v>
      </c>
      <c r="G411" s="1933"/>
      <c r="H411" s="1933">
        <v>0</v>
      </c>
      <c r="I411" s="616">
        <v>228400</v>
      </c>
      <c r="J411" s="494">
        <v>3000</v>
      </c>
      <c r="K411" s="529">
        <v>0</v>
      </c>
      <c r="L411" s="530">
        <v>103792</v>
      </c>
      <c r="M411" s="450">
        <f>+E411+I411+J411+K411+L411+N411</f>
        <v>338657</v>
      </c>
      <c r="N411" s="530">
        <f>5665-2200</f>
        <v>3465</v>
      </c>
      <c r="O411" s="1933"/>
      <c r="P411" s="1933">
        <v>320141</v>
      </c>
      <c r="Q411" s="1933">
        <v>1590700</v>
      </c>
      <c r="R411" s="1933"/>
      <c r="S411" s="1933"/>
      <c r="T411" s="1933"/>
      <c r="U411" s="1933"/>
      <c r="V411" s="1933"/>
      <c r="W411" s="1933"/>
      <c r="X411" s="1934">
        <f>SUM(P411:T411)</f>
        <v>1910841</v>
      </c>
      <c r="Y411" s="2970"/>
    </row>
    <row r="412" spans="1:26">
      <c r="A412" s="2987"/>
      <c r="B412" s="527" t="s">
        <v>27</v>
      </c>
      <c r="C412" s="2983"/>
      <c r="D412" s="449">
        <f t="shared" ref="D412" si="434">M412+O412+P412+Q412+R412+S412+T412+U412+V412+W412</f>
        <v>57003</v>
      </c>
      <c r="E412" s="775"/>
      <c r="F412" s="857"/>
      <c r="G412" s="857"/>
      <c r="H412" s="857"/>
      <c r="I412" s="915"/>
      <c r="J412" s="915"/>
      <c r="K412" s="915">
        <v>22878</v>
      </c>
      <c r="L412" s="857">
        <v>34125</v>
      </c>
      <c r="M412" s="450">
        <f>+E412+I412+J412+K412+L412+N412</f>
        <v>57003</v>
      </c>
      <c r="N412" s="857"/>
      <c r="O412" s="1104">
        <v>0</v>
      </c>
      <c r="P412" s="1104">
        <v>0</v>
      </c>
      <c r="Q412" s="1104">
        <v>0</v>
      </c>
      <c r="R412" s="1104"/>
      <c r="S412" s="1104"/>
      <c r="T412" s="1104"/>
      <c r="U412" s="1104"/>
      <c r="V412" s="1104"/>
      <c r="W412" s="1104"/>
      <c r="X412" s="409">
        <f>SUM(P412:T412)</f>
        <v>0</v>
      </c>
      <c r="Y412" s="2970"/>
    </row>
    <row r="413" spans="1:26">
      <c r="A413" s="2987"/>
      <c r="B413" s="518" t="s">
        <v>30</v>
      </c>
      <c r="C413" s="2983"/>
      <c r="D413" s="1935">
        <f>+D414</f>
        <v>6111159</v>
      </c>
      <c r="E413" s="1935">
        <f t="shared" ref="E413:Q413" si="435">+E414</f>
        <v>0</v>
      </c>
      <c r="F413" s="1935">
        <f t="shared" si="435"/>
        <v>0</v>
      </c>
      <c r="G413" s="1935">
        <f t="shared" si="435"/>
        <v>0</v>
      </c>
      <c r="H413" s="1935">
        <f t="shared" si="435"/>
        <v>0</v>
      </c>
      <c r="I413" s="1935">
        <f t="shared" si="435"/>
        <v>0</v>
      </c>
      <c r="J413" s="1935">
        <f t="shared" si="435"/>
        <v>0</v>
      </c>
      <c r="K413" s="1935">
        <f t="shared" si="435"/>
        <v>0</v>
      </c>
      <c r="L413" s="1935">
        <f t="shared" si="435"/>
        <v>0</v>
      </c>
      <c r="M413" s="1935">
        <f t="shared" si="435"/>
        <v>0</v>
      </c>
      <c r="N413" s="1935">
        <f t="shared" si="435"/>
        <v>0</v>
      </c>
      <c r="O413" s="1935">
        <f t="shared" si="435"/>
        <v>0</v>
      </c>
      <c r="P413" s="1935">
        <f t="shared" si="435"/>
        <v>1023859</v>
      </c>
      <c r="Q413" s="1935">
        <f t="shared" si="435"/>
        <v>5087300</v>
      </c>
      <c r="R413" s="1935"/>
      <c r="S413" s="1935"/>
      <c r="T413" s="1935"/>
      <c r="U413" s="1935"/>
      <c r="V413" s="1935"/>
      <c r="W413" s="1935"/>
      <c r="X413" s="1929">
        <f>+X414</f>
        <v>6111159</v>
      </c>
      <c r="Y413" s="2970"/>
    </row>
    <row r="414" spans="1:26">
      <c r="A414" s="2987"/>
      <c r="B414" s="1952" t="s">
        <v>338</v>
      </c>
      <c r="C414" s="3086"/>
      <c r="D414" s="1930">
        <f>M414+O414+P414+Q414+R414+S414+T414+U414+V414+W414</f>
        <v>6111159</v>
      </c>
      <c r="E414" s="1548">
        <f>+F414+G414+H414</f>
        <v>0</v>
      </c>
      <c r="F414" s="1937">
        <v>0</v>
      </c>
      <c r="G414" s="1937">
        <v>0</v>
      </c>
      <c r="H414" s="1937">
        <v>0</v>
      </c>
      <c r="I414" s="1933"/>
      <c r="J414" s="1933"/>
      <c r="K414" s="1933">
        <v>0</v>
      </c>
      <c r="L414" s="1933">
        <v>0</v>
      </c>
      <c r="M414" s="1932">
        <f>+E414+I414+J414+K414+L414+N414</f>
        <v>0</v>
      </c>
      <c r="N414" s="1933">
        <v>0</v>
      </c>
      <c r="O414" s="1933">
        <v>0</v>
      </c>
      <c r="P414" s="1933">
        <v>1023859</v>
      </c>
      <c r="Q414" s="1933">
        <v>5087300</v>
      </c>
      <c r="R414" s="1933"/>
      <c r="S414" s="1933"/>
      <c r="T414" s="1933"/>
      <c r="U414" s="1933"/>
      <c r="V414" s="1933"/>
      <c r="W414" s="1933"/>
      <c r="X414" s="1934">
        <f>SUM(P414:T414)</f>
        <v>6111159</v>
      </c>
      <c r="Y414" s="3085"/>
      <c r="Z414" s="843"/>
    </row>
    <row r="415" spans="1:26" s="988" customFormat="1" ht="14.25" customHeight="1">
      <c r="A415" s="2988"/>
      <c r="B415" s="374" t="s">
        <v>34</v>
      </c>
      <c r="C415" s="375"/>
      <c r="D415" s="1940">
        <f>+D416+D418</f>
        <v>6168162</v>
      </c>
      <c r="E415" s="1940">
        <f t="shared" ref="E415:R415" si="436">+E416+E418</f>
        <v>0</v>
      </c>
      <c r="F415" s="1940">
        <f t="shared" si="436"/>
        <v>0</v>
      </c>
      <c r="G415" s="1940">
        <f t="shared" si="436"/>
        <v>0</v>
      </c>
      <c r="H415" s="1940">
        <f t="shared" si="436"/>
        <v>0</v>
      </c>
      <c r="I415" s="1940">
        <f t="shared" si="436"/>
        <v>0</v>
      </c>
      <c r="J415" s="1940">
        <f t="shared" si="436"/>
        <v>0</v>
      </c>
      <c r="K415" s="1940">
        <f t="shared" si="436"/>
        <v>22878</v>
      </c>
      <c r="L415" s="1940">
        <f t="shared" si="436"/>
        <v>34125</v>
      </c>
      <c r="M415" s="1940">
        <f t="shared" si="436"/>
        <v>57003</v>
      </c>
      <c r="N415" s="1940">
        <f t="shared" si="436"/>
        <v>0</v>
      </c>
      <c r="O415" s="1940">
        <f t="shared" si="436"/>
        <v>0</v>
      </c>
      <c r="P415" s="1940">
        <f t="shared" si="436"/>
        <v>0</v>
      </c>
      <c r="Q415" s="1940">
        <f t="shared" si="436"/>
        <v>3555530</v>
      </c>
      <c r="R415" s="1940">
        <f t="shared" si="436"/>
        <v>2555629</v>
      </c>
      <c r="S415" s="1940"/>
      <c r="T415" s="1940"/>
      <c r="U415" s="1940"/>
      <c r="V415" s="1940"/>
      <c r="W415" s="1940"/>
      <c r="X415" s="2959" t="s">
        <v>35</v>
      </c>
      <c r="Y415" s="3045" t="s">
        <v>122</v>
      </c>
    </row>
    <row r="416" spans="1:26">
      <c r="A416" s="2988"/>
      <c r="B416" s="518" t="s">
        <v>36</v>
      </c>
      <c r="C416" s="3091" t="s">
        <v>101</v>
      </c>
      <c r="D416" s="615">
        <f>+D417</f>
        <v>57003</v>
      </c>
      <c r="E416" s="615">
        <f t="shared" ref="E416:M416" si="437">+E417</f>
        <v>0</v>
      </c>
      <c r="F416" s="615">
        <f t="shared" si="437"/>
        <v>0</v>
      </c>
      <c r="G416" s="615">
        <f t="shared" si="437"/>
        <v>0</v>
      </c>
      <c r="H416" s="615">
        <f t="shared" si="437"/>
        <v>0</v>
      </c>
      <c r="I416" s="615">
        <f t="shared" si="437"/>
        <v>0</v>
      </c>
      <c r="J416" s="615">
        <f t="shared" si="437"/>
        <v>0</v>
      </c>
      <c r="K416" s="615">
        <f t="shared" si="437"/>
        <v>22878</v>
      </c>
      <c r="L416" s="615">
        <f t="shared" si="437"/>
        <v>34125</v>
      </c>
      <c r="M416" s="615">
        <f t="shared" si="437"/>
        <v>57003</v>
      </c>
      <c r="N416" s="615">
        <f t="shared" ref="N416" si="438">+N417</f>
        <v>0</v>
      </c>
      <c r="O416" s="1101">
        <v>0</v>
      </c>
      <c r="P416" s="1101">
        <v>0</v>
      </c>
      <c r="Q416" s="1101">
        <v>0</v>
      </c>
      <c r="R416" s="1101">
        <v>0</v>
      </c>
      <c r="S416" s="1101"/>
      <c r="T416" s="1101"/>
      <c r="U416" s="1101"/>
      <c r="V416" s="1101"/>
      <c r="W416" s="1101"/>
      <c r="X416" s="2943"/>
      <c r="Y416" s="3033"/>
    </row>
    <row r="417" spans="1:26" ht="13.5" thickBot="1">
      <c r="A417" s="2988"/>
      <c r="B417" s="1952" t="s">
        <v>27</v>
      </c>
      <c r="C417" s="3092"/>
      <c r="D417" s="449">
        <f t="shared" ref="D417" si="439">M417+O417+P417+Q417+R417+S417+T417+U417+V417+W417</f>
        <v>57003</v>
      </c>
      <c r="E417" s="491"/>
      <c r="F417" s="917"/>
      <c r="G417" s="917"/>
      <c r="H417" s="917"/>
      <c r="I417" s="2334"/>
      <c r="J417" s="2335"/>
      <c r="K417" s="2335">
        <v>22878</v>
      </c>
      <c r="L417" s="2336">
        <v>34125</v>
      </c>
      <c r="M417" s="450">
        <f>+E417+I417+J417+K417+L417+N417</f>
        <v>57003</v>
      </c>
      <c r="N417" s="2336"/>
      <c r="O417" s="1104">
        <v>0</v>
      </c>
      <c r="P417" s="1104">
        <v>0</v>
      </c>
      <c r="Q417" s="1104">
        <v>0</v>
      </c>
      <c r="R417" s="1104">
        <v>0</v>
      </c>
      <c r="S417" s="1104"/>
      <c r="T417" s="1104"/>
      <c r="U417" s="1104"/>
      <c r="V417" s="1104"/>
      <c r="W417" s="1104"/>
      <c r="X417" s="2943"/>
      <c r="Y417" s="3033"/>
    </row>
    <row r="418" spans="1:26" s="990" customFormat="1" ht="12.75" customHeight="1">
      <c r="A418" s="2988"/>
      <c r="B418" s="518" t="s">
        <v>30</v>
      </c>
      <c r="C418" s="3092"/>
      <c r="D418" s="1942">
        <f>+D419</f>
        <v>6111159</v>
      </c>
      <c r="E418" s="1942">
        <f t="shared" ref="E418:R418" si="440">+E419</f>
        <v>0</v>
      </c>
      <c r="F418" s="1942">
        <f t="shared" si="440"/>
        <v>0</v>
      </c>
      <c r="G418" s="1942">
        <f t="shared" si="440"/>
        <v>0</v>
      </c>
      <c r="H418" s="1942">
        <f t="shared" si="440"/>
        <v>0</v>
      </c>
      <c r="I418" s="2332">
        <f t="shared" si="440"/>
        <v>0</v>
      </c>
      <c r="J418" s="2333">
        <f t="shared" si="440"/>
        <v>0</v>
      </c>
      <c r="K418" s="2333">
        <f t="shared" si="440"/>
        <v>0</v>
      </c>
      <c r="L418" s="2333">
        <f t="shared" si="440"/>
        <v>0</v>
      </c>
      <c r="M418" s="1953">
        <f t="shared" si="440"/>
        <v>0</v>
      </c>
      <c r="N418" s="2332">
        <f t="shared" si="440"/>
        <v>0</v>
      </c>
      <c r="O418" s="1953">
        <f t="shared" si="440"/>
        <v>0</v>
      </c>
      <c r="P418" s="1942">
        <f t="shared" si="440"/>
        <v>0</v>
      </c>
      <c r="Q418" s="1953">
        <f t="shared" si="440"/>
        <v>3555530</v>
      </c>
      <c r="R418" s="1953">
        <f t="shared" si="440"/>
        <v>2555629</v>
      </c>
      <c r="S418" s="1942"/>
      <c r="T418" s="1942"/>
      <c r="U418" s="1942"/>
      <c r="V418" s="1942"/>
      <c r="W418" s="1942"/>
      <c r="X418" s="2943"/>
      <c r="Y418" s="3033"/>
    </row>
    <row r="419" spans="1:26" s="988" customFormat="1" ht="12" customHeight="1" thickBot="1">
      <c r="A419" s="2989"/>
      <c r="B419" s="573" t="s">
        <v>32</v>
      </c>
      <c r="C419" s="3093"/>
      <c r="D419" s="1221">
        <f t="shared" ref="D419" si="441">M419+O419+P419+Q419+R419+S419+T419+U419+V419+W419</f>
        <v>6111159</v>
      </c>
      <c r="E419" s="492">
        <f>+F419+G419+H419</f>
        <v>0</v>
      </c>
      <c r="F419" s="555">
        <v>0</v>
      </c>
      <c r="G419" s="556">
        <v>0</v>
      </c>
      <c r="H419" s="557">
        <v>0</v>
      </c>
      <c r="I419" s="1068">
        <v>0</v>
      </c>
      <c r="J419" s="556"/>
      <c r="K419" s="556">
        <v>0</v>
      </c>
      <c r="L419" s="556"/>
      <c r="M419" s="1221">
        <f>+E419+I419+J419+K419+L419+N419</f>
        <v>0</v>
      </c>
      <c r="N419" s="555">
        <v>0</v>
      </c>
      <c r="O419" s="556">
        <v>0</v>
      </c>
      <c r="P419" s="556">
        <f>2550000-2550000</f>
        <v>0</v>
      </c>
      <c r="Q419" s="556">
        <v>3555530</v>
      </c>
      <c r="R419" s="556">
        <v>2555629</v>
      </c>
      <c r="S419" s="556"/>
      <c r="T419" s="556"/>
      <c r="U419" s="556"/>
      <c r="V419" s="556"/>
      <c r="W419" s="556"/>
      <c r="X419" s="2944"/>
      <c r="Y419" s="3034"/>
    </row>
    <row r="420" spans="1:26" ht="27.75" customHeight="1">
      <c r="A420" s="2986" t="s">
        <v>431</v>
      </c>
      <c r="B420" s="1073" t="s">
        <v>479</v>
      </c>
      <c r="C420" s="434" t="s">
        <v>98</v>
      </c>
      <c r="D420" s="617"/>
      <c r="E420" s="436"/>
      <c r="F420" s="437"/>
      <c r="G420" s="437"/>
      <c r="H420" s="436"/>
      <c r="I420" s="436"/>
      <c r="J420" s="436"/>
      <c r="K420" s="436"/>
      <c r="L420" s="436"/>
      <c r="M420" s="436"/>
      <c r="N420" s="436"/>
      <c r="O420" s="436"/>
      <c r="P420" s="438"/>
      <c r="Q420" s="438"/>
      <c r="R420" s="438"/>
      <c r="S420" s="916"/>
      <c r="T420" s="437"/>
      <c r="U420" s="916"/>
      <c r="V420" s="916"/>
      <c r="W420" s="916"/>
      <c r="X420" s="477"/>
      <c r="Y420" s="2969" t="s">
        <v>104</v>
      </c>
      <c r="Z420" s="1283" t="s">
        <v>515</v>
      </c>
    </row>
    <row r="421" spans="1:26" ht="15" customHeight="1">
      <c r="A421" s="2987"/>
      <c r="B421" s="374" t="s">
        <v>22</v>
      </c>
      <c r="C421" s="375"/>
      <c r="D421" s="1950">
        <f>+D422+D424</f>
        <v>9042058</v>
      </c>
      <c r="E421" s="1950">
        <f t="shared" ref="E421:Q421" si="442">+E422+E424</f>
        <v>0</v>
      </c>
      <c r="F421" s="1950">
        <f t="shared" si="442"/>
        <v>0</v>
      </c>
      <c r="G421" s="1950">
        <f t="shared" si="442"/>
        <v>0</v>
      </c>
      <c r="H421" s="1950">
        <f t="shared" si="442"/>
        <v>0</v>
      </c>
      <c r="I421" s="1950">
        <f t="shared" si="442"/>
        <v>0</v>
      </c>
      <c r="J421" s="1950">
        <f t="shared" si="442"/>
        <v>0</v>
      </c>
      <c r="K421" s="1950">
        <f t="shared" si="442"/>
        <v>0</v>
      </c>
      <c r="L421" s="1950">
        <f t="shared" si="442"/>
        <v>0</v>
      </c>
      <c r="M421" s="1950">
        <f t="shared" si="442"/>
        <v>0</v>
      </c>
      <c r="N421" s="1950">
        <f t="shared" si="442"/>
        <v>0</v>
      </c>
      <c r="O421" s="1950">
        <f t="shared" si="442"/>
        <v>0</v>
      </c>
      <c r="P421" s="1950">
        <f t="shared" si="442"/>
        <v>1260000</v>
      </c>
      <c r="Q421" s="1950">
        <f t="shared" si="442"/>
        <v>7782058</v>
      </c>
      <c r="R421" s="1950"/>
      <c r="S421" s="1950"/>
      <c r="T421" s="1950"/>
      <c r="U421" s="1950"/>
      <c r="V421" s="1950"/>
      <c r="W421" s="1950"/>
      <c r="X421" s="1544">
        <f>+X422+X424</f>
        <v>9042058</v>
      </c>
      <c r="Y421" s="2970"/>
    </row>
    <row r="422" spans="1:26">
      <c r="A422" s="2987"/>
      <c r="B422" s="526" t="s">
        <v>36</v>
      </c>
      <c r="C422" s="3024" t="s">
        <v>101</v>
      </c>
      <c r="D422" s="1951">
        <f>+D423</f>
        <v>2153818</v>
      </c>
      <c r="E422" s="1951">
        <f t="shared" ref="E422:Q422" si="443">+E423</f>
        <v>0</v>
      </c>
      <c r="F422" s="1951">
        <f t="shared" si="443"/>
        <v>0</v>
      </c>
      <c r="G422" s="1951">
        <f t="shared" si="443"/>
        <v>0</v>
      </c>
      <c r="H422" s="1951">
        <f t="shared" si="443"/>
        <v>0</v>
      </c>
      <c r="I422" s="1951">
        <f t="shared" si="443"/>
        <v>0</v>
      </c>
      <c r="J422" s="1951">
        <f t="shared" si="443"/>
        <v>0</v>
      </c>
      <c r="K422" s="1951">
        <f t="shared" si="443"/>
        <v>0</v>
      </c>
      <c r="L422" s="1951">
        <f t="shared" si="443"/>
        <v>0</v>
      </c>
      <c r="M422" s="1951">
        <f t="shared" si="443"/>
        <v>0</v>
      </c>
      <c r="N422" s="1951">
        <f t="shared" si="443"/>
        <v>0</v>
      </c>
      <c r="O422" s="1951">
        <f t="shared" si="443"/>
        <v>0</v>
      </c>
      <c r="P422" s="1951">
        <f t="shared" si="443"/>
        <v>300132</v>
      </c>
      <c r="Q422" s="1951">
        <f t="shared" si="443"/>
        <v>1853686</v>
      </c>
      <c r="R422" s="1951"/>
      <c r="S422" s="1951"/>
      <c r="T422" s="1951"/>
      <c r="U422" s="1951"/>
      <c r="V422" s="1951"/>
      <c r="W422" s="1951"/>
      <c r="X422" s="1929">
        <f>+X423</f>
        <v>2153818</v>
      </c>
      <c r="Y422" s="2970"/>
    </row>
    <row r="423" spans="1:26">
      <c r="A423" s="2987"/>
      <c r="B423" s="527" t="s">
        <v>24</v>
      </c>
      <c r="C423" s="2983"/>
      <c r="D423" s="1930">
        <f>M423+O423+P423+Q423+R423+S423+T423+U423+V423+W423</f>
        <v>2153818</v>
      </c>
      <c r="E423" s="1548">
        <f>+F423+G423+H423</f>
        <v>0</v>
      </c>
      <c r="F423" s="1933">
        <v>0</v>
      </c>
      <c r="G423" s="1933">
        <v>0</v>
      </c>
      <c r="H423" s="1933">
        <v>0</v>
      </c>
      <c r="I423" s="1933"/>
      <c r="J423" s="1933"/>
      <c r="K423" s="1933"/>
      <c r="L423" s="1933">
        <f>47545-47545</f>
        <v>0</v>
      </c>
      <c r="M423" s="1932">
        <f>+E423+I423+J423+K423+L423+N423</f>
        <v>0</v>
      </c>
      <c r="N423" s="1933">
        <f>57803-57803</f>
        <v>0</v>
      </c>
      <c r="O423" s="1933"/>
      <c r="P423" s="1933">
        <v>300132</v>
      </c>
      <c r="Q423" s="1933">
        <v>1853686</v>
      </c>
      <c r="R423" s="1933"/>
      <c r="S423" s="1933"/>
      <c r="T423" s="1933"/>
      <c r="U423" s="1933"/>
      <c r="V423" s="1933"/>
      <c r="W423" s="1933"/>
      <c r="X423" s="1934">
        <f>SUM(P423:T423)</f>
        <v>2153818</v>
      </c>
      <c r="Y423" s="2970"/>
    </row>
    <row r="424" spans="1:26">
      <c r="A424" s="2987"/>
      <c r="B424" s="518" t="s">
        <v>30</v>
      </c>
      <c r="C424" s="2983"/>
      <c r="D424" s="1935">
        <f>+D425</f>
        <v>6888240</v>
      </c>
      <c r="E424" s="1935">
        <f t="shared" ref="E424:Q424" si="444">+E425</f>
        <v>0</v>
      </c>
      <c r="F424" s="1935">
        <f t="shared" si="444"/>
        <v>0</v>
      </c>
      <c r="G424" s="1935">
        <f t="shared" si="444"/>
        <v>0</v>
      </c>
      <c r="H424" s="1935">
        <f t="shared" si="444"/>
        <v>0</v>
      </c>
      <c r="I424" s="1935">
        <f t="shared" si="444"/>
        <v>0</v>
      </c>
      <c r="J424" s="1935">
        <f t="shared" si="444"/>
        <v>0</v>
      </c>
      <c r="K424" s="1935">
        <f t="shared" si="444"/>
        <v>0</v>
      </c>
      <c r="L424" s="1935">
        <f t="shared" si="444"/>
        <v>0</v>
      </c>
      <c r="M424" s="1935">
        <f t="shared" si="444"/>
        <v>0</v>
      </c>
      <c r="N424" s="1935">
        <f t="shared" si="444"/>
        <v>0</v>
      </c>
      <c r="O424" s="1935">
        <f t="shared" si="444"/>
        <v>0</v>
      </c>
      <c r="P424" s="1935">
        <f t="shared" si="444"/>
        <v>959868</v>
      </c>
      <c r="Q424" s="1935">
        <f t="shared" si="444"/>
        <v>5928372</v>
      </c>
      <c r="R424" s="1935"/>
      <c r="S424" s="1935"/>
      <c r="T424" s="1935"/>
      <c r="U424" s="1935"/>
      <c r="V424" s="1935"/>
      <c r="W424" s="1935"/>
      <c r="X424" s="1929">
        <f>+X425</f>
        <v>6888240</v>
      </c>
      <c r="Y424" s="2970"/>
    </row>
    <row r="425" spans="1:26">
      <c r="A425" s="2987"/>
      <c r="B425" s="1952" t="s">
        <v>338</v>
      </c>
      <c r="C425" s="3086"/>
      <c r="D425" s="1930">
        <f>M425+O425+P425+Q425+R425+S425+T425+U425+V425+W425</f>
        <v>6888240</v>
      </c>
      <c r="E425" s="1548">
        <f>+F425+G425+H425</f>
        <v>0</v>
      </c>
      <c r="F425" s="1937">
        <v>0</v>
      </c>
      <c r="G425" s="1937">
        <v>0</v>
      </c>
      <c r="H425" s="1937">
        <v>0</v>
      </c>
      <c r="I425" s="1933"/>
      <c r="J425" s="1933"/>
      <c r="K425" s="1933">
        <v>0</v>
      </c>
      <c r="L425" s="1933">
        <v>0</v>
      </c>
      <c r="M425" s="1932">
        <f>+E425+I425+J425+K425+L425+N425</f>
        <v>0</v>
      </c>
      <c r="N425" s="1933">
        <v>0</v>
      </c>
      <c r="O425" s="1933">
        <v>0</v>
      </c>
      <c r="P425" s="1933">
        <v>959868</v>
      </c>
      <c r="Q425" s="1933">
        <v>5928372</v>
      </c>
      <c r="R425" s="1933"/>
      <c r="S425" s="1933"/>
      <c r="T425" s="1933"/>
      <c r="U425" s="1933"/>
      <c r="V425" s="1933"/>
      <c r="W425" s="1933"/>
      <c r="X425" s="1934">
        <f>SUM(P425:T425)</f>
        <v>6888240</v>
      </c>
      <c r="Y425" s="3085"/>
      <c r="Z425" s="843"/>
    </row>
    <row r="426" spans="1:26" s="988" customFormat="1" ht="15" customHeight="1">
      <c r="A426" s="2988"/>
      <c r="B426" s="374" t="s">
        <v>34</v>
      </c>
      <c r="C426" s="375"/>
      <c r="D426" s="1940">
        <f>+D427</f>
        <v>6888240</v>
      </c>
      <c r="E426" s="1940">
        <f t="shared" ref="E426:R427" si="445">+E427</f>
        <v>0</v>
      </c>
      <c r="F426" s="1940">
        <f t="shared" si="445"/>
        <v>0</v>
      </c>
      <c r="G426" s="1940">
        <f t="shared" si="445"/>
        <v>0</v>
      </c>
      <c r="H426" s="1940">
        <f t="shared" si="445"/>
        <v>0</v>
      </c>
      <c r="I426" s="1940">
        <f t="shared" si="445"/>
        <v>0</v>
      </c>
      <c r="J426" s="1940">
        <f t="shared" si="445"/>
        <v>0</v>
      </c>
      <c r="K426" s="1940">
        <f t="shared" si="445"/>
        <v>0</v>
      </c>
      <c r="L426" s="1940">
        <f t="shared" si="445"/>
        <v>0</v>
      </c>
      <c r="M426" s="1940">
        <f t="shared" si="445"/>
        <v>0</v>
      </c>
      <c r="N426" s="1940">
        <f t="shared" si="445"/>
        <v>0</v>
      </c>
      <c r="O426" s="1940">
        <f t="shared" si="445"/>
        <v>0</v>
      </c>
      <c r="P426" s="1940">
        <f t="shared" si="445"/>
        <v>0</v>
      </c>
      <c r="Q426" s="1940">
        <f t="shared" si="445"/>
        <v>3909880</v>
      </c>
      <c r="R426" s="1940">
        <f t="shared" si="445"/>
        <v>2978360</v>
      </c>
      <c r="S426" s="1940"/>
      <c r="T426" s="1940"/>
      <c r="U426" s="1940"/>
      <c r="V426" s="1940"/>
      <c r="W426" s="1940"/>
      <c r="X426" s="2959" t="s">
        <v>35</v>
      </c>
      <c r="Y426" s="3045" t="s">
        <v>122</v>
      </c>
    </row>
    <row r="427" spans="1:26" s="990" customFormat="1" ht="12.75" customHeight="1">
      <c r="A427" s="2988"/>
      <c r="B427" s="518" t="s">
        <v>30</v>
      </c>
      <c r="C427" s="3024" t="s">
        <v>101</v>
      </c>
      <c r="D427" s="1942">
        <f>+D428</f>
        <v>6888240</v>
      </c>
      <c r="E427" s="1942">
        <f t="shared" si="445"/>
        <v>0</v>
      </c>
      <c r="F427" s="1942">
        <f t="shared" si="445"/>
        <v>0</v>
      </c>
      <c r="G427" s="1942">
        <f t="shared" si="445"/>
        <v>0</v>
      </c>
      <c r="H427" s="1942">
        <f t="shared" si="445"/>
        <v>0</v>
      </c>
      <c r="I427" s="1942">
        <f t="shared" si="445"/>
        <v>0</v>
      </c>
      <c r="J427" s="1953">
        <f t="shared" si="445"/>
        <v>0</v>
      </c>
      <c r="K427" s="1953">
        <f t="shared" si="445"/>
        <v>0</v>
      </c>
      <c r="L427" s="1953">
        <f t="shared" si="445"/>
        <v>0</v>
      </c>
      <c r="M427" s="1953">
        <f t="shared" si="445"/>
        <v>0</v>
      </c>
      <c r="N427" s="1942">
        <f t="shared" si="445"/>
        <v>0</v>
      </c>
      <c r="O427" s="1953">
        <f t="shared" si="445"/>
        <v>0</v>
      </c>
      <c r="P427" s="1942">
        <f t="shared" si="445"/>
        <v>0</v>
      </c>
      <c r="Q427" s="1953">
        <f t="shared" si="445"/>
        <v>3909880</v>
      </c>
      <c r="R427" s="1953">
        <f t="shared" si="445"/>
        <v>2978360</v>
      </c>
      <c r="S427" s="1942"/>
      <c r="T427" s="1942"/>
      <c r="U427" s="1942"/>
      <c r="V427" s="1942"/>
      <c r="W427" s="1942"/>
      <c r="X427" s="2943"/>
      <c r="Y427" s="3033"/>
    </row>
    <row r="428" spans="1:26" s="988" customFormat="1" ht="13.5" thickBot="1">
      <c r="A428" s="2989"/>
      <c r="B428" s="573" t="s">
        <v>32</v>
      </c>
      <c r="C428" s="2995"/>
      <c r="D428" s="1221">
        <f t="shared" ref="D428" si="446">M428+O428+P428+Q428+R428+S428+T428+U428+V428+W428</f>
        <v>6888240</v>
      </c>
      <c r="E428" s="492">
        <f>+F428+G428+H428</f>
        <v>0</v>
      </c>
      <c r="F428" s="555">
        <v>0</v>
      </c>
      <c r="G428" s="556">
        <v>0</v>
      </c>
      <c r="H428" s="557">
        <v>0</v>
      </c>
      <c r="I428" s="1068">
        <v>0</v>
      </c>
      <c r="J428" s="556"/>
      <c r="K428" s="556">
        <v>0</v>
      </c>
      <c r="L428" s="556"/>
      <c r="M428" s="1221">
        <f>+E428+I428+J428+K428+L428+N428</f>
        <v>0</v>
      </c>
      <c r="N428" s="555">
        <v>0</v>
      </c>
      <c r="O428" s="556">
        <v>0</v>
      </c>
      <c r="P428" s="556">
        <f>2550000-2550000</f>
        <v>0</v>
      </c>
      <c r="Q428" s="556">
        <v>3909880</v>
      </c>
      <c r="R428" s="556">
        <v>2978360</v>
      </c>
      <c r="S428" s="556"/>
      <c r="T428" s="556"/>
      <c r="U428" s="556"/>
      <c r="V428" s="556"/>
      <c r="W428" s="556"/>
      <c r="X428" s="2944"/>
      <c r="Y428" s="3034"/>
    </row>
    <row r="429" spans="1:26" ht="31.5" customHeight="1">
      <c r="A429" s="2986" t="s">
        <v>472</v>
      </c>
      <c r="B429" s="1073" t="s">
        <v>480</v>
      </c>
      <c r="C429" s="434" t="s">
        <v>98</v>
      </c>
      <c r="D429" s="617"/>
      <c r="E429" s="436"/>
      <c r="F429" s="437"/>
      <c r="G429" s="437"/>
      <c r="H429" s="436"/>
      <c r="I429" s="436"/>
      <c r="J429" s="436"/>
      <c r="K429" s="436"/>
      <c r="L429" s="436"/>
      <c r="M429" s="436"/>
      <c r="N429" s="436"/>
      <c r="O429" s="436"/>
      <c r="P429" s="438"/>
      <c r="Q429" s="438"/>
      <c r="R429" s="438"/>
      <c r="S429" s="916"/>
      <c r="T429" s="437"/>
      <c r="U429" s="916"/>
      <c r="V429" s="916"/>
      <c r="W429" s="916"/>
      <c r="X429" s="477"/>
      <c r="Y429" s="2969" t="s">
        <v>104</v>
      </c>
      <c r="Z429" s="1283" t="s">
        <v>515</v>
      </c>
    </row>
    <row r="430" spans="1:26" ht="14.25" customHeight="1">
      <c r="A430" s="2987"/>
      <c r="B430" s="374" t="s">
        <v>22</v>
      </c>
      <c r="C430" s="2381"/>
      <c r="D430" s="2330">
        <f>+D431+D433</f>
        <v>4410000</v>
      </c>
      <c r="E430" s="2330">
        <f t="shared" ref="E430:Q430" si="447">+E431+E433</f>
        <v>0</v>
      </c>
      <c r="F430" s="2330">
        <f t="shared" si="447"/>
        <v>0</v>
      </c>
      <c r="G430" s="2330">
        <f t="shared" si="447"/>
        <v>0</v>
      </c>
      <c r="H430" s="2330">
        <f t="shared" si="447"/>
        <v>0</v>
      </c>
      <c r="I430" s="2330">
        <f t="shared" si="447"/>
        <v>0</v>
      </c>
      <c r="J430" s="2330">
        <f t="shared" si="447"/>
        <v>0</v>
      </c>
      <c r="K430" s="2330">
        <f t="shared" si="447"/>
        <v>0</v>
      </c>
      <c r="L430" s="2330">
        <f t="shared" si="447"/>
        <v>0</v>
      </c>
      <c r="M430" s="2330">
        <f t="shared" si="447"/>
        <v>0</v>
      </c>
      <c r="N430" s="2330">
        <f t="shared" si="447"/>
        <v>0</v>
      </c>
      <c r="O430" s="2330">
        <f t="shared" si="447"/>
        <v>0</v>
      </c>
      <c r="P430" s="2330">
        <f t="shared" si="447"/>
        <v>1764000</v>
      </c>
      <c r="Q430" s="2330">
        <f t="shared" si="447"/>
        <v>2646000</v>
      </c>
      <c r="R430" s="2330"/>
      <c r="S430" s="2330"/>
      <c r="T430" s="2330"/>
      <c r="U430" s="2330"/>
      <c r="V430" s="2330"/>
      <c r="W430" s="2330"/>
      <c r="X430" s="2383">
        <f>+X431+X433</f>
        <v>4410000</v>
      </c>
      <c r="Y430" s="2970"/>
    </row>
    <row r="431" spans="1:26">
      <c r="A431" s="2987"/>
      <c r="B431" s="526" t="s">
        <v>36</v>
      </c>
      <c r="C431" s="3024" t="s">
        <v>101</v>
      </c>
      <c r="D431" s="2414">
        <f>+D432</f>
        <v>1050462</v>
      </c>
      <c r="E431" s="2414">
        <f t="shared" ref="E431:Q431" si="448">+E432</f>
        <v>0</v>
      </c>
      <c r="F431" s="2414">
        <f t="shared" si="448"/>
        <v>0</v>
      </c>
      <c r="G431" s="2414">
        <f t="shared" si="448"/>
        <v>0</v>
      </c>
      <c r="H431" s="2414">
        <f t="shared" si="448"/>
        <v>0</v>
      </c>
      <c r="I431" s="2414">
        <f t="shared" si="448"/>
        <v>0</v>
      </c>
      <c r="J431" s="2414">
        <f t="shared" si="448"/>
        <v>0</v>
      </c>
      <c r="K431" s="2414">
        <f t="shared" si="448"/>
        <v>0</v>
      </c>
      <c r="L431" s="2414">
        <f t="shared" si="448"/>
        <v>0</v>
      </c>
      <c r="M431" s="2414">
        <f t="shared" si="448"/>
        <v>0</v>
      </c>
      <c r="N431" s="2414">
        <f t="shared" si="448"/>
        <v>0</v>
      </c>
      <c r="O431" s="2414">
        <f t="shared" si="448"/>
        <v>0</v>
      </c>
      <c r="P431" s="2414">
        <f t="shared" si="448"/>
        <v>420185</v>
      </c>
      <c r="Q431" s="2414">
        <f t="shared" si="448"/>
        <v>630277</v>
      </c>
      <c r="R431" s="2414"/>
      <c r="S431" s="2414"/>
      <c r="T431" s="2414"/>
      <c r="U431" s="2414"/>
      <c r="V431" s="2414"/>
      <c r="W431" s="2414"/>
      <c r="X431" s="2385">
        <f>+X432</f>
        <v>1050462</v>
      </c>
      <c r="Y431" s="2970"/>
    </row>
    <row r="432" spans="1:26" ht="14.25" customHeight="1">
      <c r="A432" s="2987"/>
      <c r="B432" s="527" t="s">
        <v>24</v>
      </c>
      <c r="C432" s="2983"/>
      <c r="D432" s="1930">
        <f>M432+O432+P432+Q432+R432+S432+T432+U432+V432+W432</f>
        <v>1050462</v>
      </c>
      <c r="E432" s="2312">
        <f>+F432+G432+H432</f>
        <v>0</v>
      </c>
      <c r="F432" s="2388">
        <v>0</v>
      </c>
      <c r="G432" s="2388">
        <v>0</v>
      </c>
      <c r="H432" s="2388">
        <v>0</v>
      </c>
      <c r="I432" s="2388"/>
      <c r="J432" s="2388"/>
      <c r="K432" s="2388"/>
      <c r="L432" s="2388">
        <f>47545-47545</f>
        <v>0</v>
      </c>
      <c r="M432" s="2387">
        <f>+E432+I432+J432+K432+L432+N432</f>
        <v>0</v>
      </c>
      <c r="N432" s="2388">
        <f>57803-57803</f>
        <v>0</v>
      </c>
      <c r="O432" s="2388"/>
      <c r="P432" s="2388">
        <v>420185</v>
      </c>
      <c r="Q432" s="2388">
        <v>630277</v>
      </c>
      <c r="R432" s="2388"/>
      <c r="S432" s="2388"/>
      <c r="T432" s="2388"/>
      <c r="U432" s="2388"/>
      <c r="V432" s="2388"/>
      <c r="W432" s="2388"/>
      <c r="X432" s="2389">
        <f>SUM(P432:T432)</f>
        <v>1050462</v>
      </c>
      <c r="Y432" s="2970"/>
    </row>
    <row r="433" spans="1:26" ht="14.25" customHeight="1">
      <c r="A433" s="2987"/>
      <c r="B433" s="518" t="s">
        <v>30</v>
      </c>
      <c r="C433" s="2983"/>
      <c r="D433" s="2390">
        <f>+D434</f>
        <v>3359538</v>
      </c>
      <c r="E433" s="2390">
        <f t="shared" ref="E433:Q433" si="449">+E434</f>
        <v>0</v>
      </c>
      <c r="F433" s="2390">
        <f t="shared" si="449"/>
        <v>0</v>
      </c>
      <c r="G433" s="2390">
        <f t="shared" si="449"/>
        <v>0</v>
      </c>
      <c r="H433" s="2390">
        <f t="shared" si="449"/>
        <v>0</v>
      </c>
      <c r="I433" s="2390">
        <f t="shared" si="449"/>
        <v>0</v>
      </c>
      <c r="J433" s="2390">
        <f t="shared" si="449"/>
        <v>0</v>
      </c>
      <c r="K433" s="2390">
        <f t="shared" si="449"/>
        <v>0</v>
      </c>
      <c r="L433" s="2390">
        <f t="shared" si="449"/>
        <v>0</v>
      </c>
      <c r="M433" s="2390">
        <f t="shared" si="449"/>
        <v>0</v>
      </c>
      <c r="N433" s="2390">
        <f t="shared" si="449"/>
        <v>0</v>
      </c>
      <c r="O433" s="2390">
        <f t="shared" si="449"/>
        <v>0</v>
      </c>
      <c r="P433" s="2390">
        <f t="shared" si="449"/>
        <v>1343815</v>
      </c>
      <c r="Q433" s="2390">
        <f t="shared" si="449"/>
        <v>2015723</v>
      </c>
      <c r="R433" s="2390"/>
      <c r="S433" s="2390"/>
      <c r="T433" s="2390"/>
      <c r="U433" s="2390"/>
      <c r="V433" s="2390"/>
      <c r="W433" s="2390"/>
      <c r="X433" s="2385">
        <f>+X434</f>
        <v>3359538</v>
      </c>
      <c r="Y433" s="2970"/>
    </row>
    <row r="434" spans="1:26" ht="14.25" customHeight="1">
      <c r="A434" s="2987"/>
      <c r="B434" s="1952" t="s">
        <v>338</v>
      </c>
      <c r="C434" s="3086"/>
      <c r="D434" s="1930">
        <f>M434+O434+P434+Q434+R434+S434+T434+U434+V434+W434</f>
        <v>3359538</v>
      </c>
      <c r="E434" s="2312">
        <f>+F434+G434+H434</f>
        <v>0</v>
      </c>
      <c r="F434" s="2325">
        <v>0</v>
      </c>
      <c r="G434" s="2325">
        <v>0</v>
      </c>
      <c r="H434" s="2325">
        <v>0</v>
      </c>
      <c r="I434" s="2388"/>
      <c r="J434" s="2388"/>
      <c r="K434" s="2388">
        <v>0</v>
      </c>
      <c r="L434" s="2388">
        <v>0</v>
      </c>
      <c r="M434" s="2387">
        <f>+E434+I434+J434+K434+L434+N434</f>
        <v>0</v>
      </c>
      <c r="N434" s="2388">
        <v>0</v>
      </c>
      <c r="O434" s="2388">
        <v>0</v>
      </c>
      <c r="P434" s="2388">
        <v>1343815</v>
      </c>
      <c r="Q434" s="2388">
        <v>2015723</v>
      </c>
      <c r="R434" s="2388"/>
      <c r="S434" s="2388"/>
      <c r="T434" s="2388"/>
      <c r="U434" s="2388"/>
      <c r="V434" s="2388"/>
      <c r="W434" s="2388"/>
      <c r="X434" s="2389">
        <f>SUM(P434:T434)</f>
        <v>3359538</v>
      </c>
      <c r="Y434" s="3085"/>
      <c r="Z434" s="843"/>
    </row>
    <row r="435" spans="1:26" s="988" customFormat="1">
      <c r="A435" s="2988"/>
      <c r="B435" s="374" t="s">
        <v>34</v>
      </c>
      <c r="C435" s="2381"/>
      <c r="D435" s="2396">
        <f>+D436</f>
        <v>3359538</v>
      </c>
      <c r="E435" s="2396">
        <f t="shared" ref="E435:R436" si="450">+E436</f>
        <v>0</v>
      </c>
      <c r="F435" s="2396">
        <f t="shared" si="450"/>
        <v>0</v>
      </c>
      <c r="G435" s="2396">
        <f t="shared" si="450"/>
        <v>0</v>
      </c>
      <c r="H435" s="2396">
        <f t="shared" si="450"/>
        <v>0</v>
      </c>
      <c r="I435" s="2396">
        <f t="shared" si="450"/>
        <v>0</v>
      </c>
      <c r="J435" s="2396">
        <f t="shared" si="450"/>
        <v>0</v>
      </c>
      <c r="K435" s="2396">
        <f t="shared" si="450"/>
        <v>0</v>
      </c>
      <c r="L435" s="2396">
        <f t="shared" si="450"/>
        <v>0</v>
      </c>
      <c r="M435" s="2396">
        <f t="shared" si="450"/>
        <v>0</v>
      </c>
      <c r="N435" s="2396">
        <f t="shared" si="450"/>
        <v>0</v>
      </c>
      <c r="O435" s="2396">
        <f t="shared" si="450"/>
        <v>0</v>
      </c>
      <c r="P435" s="2396">
        <f t="shared" si="450"/>
        <v>0</v>
      </c>
      <c r="Q435" s="2396">
        <f t="shared" si="450"/>
        <v>2334228</v>
      </c>
      <c r="R435" s="2396">
        <f t="shared" si="450"/>
        <v>1025310</v>
      </c>
      <c r="S435" s="2396"/>
      <c r="T435" s="2396"/>
      <c r="U435" s="2396"/>
      <c r="V435" s="2396"/>
      <c r="W435" s="2396"/>
      <c r="X435" s="2958" t="s">
        <v>35</v>
      </c>
      <c r="Y435" s="3045" t="s">
        <v>122</v>
      </c>
    </row>
    <row r="436" spans="1:26" s="990" customFormat="1" ht="12.75" customHeight="1">
      <c r="A436" s="2988"/>
      <c r="B436" s="518" t="s">
        <v>30</v>
      </c>
      <c r="C436" s="3024" t="s">
        <v>101</v>
      </c>
      <c r="D436" s="2393">
        <f>+D437</f>
        <v>3359538</v>
      </c>
      <c r="E436" s="2393">
        <f t="shared" si="450"/>
        <v>0</v>
      </c>
      <c r="F436" s="2393">
        <f t="shared" si="450"/>
        <v>0</v>
      </c>
      <c r="G436" s="2393">
        <f t="shared" si="450"/>
        <v>0</v>
      </c>
      <c r="H436" s="2393">
        <f t="shared" si="450"/>
        <v>0</v>
      </c>
      <c r="I436" s="2393">
        <f t="shared" si="450"/>
        <v>0</v>
      </c>
      <c r="J436" s="2397">
        <f t="shared" si="450"/>
        <v>0</v>
      </c>
      <c r="K436" s="2397">
        <f t="shared" si="450"/>
        <v>0</v>
      </c>
      <c r="L436" s="2397">
        <f t="shared" si="450"/>
        <v>0</v>
      </c>
      <c r="M436" s="2397">
        <f t="shared" si="450"/>
        <v>0</v>
      </c>
      <c r="N436" s="2393">
        <f t="shared" si="450"/>
        <v>0</v>
      </c>
      <c r="O436" s="2397">
        <f t="shared" si="450"/>
        <v>0</v>
      </c>
      <c r="P436" s="2393">
        <f t="shared" si="450"/>
        <v>0</v>
      </c>
      <c r="Q436" s="2397">
        <f t="shared" si="450"/>
        <v>2334228</v>
      </c>
      <c r="R436" s="2397">
        <f t="shared" si="450"/>
        <v>1025310</v>
      </c>
      <c r="S436" s="2393"/>
      <c r="T436" s="2393"/>
      <c r="U436" s="2393"/>
      <c r="V436" s="2393"/>
      <c r="W436" s="2393"/>
      <c r="X436" s="2943"/>
      <c r="Y436" s="3033"/>
    </row>
    <row r="437" spans="1:26" s="988" customFormat="1" ht="12" customHeight="1" thickBot="1">
      <c r="A437" s="2989"/>
      <c r="B437" s="573" t="s">
        <v>32</v>
      </c>
      <c r="C437" s="2995"/>
      <c r="D437" s="1221">
        <f t="shared" ref="D437" si="451">M437+O437+P437+Q437+R437+S437+T437+U437+V437+W437</f>
        <v>3359538</v>
      </c>
      <c r="E437" s="492">
        <f>+F437+G437+H437</f>
        <v>0</v>
      </c>
      <c r="F437" s="555">
        <v>0</v>
      </c>
      <c r="G437" s="556">
        <v>0</v>
      </c>
      <c r="H437" s="557">
        <v>0</v>
      </c>
      <c r="I437" s="1068">
        <v>0</v>
      </c>
      <c r="J437" s="556"/>
      <c r="K437" s="556">
        <v>0</v>
      </c>
      <c r="L437" s="556"/>
      <c r="M437" s="1221">
        <f>+E437+I437+J437+K437+L437+N437</f>
        <v>0</v>
      </c>
      <c r="N437" s="555">
        <v>0</v>
      </c>
      <c r="O437" s="556">
        <v>0</v>
      </c>
      <c r="P437" s="556">
        <f>2550000-2550000</f>
        <v>0</v>
      </c>
      <c r="Q437" s="556">
        <v>2334228</v>
      </c>
      <c r="R437" s="556">
        <v>1025310</v>
      </c>
      <c r="S437" s="556"/>
      <c r="T437" s="556"/>
      <c r="U437" s="556"/>
      <c r="V437" s="556"/>
      <c r="W437" s="556"/>
      <c r="X437" s="2944"/>
      <c r="Y437" s="3034"/>
    </row>
    <row r="438" spans="1:26" ht="30" customHeight="1">
      <c r="A438" s="2986" t="s">
        <v>473</v>
      </c>
      <c r="B438" s="1073" t="s">
        <v>481</v>
      </c>
      <c r="C438" s="434" t="s">
        <v>98</v>
      </c>
      <c r="D438" s="617"/>
      <c r="E438" s="436"/>
      <c r="F438" s="437"/>
      <c r="G438" s="437"/>
      <c r="H438" s="436"/>
      <c r="I438" s="436"/>
      <c r="J438" s="436"/>
      <c r="K438" s="436"/>
      <c r="L438" s="436"/>
      <c r="M438" s="436"/>
      <c r="N438" s="436"/>
      <c r="O438" s="436"/>
      <c r="P438" s="438"/>
      <c r="Q438" s="438"/>
      <c r="R438" s="438"/>
      <c r="S438" s="916"/>
      <c r="T438" s="437"/>
      <c r="U438" s="916"/>
      <c r="V438" s="916"/>
      <c r="W438" s="916"/>
      <c r="X438" s="477"/>
      <c r="Y438" s="2969" t="s">
        <v>104</v>
      </c>
      <c r="Z438" s="1283" t="s">
        <v>515</v>
      </c>
    </row>
    <row r="439" spans="1:26" ht="15" customHeight="1">
      <c r="A439" s="2987"/>
      <c r="B439" s="374" t="s">
        <v>22</v>
      </c>
      <c r="C439" s="375"/>
      <c r="D439" s="1950">
        <f>+D440+D442</f>
        <v>7056000</v>
      </c>
      <c r="E439" s="1950">
        <f t="shared" ref="E439:Q439" si="452">+E440+E442</f>
        <v>0</v>
      </c>
      <c r="F439" s="1950">
        <f t="shared" si="452"/>
        <v>0</v>
      </c>
      <c r="G439" s="1950">
        <f t="shared" si="452"/>
        <v>0</v>
      </c>
      <c r="H439" s="1950">
        <f t="shared" si="452"/>
        <v>0</v>
      </c>
      <c r="I439" s="1950">
        <f t="shared" si="452"/>
        <v>0</v>
      </c>
      <c r="J439" s="1950">
        <f t="shared" si="452"/>
        <v>0</v>
      </c>
      <c r="K439" s="1950">
        <f t="shared" si="452"/>
        <v>0</v>
      </c>
      <c r="L439" s="1950">
        <f t="shared" si="452"/>
        <v>0</v>
      </c>
      <c r="M439" s="1950">
        <f t="shared" si="452"/>
        <v>0</v>
      </c>
      <c r="N439" s="1950">
        <f t="shared" si="452"/>
        <v>0</v>
      </c>
      <c r="O439" s="1950">
        <f t="shared" si="452"/>
        <v>0</v>
      </c>
      <c r="P439" s="1950">
        <f t="shared" si="452"/>
        <v>0</v>
      </c>
      <c r="Q439" s="1950">
        <f t="shared" si="452"/>
        <v>0</v>
      </c>
      <c r="R439" s="1950">
        <f t="shared" ref="R439:S439" si="453">+R440+R442</f>
        <v>2610720</v>
      </c>
      <c r="S439" s="1950">
        <f t="shared" si="453"/>
        <v>4445280</v>
      </c>
      <c r="T439" s="1950"/>
      <c r="U439" s="1950"/>
      <c r="V439" s="1950"/>
      <c r="W439" s="1950"/>
      <c r="X439" s="1544">
        <f>+X440+X442</f>
        <v>7056000</v>
      </c>
      <c r="Y439" s="2970"/>
    </row>
    <row r="440" spans="1:26" ht="13.5" customHeight="1">
      <c r="A440" s="2987"/>
      <c r="B440" s="526" t="s">
        <v>36</v>
      </c>
      <c r="C440" s="3024" t="s">
        <v>101</v>
      </c>
      <c r="D440" s="1951">
        <f>+D441</f>
        <v>1680740</v>
      </c>
      <c r="E440" s="1951">
        <f t="shared" ref="E440:S440" si="454">+E441</f>
        <v>0</v>
      </c>
      <c r="F440" s="1951">
        <f t="shared" si="454"/>
        <v>0</v>
      </c>
      <c r="G440" s="1951">
        <f t="shared" si="454"/>
        <v>0</v>
      </c>
      <c r="H440" s="1951">
        <f t="shared" si="454"/>
        <v>0</v>
      </c>
      <c r="I440" s="1951">
        <f t="shared" si="454"/>
        <v>0</v>
      </c>
      <c r="J440" s="1951">
        <f t="shared" si="454"/>
        <v>0</v>
      </c>
      <c r="K440" s="1951">
        <f t="shared" si="454"/>
        <v>0</v>
      </c>
      <c r="L440" s="1951">
        <f t="shared" si="454"/>
        <v>0</v>
      </c>
      <c r="M440" s="1951">
        <f t="shared" si="454"/>
        <v>0</v>
      </c>
      <c r="N440" s="1951">
        <f t="shared" si="454"/>
        <v>0</v>
      </c>
      <c r="O440" s="1951">
        <f t="shared" si="454"/>
        <v>0</v>
      </c>
      <c r="P440" s="1951">
        <f t="shared" si="454"/>
        <v>0</v>
      </c>
      <c r="Q440" s="1951">
        <f t="shared" si="454"/>
        <v>0</v>
      </c>
      <c r="R440" s="1951">
        <f t="shared" si="454"/>
        <v>621874</v>
      </c>
      <c r="S440" s="1951">
        <f t="shared" si="454"/>
        <v>1058866</v>
      </c>
      <c r="T440" s="1951"/>
      <c r="U440" s="1951"/>
      <c r="V440" s="1951"/>
      <c r="W440" s="1951"/>
      <c r="X440" s="1929">
        <f>+X441</f>
        <v>1680740</v>
      </c>
      <c r="Y440" s="2970"/>
    </row>
    <row r="441" spans="1:26" ht="13.5" customHeight="1">
      <c r="A441" s="2987"/>
      <c r="B441" s="527" t="s">
        <v>24</v>
      </c>
      <c r="C441" s="2983"/>
      <c r="D441" s="1930">
        <f>M441+O441+P441+Q441+R441+S441+T441+U441+V441+W441</f>
        <v>1680740</v>
      </c>
      <c r="E441" s="1548">
        <f>+F441+G441+H441</f>
        <v>0</v>
      </c>
      <c r="F441" s="1933">
        <v>0</v>
      </c>
      <c r="G441" s="1933">
        <v>0</v>
      </c>
      <c r="H441" s="1933">
        <v>0</v>
      </c>
      <c r="I441" s="1933"/>
      <c r="J441" s="1933"/>
      <c r="K441" s="1933"/>
      <c r="L441" s="1933">
        <f>47545-47545</f>
        <v>0</v>
      </c>
      <c r="M441" s="1932">
        <f>+E441+I441+J441+K441+L441+N441</f>
        <v>0</v>
      </c>
      <c r="N441" s="1933">
        <f>57803-57803</f>
        <v>0</v>
      </c>
      <c r="O441" s="1933"/>
      <c r="P441" s="1933">
        <v>0</v>
      </c>
      <c r="Q441" s="1933">
        <v>0</v>
      </c>
      <c r="R441" s="1933">
        <v>621874</v>
      </c>
      <c r="S441" s="1933">
        <v>1058866</v>
      </c>
      <c r="T441" s="1933"/>
      <c r="U441" s="1933"/>
      <c r="V441" s="1933"/>
      <c r="W441" s="1933"/>
      <c r="X441" s="1934">
        <f>SUM(P441:T441)</f>
        <v>1680740</v>
      </c>
      <c r="Y441" s="2970"/>
    </row>
    <row r="442" spans="1:26" ht="13.5" customHeight="1">
      <c r="A442" s="2987"/>
      <c r="B442" s="518" t="s">
        <v>30</v>
      </c>
      <c r="C442" s="2983"/>
      <c r="D442" s="1935">
        <f>+D443</f>
        <v>5375260</v>
      </c>
      <c r="E442" s="1935">
        <f t="shared" ref="E442:S442" si="455">+E443</f>
        <v>0</v>
      </c>
      <c r="F442" s="1935">
        <f t="shared" si="455"/>
        <v>0</v>
      </c>
      <c r="G442" s="1935">
        <f t="shared" si="455"/>
        <v>0</v>
      </c>
      <c r="H442" s="1935">
        <f t="shared" si="455"/>
        <v>0</v>
      </c>
      <c r="I442" s="1935">
        <f t="shared" si="455"/>
        <v>0</v>
      </c>
      <c r="J442" s="1935">
        <f t="shared" si="455"/>
        <v>0</v>
      </c>
      <c r="K442" s="1935">
        <f t="shared" si="455"/>
        <v>0</v>
      </c>
      <c r="L442" s="1935">
        <f t="shared" si="455"/>
        <v>0</v>
      </c>
      <c r="M442" s="1935">
        <f t="shared" si="455"/>
        <v>0</v>
      </c>
      <c r="N442" s="1935">
        <f t="shared" si="455"/>
        <v>0</v>
      </c>
      <c r="O442" s="1935">
        <f t="shared" si="455"/>
        <v>0</v>
      </c>
      <c r="P442" s="1935">
        <f t="shared" si="455"/>
        <v>0</v>
      </c>
      <c r="Q442" s="1935">
        <f t="shared" si="455"/>
        <v>0</v>
      </c>
      <c r="R442" s="1935">
        <f t="shared" si="455"/>
        <v>1988846</v>
      </c>
      <c r="S442" s="1935">
        <f t="shared" si="455"/>
        <v>3386414</v>
      </c>
      <c r="T442" s="1935"/>
      <c r="U442" s="1935"/>
      <c r="V442" s="1935"/>
      <c r="W442" s="1935"/>
      <c r="X442" s="1929">
        <f>+X443</f>
        <v>5375260</v>
      </c>
      <c r="Y442" s="2970"/>
    </row>
    <row r="443" spans="1:26" ht="13.5" customHeight="1">
      <c r="A443" s="2987"/>
      <c r="B443" s="1952" t="s">
        <v>338</v>
      </c>
      <c r="C443" s="3086"/>
      <c r="D443" s="1930">
        <f>M443+O443+P443+Q443+R443+S443+T443+U443+V443+W443</f>
        <v>5375260</v>
      </c>
      <c r="E443" s="1548">
        <f>+F443+G443+H443</f>
        <v>0</v>
      </c>
      <c r="F443" s="1937">
        <v>0</v>
      </c>
      <c r="G443" s="1937">
        <v>0</v>
      </c>
      <c r="H443" s="1937">
        <v>0</v>
      </c>
      <c r="I443" s="1933"/>
      <c r="J443" s="1933"/>
      <c r="K443" s="1933">
        <v>0</v>
      </c>
      <c r="L443" s="1933">
        <v>0</v>
      </c>
      <c r="M443" s="1932">
        <f>+E443+I443+J443+K443+L443+N443</f>
        <v>0</v>
      </c>
      <c r="N443" s="1933">
        <v>0</v>
      </c>
      <c r="O443" s="1933">
        <v>0</v>
      </c>
      <c r="P443" s="1933">
        <v>0</v>
      </c>
      <c r="Q443" s="1933">
        <v>0</v>
      </c>
      <c r="R443" s="1933">
        <v>1988846</v>
      </c>
      <c r="S443" s="1933">
        <v>3386414</v>
      </c>
      <c r="T443" s="1933"/>
      <c r="U443" s="1933"/>
      <c r="V443" s="1933"/>
      <c r="W443" s="1933"/>
      <c r="X443" s="1934">
        <f>SUM(P443:T443)</f>
        <v>5375260</v>
      </c>
      <c r="Y443" s="3085"/>
      <c r="Z443" s="843"/>
    </row>
    <row r="444" spans="1:26" s="988" customFormat="1" ht="14.25" customHeight="1">
      <c r="A444" s="2988"/>
      <c r="B444" s="374" t="s">
        <v>34</v>
      </c>
      <c r="C444" s="375"/>
      <c r="D444" s="1940">
        <f>+D445</f>
        <v>5375260</v>
      </c>
      <c r="E444" s="1940">
        <f t="shared" ref="E444:T445" si="456">+E445</f>
        <v>0</v>
      </c>
      <c r="F444" s="1940">
        <f t="shared" si="456"/>
        <v>0</v>
      </c>
      <c r="G444" s="1940">
        <f t="shared" si="456"/>
        <v>0</v>
      </c>
      <c r="H444" s="1940">
        <f t="shared" si="456"/>
        <v>0</v>
      </c>
      <c r="I444" s="1940">
        <f t="shared" si="456"/>
        <v>0</v>
      </c>
      <c r="J444" s="1940">
        <f t="shared" si="456"/>
        <v>0</v>
      </c>
      <c r="K444" s="1940">
        <f t="shared" si="456"/>
        <v>0</v>
      </c>
      <c r="L444" s="1940">
        <f t="shared" si="456"/>
        <v>0</v>
      </c>
      <c r="M444" s="1940">
        <f t="shared" si="456"/>
        <v>0</v>
      </c>
      <c r="N444" s="1940">
        <f t="shared" si="456"/>
        <v>0</v>
      </c>
      <c r="O444" s="1940">
        <f t="shared" si="456"/>
        <v>0</v>
      </c>
      <c r="P444" s="1940">
        <f t="shared" si="456"/>
        <v>0</v>
      </c>
      <c r="Q444" s="1940">
        <f t="shared" si="456"/>
        <v>0</v>
      </c>
      <c r="R444" s="1940">
        <f t="shared" si="456"/>
        <v>0</v>
      </c>
      <c r="S444" s="1940">
        <f t="shared" si="456"/>
        <v>3657763</v>
      </c>
      <c r="T444" s="1940">
        <f t="shared" si="456"/>
        <v>1717497</v>
      </c>
      <c r="U444" s="1940"/>
      <c r="V444" s="1940"/>
      <c r="W444" s="1940"/>
      <c r="X444" s="2959" t="s">
        <v>35</v>
      </c>
      <c r="Y444" s="3045" t="s">
        <v>122</v>
      </c>
    </row>
    <row r="445" spans="1:26" s="990" customFormat="1">
      <c r="A445" s="2988"/>
      <c r="B445" s="518" t="s">
        <v>30</v>
      </c>
      <c r="C445" s="3024" t="s">
        <v>101</v>
      </c>
      <c r="D445" s="1942">
        <f>+D446</f>
        <v>5375260</v>
      </c>
      <c r="E445" s="1942">
        <f t="shared" si="456"/>
        <v>0</v>
      </c>
      <c r="F445" s="1942">
        <f t="shared" si="456"/>
        <v>0</v>
      </c>
      <c r="G445" s="1942">
        <f t="shared" si="456"/>
        <v>0</v>
      </c>
      <c r="H445" s="1942">
        <f t="shared" si="456"/>
        <v>0</v>
      </c>
      <c r="I445" s="1942">
        <f t="shared" si="456"/>
        <v>0</v>
      </c>
      <c r="J445" s="1953">
        <f t="shared" si="456"/>
        <v>0</v>
      </c>
      <c r="K445" s="1953">
        <f t="shared" si="456"/>
        <v>0</v>
      </c>
      <c r="L445" s="1953">
        <f t="shared" si="456"/>
        <v>0</v>
      </c>
      <c r="M445" s="1953">
        <f t="shared" si="456"/>
        <v>0</v>
      </c>
      <c r="N445" s="1942">
        <f t="shared" si="456"/>
        <v>0</v>
      </c>
      <c r="O445" s="1953">
        <f t="shared" si="456"/>
        <v>0</v>
      </c>
      <c r="P445" s="1942">
        <f t="shared" si="456"/>
        <v>0</v>
      </c>
      <c r="Q445" s="1953">
        <f t="shared" si="456"/>
        <v>0</v>
      </c>
      <c r="R445" s="1953">
        <f t="shared" si="456"/>
        <v>0</v>
      </c>
      <c r="S445" s="1953">
        <f t="shared" si="456"/>
        <v>3657763</v>
      </c>
      <c r="T445" s="1953">
        <f t="shared" si="456"/>
        <v>1717497</v>
      </c>
      <c r="U445" s="1942"/>
      <c r="V445" s="1942"/>
      <c r="W445" s="1942"/>
      <c r="X445" s="2943"/>
      <c r="Y445" s="3033"/>
    </row>
    <row r="446" spans="1:26" s="988" customFormat="1" ht="12" customHeight="1" thickBot="1">
      <c r="A446" s="2989"/>
      <c r="B446" s="573" t="s">
        <v>32</v>
      </c>
      <c r="C446" s="2995"/>
      <c r="D446" s="1221">
        <f>M446+O446+P446+Q446+R446+S446+T446+U446+V446+W446</f>
        <v>5375260</v>
      </c>
      <c r="E446" s="492">
        <f>+F446+G446+H446</f>
        <v>0</v>
      </c>
      <c r="F446" s="555">
        <v>0</v>
      </c>
      <c r="G446" s="556">
        <v>0</v>
      </c>
      <c r="H446" s="557">
        <v>0</v>
      </c>
      <c r="I446" s="1068">
        <v>0</v>
      </c>
      <c r="J446" s="556"/>
      <c r="K446" s="556">
        <v>0</v>
      </c>
      <c r="L446" s="556"/>
      <c r="M446" s="1221">
        <f>+E446+I446+J446+K446+L446+N446</f>
        <v>0</v>
      </c>
      <c r="N446" s="555">
        <v>0</v>
      </c>
      <c r="O446" s="556">
        <v>0</v>
      </c>
      <c r="P446" s="556">
        <f>2550000-2550000</f>
        <v>0</v>
      </c>
      <c r="Q446" s="556">
        <v>0</v>
      </c>
      <c r="R446" s="556">
        <v>0</v>
      </c>
      <c r="S446" s="556">
        <v>3657763</v>
      </c>
      <c r="T446" s="556">
        <v>1717497</v>
      </c>
      <c r="U446" s="556"/>
      <c r="V446" s="556"/>
      <c r="W446" s="556"/>
      <c r="X446" s="2944"/>
      <c r="Y446" s="3034"/>
    </row>
    <row r="447" spans="1:26" ht="28.5" customHeight="1">
      <c r="A447" s="2986" t="s">
        <v>474</v>
      </c>
      <c r="B447" s="1073" t="s">
        <v>482</v>
      </c>
      <c r="C447" s="434" t="s">
        <v>98</v>
      </c>
      <c r="D447" s="617"/>
      <c r="E447" s="436"/>
      <c r="F447" s="437"/>
      <c r="G447" s="437"/>
      <c r="H447" s="436"/>
      <c r="I447" s="436"/>
      <c r="J447" s="436"/>
      <c r="K447" s="436"/>
      <c r="L447" s="436"/>
      <c r="M447" s="436"/>
      <c r="N447" s="436"/>
      <c r="O447" s="436"/>
      <c r="P447" s="438"/>
      <c r="Q447" s="438"/>
      <c r="R447" s="438"/>
      <c r="S447" s="916"/>
      <c r="T447" s="437"/>
      <c r="U447" s="916"/>
      <c r="V447" s="916"/>
      <c r="W447" s="916"/>
      <c r="X447" s="477"/>
      <c r="Y447" s="2969" t="s">
        <v>104</v>
      </c>
      <c r="Z447" s="1283" t="s">
        <v>515</v>
      </c>
    </row>
    <row r="448" spans="1:26" ht="15.75" customHeight="1">
      <c r="A448" s="2987"/>
      <c r="B448" s="374" t="s">
        <v>22</v>
      </c>
      <c r="C448" s="375"/>
      <c r="D448" s="1950">
        <f>+D449+D451</f>
        <v>5166000</v>
      </c>
      <c r="E448" s="1950">
        <f t="shared" ref="E448:S448" si="457">+E449+E451</f>
        <v>0</v>
      </c>
      <c r="F448" s="1950">
        <f t="shared" si="457"/>
        <v>0</v>
      </c>
      <c r="G448" s="1950">
        <f t="shared" si="457"/>
        <v>0</v>
      </c>
      <c r="H448" s="1950">
        <f t="shared" si="457"/>
        <v>0</v>
      </c>
      <c r="I448" s="1950">
        <f t="shared" si="457"/>
        <v>0</v>
      </c>
      <c r="J448" s="1950">
        <f t="shared" si="457"/>
        <v>0</v>
      </c>
      <c r="K448" s="1950">
        <f t="shared" si="457"/>
        <v>0</v>
      </c>
      <c r="L448" s="1950">
        <f t="shared" si="457"/>
        <v>0</v>
      </c>
      <c r="M448" s="1950">
        <f t="shared" si="457"/>
        <v>0</v>
      </c>
      <c r="N448" s="1950">
        <f t="shared" si="457"/>
        <v>0</v>
      </c>
      <c r="O448" s="1950">
        <f t="shared" si="457"/>
        <v>0</v>
      </c>
      <c r="P448" s="1950">
        <f t="shared" si="457"/>
        <v>0</v>
      </c>
      <c r="Q448" s="1950">
        <f t="shared" si="457"/>
        <v>0</v>
      </c>
      <c r="R448" s="1950">
        <f t="shared" si="457"/>
        <v>1911420</v>
      </c>
      <c r="S448" s="1950">
        <f t="shared" si="457"/>
        <v>3254580</v>
      </c>
      <c r="T448" s="1950"/>
      <c r="U448" s="1950"/>
      <c r="V448" s="1950"/>
      <c r="W448" s="1950"/>
      <c r="X448" s="1544">
        <f>+X449+X451</f>
        <v>5166000</v>
      </c>
      <c r="Y448" s="2970"/>
    </row>
    <row r="449" spans="1:26">
      <c r="A449" s="2987"/>
      <c r="B449" s="526" t="s">
        <v>36</v>
      </c>
      <c r="C449" s="3024" t="s">
        <v>101</v>
      </c>
      <c r="D449" s="1951">
        <f>+D450</f>
        <v>1230541</v>
      </c>
      <c r="E449" s="1951">
        <f t="shared" ref="E449:S449" si="458">+E450</f>
        <v>0</v>
      </c>
      <c r="F449" s="1951">
        <f t="shared" si="458"/>
        <v>0</v>
      </c>
      <c r="G449" s="1951">
        <f t="shared" si="458"/>
        <v>0</v>
      </c>
      <c r="H449" s="1951">
        <f t="shared" si="458"/>
        <v>0</v>
      </c>
      <c r="I449" s="1951">
        <f t="shared" si="458"/>
        <v>0</v>
      </c>
      <c r="J449" s="1951">
        <f t="shared" si="458"/>
        <v>0</v>
      </c>
      <c r="K449" s="1951">
        <f t="shared" si="458"/>
        <v>0</v>
      </c>
      <c r="L449" s="1951">
        <f t="shared" si="458"/>
        <v>0</v>
      </c>
      <c r="M449" s="1951">
        <f t="shared" si="458"/>
        <v>0</v>
      </c>
      <c r="N449" s="1951">
        <f t="shared" si="458"/>
        <v>0</v>
      </c>
      <c r="O449" s="1951">
        <f t="shared" si="458"/>
        <v>0</v>
      </c>
      <c r="P449" s="1951">
        <f t="shared" si="458"/>
        <v>0</v>
      </c>
      <c r="Q449" s="1951">
        <f t="shared" si="458"/>
        <v>0</v>
      </c>
      <c r="R449" s="1951">
        <f t="shared" si="458"/>
        <v>455300</v>
      </c>
      <c r="S449" s="1951">
        <f t="shared" si="458"/>
        <v>775241</v>
      </c>
      <c r="T449" s="1951"/>
      <c r="U449" s="1951"/>
      <c r="V449" s="1951"/>
      <c r="W449" s="1951"/>
      <c r="X449" s="1929">
        <f>+X450</f>
        <v>1230541</v>
      </c>
      <c r="Y449" s="2970"/>
    </row>
    <row r="450" spans="1:26">
      <c r="A450" s="2987"/>
      <c r="B450" s="527" t="s">
        <v>24</v>
      </c>
      <c r="C450" s="2983"/>
      <c r="D450" s="1930">
        <f>M450+O450+P450+Q450+R450+S450+T450+U450+V450+W450</f>
        <v>1230541</v>
      </c>
      <c r="E450" s="1548">
        <f>+F450+G450+H450</f>
        <v>0</v>
      </c>
      <c r="F450" s="1933">
        <v>0</v>
      </c>
      <c r="G450" s="1933">
        <v>0</v>
      </c>
      <c r="H450" s="1933">
        <v>0</v>
      </c>
      <c r="I450" s="1933"/>
      <c r="J450" s="1933"/>
      <c r="K450" s="1933"/>
      <c r="L450" s="1933">
        <f>47545-47545</f>
        <v>0</v>
      </c>
      <c r="M450" s="1932">
        <f>+E450+I450+J450+K450+L450+N450</f>
        <v>0</v>
      </c>
      <c r="N450" s="1933">
        <f>57803-57803</f>
        <v>0</v>
      </c>
      <c r="O450" s="1933"/>
      <c r="P450" s="1933">
        <v>0</v>
      </c>
      <c r="Q450" s="1933">
        <v>0</v>
      </c>
      <c r="R450" s="1933">
        <v>455300</v>
      </c>
      <c r="S450" s="1933">
        <v>775241</v>
      </c>
      <c r="T450" s="1933"/>
      <c r="U450" s="1933"/>
      <c r="V450" s="1933"/>
      <c r="W450" s="1933"/>
      <c r="X450" s="1934">
        <f>SUM(P450:T450)</f>
        <v>1230541</v>
      </c>
      <c r="Y450" s="2970"/>
    </row>
    <row r="451" spans="1:26">
      <c r="A451" s="2987"/>
      <c r="B451" s="518" t="s">
        <v>30</v>
      </c>
      <c r="C451" s="2983"/>
      <c r="D451" s="1935">
        <f>+D452</f>
        <v>3935459</v>
      </c>
      <c r="E451" s="1935">
        <f t="shared" ref="E451:S451" si="459">+E452</f>
        <v>0</v>
      </c>
      <c r="F451" s="1935">
        <f t="shared" si="459"/>
        <v>0</v>
      </c>
      <c r="G451" s="1935">
        <f t="shared" si="459"/>
        <v>0</v>
      </c>
      <c r="H451" s="1935">
        <f t="shared" si="459"/>
        <v>0</v>
      </c>
      <c r="I451" s="1935">
        <f t="shared" si="459"/>
        <v>0</v>
      </c>
      <c r="J451" s="1935">
        <f t="shared" si="459"/>
        <v>0</v>
      </c>
      <c r="K451" s="1935">
        <f t="shared" si="459"/>
        <v>0</v>
      </c>
      <c r="L451" s="1935">
        <f t="shared" si="459"/>
        <v>0</v>
      </c>
      <c r="M451" s="1935">
        <f t="shared" si="459"/>
        <v>0</v>
      </c>
      <c r="N451" s="1935">
        <f t="shared" si="459"/>
        <v>0</v>
      </c>
      <c r="O451" s="1935">
        <f t="shared" si="459"/>
        <v>0</v>
      </c>
      <c r="P451" s="1935">
        <f t="shared" si="459"/>
        <v>0</v>
      </c>
      <c r="Q451" s="1935">
        <f t="shared" si="459"/>
        <v>0</v>
      </c>
      <c r="R451" s="1935">
        <f t="shared" si="459"/>
        <v>1456120</v>
      </c>
      <c r="S451" s="1935">
        <f t="shared" si="459"/>
        <v>2479339</v>
      </c>
      <c r="T451" s="1935"/>
      <c r="U451" s="1935"/>
      <c r="V451" s="1935"/>
      <c r="W451" s="1935"/>
      <c r="X451" s="1929">
        <f>+X452</f>
        <v>3935459</v>
      </c>
      <c r="Y451" s="2970"/>
    </row>
    <row r="452" spans="1:26">
      <c r="A452" s="2987"/>
      <c r="B452" s="1952" t="s">
        <v>338</v>
      </c>
      <c r="C452" s="3086"/>
      <c r="D452" s="1930">
        <f>M452+O452+P452+Q452+R452+S452+T452+U452+V452+W452</f>
        <v>3935459</v>
      </c>
      <c r="E452" s="1548">
        <f>+F452+G452+H452</f>
        <v>0</v>
      </c>
      <c r="F452" s="1937">
        <v>0</v>
      </c>
      <c r="G452" s="1937">
        <v>0</v>
      </c>
      <c r="H452" s="1937">
        <v>0</v>
      </c>
      <c r="I452" s="1933"/>
      <c r="J452" s="1933"/>
      <c r="K452" s="1933">
        <v>0</v>
      </c>
      <c r="L452" s="1933">
        <v>0</v>
      </c>
      <c r="M452" s="1932">
        <f>+E452+I452+J452+K452+L452+N452</f>
        <v>0</v>
      </c>
      <c r="N452" s="1933">
        <v>0</v>
      </c>
      <c r="O452" s="1933">
        <v>0</v>
      </c>
      <c r="P452" s="1933">
        <v>0</v>
      </c>
      <c r="Q452" s="1933">
        <v>0</v>
      </c>
      <c r="R452" s="1933">
        <v>1456120</v>
      </c>
      <c r="S452" s="1933">
        <v>2479339</v>
      </c>
      <c r="T452" s="1933"/>
      <c r="U452" s="1933"/>
      <c r="V452" s="1933"/>
      <c r="W452" s="1933"/>
      <c r="X452" s="1934">
        <f>SUM(P452:T452)</f>
        <v>3935459</v>
      </c>
      <c r="Y452" s="3085"/>
      <c r="Z452" s="843"/>
    </row>
    <row r="453" spans="1:26" s="988" customFormat="1" ht="15.75" customHeight="1">
      <c r="A453" s="2988"/>
      <c r="B453" s="374" t="s">
        <v>34</v>
      </c>
      <c r="C453" s="375"/>
      <c r="D453" s="1940">
        <f>+D454</f>
        <v>3935459</v>
      </c>
      <c r="E453" s="1940">
        <f t="shared" ref="E453:T454" si="460">+E454</f>
        <v>0</v>
      </c>
      <c r="F453" s="1940">
        <f t="shared" si="460"/>
        <v>0</v>
      </c>
      <c r="G453" s="1940">
        <f t="shared" si="460"/>
        <v>0</v>
      </c>
      <c r="H453" s="1940">
        <f t="shared" si="460"/>
        <v>0</v>
      </c>
      <c r="I453" s="1940">
        <f t="shared" si="460"/>
        <v>0</v>
      </c>
      <c r="J453" s="1940">
        <f t="shared" si="460"/>
        <v>0</v>
      </c>
      <c r="K453" s="1940">
        <f t="shared" si="460"/>
        <v>0</v>
      </c>
      <c r="L453" s="1940">
        <f t="shared" si="460"/>
        <v>0</v>
      </c>
      <c r="M453" s="1940">
        <f t="shared" si="460"/>
        <v>0</v>
      </c>
      <c r="N453" s="1940">
        <f t="shared" si="460"/>
        <v>0</v>
      </c>
      <c r="O453" s="1940">
        <f t="shared" si="460"/>
        <v>0</v>
      </c>
      <c r="P453" s="1940">
        <f t="shared" si="460"/>
        <v>0</v>
      </c>
      <c r="Q453" s="1940">
        <f t="shared" si="460"/>
        <v>0</v>
      </c>
      <c r="R453" s="1940">
        <f t="shared" si="460"/>
        <v>0</v>
      </c>
      <c r="S453" s="1940">
        <f t="shared" si="460"/>
        <v>2671398</v>
      </c>
      <c r="T453" s="1940">
        <f t="shared" si="460"/>
        <v>1264061</v>
      </c>
      <c r="U453" s="1940"/>
      <c r="V453" s="1940"/>
      <c r="W453" s="1940"/>
      <c r="X453" s="2959" t="s">
        <v>35</v>
      </c>
      <c r="Y453" s="3045" t="s">
        <v>122</v>
      </c>
    </row>
    <row r="454" spans="1:26" s="990" customFormat="1" ht="12.75" customHeight="1">
      <c r="A454" s="2988"/>
      <c r="B454" s="518" t="s">
        <v>30</v>
      </c>
      <c r="C454" s="3024" t="s">
        <v>101</v>
      </c>
      <c r="D454" s="1942">
        <f>+D455</f>
        <v>3935459</v>
      </c>
      <c r="E454" s="1942">
        <f t="shared" si="460"/>
        <v>0</v>
      </c>
      <c r="F454" s="1942">
        <f t="shared" si="460"/>
        <v>0</v>
      </c>
      <c r="G454" s="1942">
        <f t="shared" si="460"/>
        <v>0</v>
      </c>
      <c r="H454" s="1942">
        <f t="shared" si="460"/>
        <v>0</v>
      </c>
      <c r="I454" s="1942">
        <f t="shared" si="460"/>
        <v>0</v>
      </c>
      <c r="J454" s="1953">
        <f t="shared" si="460"/>
        <v>0</v>
      </c>
      <c r="K454" s="1953">
        <f t="shared" si="460"/>
        <v>0</v>
      </c>
      <c r="L454" s="1953">
        <f t="shared" si="460"/>
        <v>0</v>
      </c>
      <c r="M454" s="1953">
        <f t="shared" si="460"/>
        <v>0</v>
      </c>
      <c r="N454" s="1942">
        <f t="shared" si="460"/>
        <v>0</v>
      </c>
      <c r="O454" s="1953">
        <f t="shared" si="460"/>
        <v>0</v>
      </c>
      <c r="P454" s="1942">
        <f t="shared" si="460"/>
        <v>0</v>
      </c>
      <c r="Q454" s="1953">
        <f t="shared" si="460"/>
        <v>0</v>
      </c>
      <c r="R454" s="1953">
        <f t="shared" si="460"/>
        <v>0</v>
      </c>
      <c r="S454" s="1953">
        <f t="shared" si="460"/>
        <v>2671398</v>
      </c>
      <c r="T454" s="1953">
        <f t="shared" si="460"/>
        <v>1264061</v>
      </c>
      <c r="U454" s="1942"/>
      <c r="V454" s="1942"/>
      <c r="W454" s="1942"/>
      <c r="X454" s="2943"/>
      <c r="Y454" s="3033"/>
    </row>
    <row r="455" spans="1:26" s="988" customFormat="1" ht="12" customHeight="1" thickBot="1">
      <c r="A455" s="2989"/>
      <c r="B455" s="573" t="s">
        <v>32</v>
      </c>
      <c r="C455" s="2995"/>
      <c r="D455" s="1221">
        <f>M455+O455+P455+Q455+R455+S455+T455+U455+V455+W455</f>
        <v>3935459</v>
      </c>
      <c r="E455" s="492">
        <f>+F455+G455+H455</f>
        <v>0</v>
      </c>
      <c r="F455" s="555">
        <v>0</v>
      </c>
      <c r="G455" s="556">
        <v>0</v>
      </c>
      <c r="H455" s="557">
        <v>0</v>
      </c>
      <c r="I455" s="1068">
        <v>0</v>
      </c>
      <c r="J455" s="556"/>
      <c r="K455" s="556">
        <v>0</v>
      </c>
      <c r="L455" s="556"/>
      <c r="M455" s="1221">
        <f>+E455+I455+J455+K455+L455+N455</f>
        <v>0</v>
      </c>
      <c r="N455" s="555">
        <v>0</v>
      </c>
      <c r="O455" s="556">
        <v>0</v>
      </c>
      <c r="P455" s="556">
        <f>2550000-2550000</f>
        <v>0</v>
      </c>
      <c r="Q455" s="556">
        <v>0</v>
      </c>
      <c r="R455" s="556">
        <v>0</v>
      </c>
      <c r="S455" s="556">
        <v>2671398</v>
      </c>
      <c r="T455" s="556">
        <v>1264061</v>
      </c>
      <c r="U455" s="556"/>
      <c r="V455" s="556"/>
      <c r="W455" s="556"/>
      <c r="X455" s="2944"/>
      <c r="Y455" s="3034"/>
    </row>
    <row r="456" spans="1:26" s="988" customFormat="1" ht="30.75" customHeight="1">
      <c r="A456" s="3101" t="s">
        <v>476</v>
      </c>
      <c r="B456" s="1073" t="s">
        <v>432</v>
      </c>
      <c r="C456" s="434" t="s">
        <v>130</v>
      </c>
      <c r="D456" s="617"/>
      <c r="E456" s="436"/>
      <c r="F456" s="437"/>
      <c r="G456" s="437"/>
      <c r="H456" s="436"/>
      <c r="I456" s="436"/>
      <c r="J456" s="436"/>
      <c r="K456" s="436"/>
      <c r="L456" s="436"/>
      <c r="M456" s="436"/>
      <c r="N456" s="436"/>
      <c r="O456" s="436"/>
      <c r="P456" s="438"/>
      <c r="Q456" s="438"/>
      <c r="R456" s="438"/>
      <c r="S456" s="436"/>
      <c r="T456" s="437"/>
      <c r="U456" s="916"/>
      <c r="V456" s="916"/>
      <c r="W456" s="916"/>
      <c r="X456" s="477"/>
      <c r="Y456" s="2969" t="s">
        <v>526</v>
      </c>
    </row>
    <row r="457" spans="1:26" s="988" customFormat="1" ht="15.75" customHeight="1">
      <c r="A457" s="3102"/>
      <c r="B457" s="374" t="s">
        <v>22</v>
      </c>
      <c r="C457" s="2381"/>
      <c r="D457" s="2330">
        <f>+D458+D463</f>
        <v>452222</v>
      </c>
      <c r="E457" s="2330"/>
      <c r="F457" s="2330"/>
      <c r="G457" s="2330"/>
      <c r="H457" s="2330"/>
      <c r="I457" s="2330"/>
      <c r="J457" s="2330"/>
      <c r="K457" s="2330"/>
      <c r="L457" s="2330"/>
      <c r="M457" s="2330"/>
      <c r="N457" s="2330"/>
      <c r="O457" s="2330"/>
      <c r="P457" s="2330">
        <f>+P458+P463</f>
        <v>48546</v>
      </c>
      <c r="Q457" s="2330">
        <f t="shared" ref="Q457:S457" si="461">+Q458+Q463</f>
        <v>266706</v>
      </c>
      <c r="R457" s="2330">
        <f t="shared" si="461"/>
        <v>115385</v>
      </c>
      <c r="S457" s="2330">
        <f t="shared" si="461"/>
        <v>21585</v>
      </c>
      <c r="T457" s="2330"/>
      <c r="U457" s="2330"/>
      <c r="V457" s="2330"/>
      <c r="W457" s="2330"/>
      <c r="X457" s="2383">
        <f>+X458+X463</f>
        <v>452222</v>
      </c>
      <c r="Y457" s="2970"/>
    </row>
    <row r="458" spans="1:26" s="988" customFormat="1" ht="12.75" customHeight="1">
      <c r="A458" s="3102"/>
      <c r="B458" s="526" t="s">
        <v>36</v>
      </c>
      <c r="C458" s="3024" t="s">
        <v>132</v>
      </c>
      <c r="D458" s="2414">
        <f>+D459</f>
        <v>67833</v>
      </c>
      <c r="E458" s="2414"/>
      <c r="F458" s="2414"/>
      <c r="G458" s="2414"/>
      <c r="H458" s="2414"/>
      <c r="I458" s="2414"/>
      <c r="J458" s="2414"/>
      <c r="K458" s="2414"/>
      <c r="L458" s="2414"/>
      <c r="M458" s="2414"/>
      <c r="N458" s="2414"/>
      <c r="O458" s="2414"/>
      <c r="P458" s="2414">
        <f>+P459</f>
        <v>7282</v>
      </c>
      <c r="Q458" s="2414">
        <f t="shared" ref="Q458:S458" si="462">+Q459</f>
        <v>40006</v>
      </c>
      <c r="R458" s="2414">
        <f t="shared" si="462"/>
        <v>17308</v>
      </c>
      <c r="S458" s="2414">
        <f t="shared" si="462"/>
        <v>3237</v>
      </c>
      <c r="T458" s="2414"/>
      <c r="U458" s="2414"/>
      <c r="V458" s="2414"/>
      <c r="W458" s="2414"/>
      <c r="X458" s="2385">
        <f>SUM(M458:W458)</f>
        <v>67833</v>
      </c>
      <c r="Y458" s="2970"/>
    </row>
    <row r="459" spans="1:26" s="988" customFormat="1" ht="12.75" customHeight="1">
      <c r="A459" s="3102"/>
      <c r="B459" s="527" t="s">
        <v>24</v>
      </c>
      <c r="C459" s="2983"/>
      <c r="D459" s="1930">
        <f>+M459+O459+P459+Q459+R459+S459+T459+U459+V459+W459</f>
        <v>67833</v>
      </c>
      <c r="E459" s="2312"/>
      <c r="F459" s="2388"/>
      <c r="G459" s="2388"/>
      <c r="H459" s="2388"/>
      <c r="I459" s="2388"/>
      <c r="J459" s="2388"/>
      <c r="K459" s="2388"/>
      <c r="L459" s="2388"/>
      <c r="M459" s="2387"/>
      <c r="N459" s="2388"/>
      <c r="O459" s="2388"/>
      <c r="P459" s="2388">
        <f>+P461+P462</f>
        <v>7282</v>
      </c>
      <c r="Q459" s="2388">
        <f>+Q461+Q462</f>
        <v>40006</v>
      </c>
      <c r="R459" s="2388">
        <f t="shared" ref="R459:S459" si="463">+R461+R462</f>
        <v>17308</v>
      </c>
      <c r="S459" s="2388">
        <f t="shared" si="463"/>
        <v>3237</v>
      </c>
      <c r="T459" s="2388"/>
      <c r="U459" s="2388"/>
      <c r="V459" s="2388"/>
      <c r="W459" s="2388"/>
      <c r="X459" s="2389">
        <f>SUM(P459:W459)</f>
        <v>67833</v>
      </c>
      <c r="Y459" s="2970"/>
    </row>
    <row r="460" spans="1:26" s="988" customFormat="1" ht="12.75" hidden="1" customHeight="1">
      <c r="A460" s="3102"/>
      <c r="B460" s="527" t="s">
        <v>188</v>
      </c>
      <c r="C460" s="2983"/>
      <c r="D460" s="1930"/>
      <c r="E460" s="2386"/>
      <c r="F460" s="2388"/>
      <c r="G460" s="2388"/>
      <c r="H460" s="2388"/>
      <c r="I460" s="2388"/>
      <c r="J460" s="2388"/>
      <c r="K460" s="2388"/>
      <c r="L460" s="2388"/>
      <c r="M460" s="2387"/>
      <c r="N460" s="2388"/>
      <c r="O460" s="2388"/>
      <c r="P460" s="2388"/>
      <c r="Q460" s="2388"/>
      <c r="R460" s="2388"/>
      <c r="S460" s="2388"/>
      <c r="T460" s="2388"/>
      <c r="U460" s="2388"/>
      <c r="V460" s="2388"/>
      <c r="W460" s="2388"/>
      <c r="X460" s="2389"/>
      <c r="Y460" s="2970"/>
    </row>
    <row r="461" spans="1:26" s="988" customFormat="1" ht="12.75" hidden="1" customHeight="1">
      <c r="A461" s="3102"/>
      <c r="B461" s="527" t="s">
        <v>131</v>
      </c>
      <c r="C461" s="2983"/>
      <c r="D461" s="1930">
        <f>+M461+O461+P461+Q461+R461+S461+T461+U461+V461+W461</f>
        <v>54945</v>
      </c>
      <c r="E461" s="2386"/>
      <c r="F461" s="2388"/>
      <c r="G461" s="2388"/>
      <c r="H461" s="2388"/>
      <c r="I461" s="2388"/>
      <c r="J461" s="2388"/>
      <c r="K461" s="2388"/>
      <c r="L461" s="2388"/>
      <c r="M461" s="2387"/>
      <c r="N461" s="2388"/>
      <c r="O461" s="2388"/>
      <c r="P461" s="2388">
        <f>3963</f>
        <v>3963</v>
      </c>
      <c r="Q461" s="2388">
        <f>35747</f>
        <v>35747</v>
      </c>
      <c r="R461" s="2388">
        <f>12993</f>
        <v>12993</v>
      </c>
      <c r="S461" s="2388">
        <f>2242</f>
        <v>2242</v>
      </c>
      <c r="T461" s="2388"/>
      <c r="U461" s="2388"/>
      <c r="V461" s="2388"/>
      <c r="W461" s="2388"/>
      <c r="X461" s="2389"/>
      <c r="Y461" s="2970"/>
    </row>
    <row r="462" spans="1:26" s="988" customFormat="1" ht="12.75" hidden="1" customHeight="1">
      <c r="A462" s="3102"/>
      <c r="B462" s="527" t="s">
        <v>445</v>
      </c>
      <c r="C462" s="2983"/>
      <c r="D462" s="1930">
        <f>+M462+O462+P462+Q462+R462+S462+T462+U462+V462+W462</f>
        <v>12888</v>
      </c>
      <c r="E462" s="2386"/>
      <c r="F462" s="2388"/>
      <c r="G462" s="2388"/>
      <c r="H462" s="2388"/>
      <c r="I462" s="2388"/>
      <c r="J462" s="2388"/>
      <c r="K462" s="2388"/>
      <c r="L462" s="2388"/>
      <c r="M462" s="2387"/>
      <c r="N462" s="2388"/>
      <c r="O462" s="2388"/>
      <c r="P462" s="2388">
        <v>3319</v>
      </c>
      <c r="Q462" s="2388">
        <v>4259</v>
      </c>
      <c r="R462" s="2388">
        <v>4315</v>
      </c>
      <c r="S462" s="2388">
        <v>995</v>
      </c>
      <c r="T462" s="2388"/>
      <c r="U462" s="2388"/>
      <c r="V462" s="2388"/>
      <c r="W462" s="2388"/>
      <c r="X462" s="2389"/>
      <c r="Y462" s="2970"/>
    </row>
    <row r="463" spans="1:26" s="988" customFormat="1" ht="12.75" customHeight="1">
      <c r="A463" s="3102"/>
      <c r="B463" s="518" t="s">
        <v>30</v>
      </c>
      <c r="C463" s="2983"/>
      <c r="D463" s="2390">
        <f>+D464</f>
        <v>384389</v>
      </c>
      <c r="E463" s="2390"/>
      <c r="F463" s="2390"/>
      <c r="G463" s="2390"/>
      <c r="H463" s="2390"/>
      <c r="I463" s="2390"/>
      <c r="J463" s="2390"/>
      <c r="K463" s="2390"/>
      <c r="L463" s="2390"/>
      <c r="M463" s="2390"/>
      <c r="N463" s="2390"/>
      <c r="O463" s="2390"/>
      <c r="P463" s="2390">
        <f>+P464</f>
        <v>41264</v>
      </c>
      <c r="Q463" s="2390">
        <f t="shared" ref="Q463:S463" si="464">+Q464</f>
        <v>226700</v>
      </c>
      <c r="R463" s="2390">
        <f t="shared" si="464"/>
        <v>98077</v>
      </c>
      <c r="S463" s="2390">
        <f t="shared" si="464"/>
        <v>18348</v>
      </c>
      <c r="T463" s="2390"/>
      <c r="U463" s="2390"/>
      <c r="V463" s="2390"/>
      <c r="W463" s="2390"/>
      <c r="X463" s="2385">
        <f>+X464</f>
        <v>384389</v>
      </c>
      <c r="Y463" s="2970"/>
    </row>
    <row r="464" spans="1:26" s="988" customFormat="1" ht="12.75" customHeight="1">
      <c r="A464" s="3102"/>
      <c r="B464" s="1952" t="s">
        <v>338</v>
      </c>
      <c r="C464" s="3086"/>
      <c r="D464" s="1930">
        <f>+M464+O464+P464+Q464+R464+S464+T464+U464+V464+W464</f>
        <v>384389</v>
      </c>
      <c r="E464" s="2312"/>
      <c r="F464" s="2325"/>
      <c r="G464" s="2325"/>
      <c r="H464" s="2325"/>
      <c r="I464" s="2388"/>
      <c r="J464" s="2388"/>
      <c r="K464" s="2388"/>
      <c r="L464" s="2388"/>
      <c r="M464" s="2387"/>
      <c r="N464" s="2388"/>
      <c r="O464" s="2388"/>
      <c r="P464" s="2388">
        <f>+P466+P467</f>
        <v>41264</v>
      </c>
      <c r="Q464" s="2388">
        <f t="shared" ref="Q464:S464" si="465">+Q466+Q467</f>
        <v>226700</v>
      </c>
      <c r="R464" s="2388">
        <f t="shared" si="465"/>
        <v>98077</v>
      </c>
      <c r="S464" s="2388">
        <f t="shared" si="465"/>
        <v>18348</v>
      </c>
      <c r="T464" s="2388"/>
      <c r="U464" s="2388"/>
      <c r="V464" s="2388"/>
      <c r="W464" s="2388"/>
      <c r="X464" s="2389">
        <f>SUM(P464:W464)</f>
        <v>384389</v>
      </c>
      <c r="Y464" s="2970"/>
    </row>
    <row r="465" spans="1:27" s="988" customFormat="1" ht="12.75" hidden="1" customHeight="1">
      <c r="A465" s="3102"/>
      <c r="B465" s="527" t="s">
        <v>188</v>
      </c>
      <c r="C465" s="2652"/>
      <c r="D465" s="1930"/>
      <c r="E465" s="2386"/>
      <c r="F465" s="1938"/>
      <c r="G465" s="1938"/>
      <c r="H465" s="1938"/>
      <c r="I465" s="2388"/>
      <c r="J465" s="2388"/>
      <c r="K465" s="2388"/>
      <c r="L465" s="2388"/>
      <c r="M465" s="2387"/>
      <c r="N465" s="2388"/>
      <c r="O465" s="2388"/>
      <c r="P465" s="2388"/>
      <c r="Q465" s="2388"/>
      <c r="R465" s="2388"/>
      <c r="S465" s="2388"/>
      <c r="T465" s="2388"/>
      <c r="U465" s="2388"/>
      <c r="V465" s="2388"/>
      <c r="W465" s="2388"/>
      <c r="X465" s="2092"/>
      <c r="Y465" s="2970"/>
    </row>
    <row r="466" spans="1:27" s="988" customFormat="1" ht="12.75" hidden="1" customHeight="1">
      <c r="A466" s="3102"/>
      <c r="B466" s="527" t="s">
        <v>131</v>
      </c>
      <c r="C466" s="2652"/>
      <c r="D466" s="1930">
        <f>+M466+O466+P466+Q466+R466+S466+T466+U466+V466+W466</f>
        <v>311347</v>
      </c>
      <c r="E466" s="2386"/>
      <c r="F466" s="1938"/>
      <c r="G466" s="1938"/>
      <c r="H466" s="1938"/>
      <c r="I466" s="2388"/>
      <c r="J466" s="2388"/>
      <c r="K466" s="2388"/>
      <c r="L466" s="2388"/>
      <c r="M466" s="2387"/>
      <c r="N466" s="2388"/>
      <c r="O466" s="2388"/>
      <c r="P466" s="2388">
        <v>22455</v>
      </c>
      <c r="Q466" s="2388">
        <v>202561</v>
      </c>
      <c r="R466" s="2388">
        <v>73627</v>
      </c>
      <c r="S466" s="2388">
        <v>12704</v>
      </c>
      <c r="T466" s="2388"/>
      <c r="U466" s="2388"/>
      <c r="V466" s="2388"/>
      <c r="W466" s="2388"/>
      <c r="X466" s="2092"/>
      <c r="Y466" s="2970"/>
    </row>
    <row r="467" spans="1:27" s="988" customFormat="1" ht="12.75" hidden="1" customHeight="1">
      <c r="A467" s="3102"/>
      <c r="B467" s="527" t="s">
        <v>445</v>
      </c>
      <c r="C467" s="2652"/>
      <c r="D467" s="1930">
        <f>+M467+O467+P467+Q467+R467+S467+T467+U467+V467+W467</f>
        <v>73042</v>
      </c>
      <c r="E467" s="2386"/>
      <c r="F467" s="1938"/>
      <c r="G467" s="1938"/>
      <c r="H467" s="1938"/>
      <c r="I467" s="2388"/>
      <c r="J467" s="2388"/>
      <c r="K467" s="2388"/>
      <c r="L467" s="2388"/>
      <c r="M467" s="2387"/>
      <c r="N467" s="2388"/>
      <c r="O467" s="2388"/>
      <c r="P467" s="2388">
        <v>18809</v>
      </c>
      <c r="Q467" s="2388">
        <v>24139</v>
      </c>
      <c r="R467" s="2388">
        <v>24450</v>
      </c>
      <c r="S467" s="2388">
        <v>5644</v>
      </c>
      <c r="T467" s="2388"/>
      <c r="U467" s="2388"/>
      <c r="V467" s="2388"/>
      <c r="W467" s="2388"/>
      <c r="X467" s="2092"/>
      <c r="Y467" s="2970"/>
    </row>
    <row r="468" spans="1:27" s="988" customFormat="1" ht="15.75" customHeight="1">
      <c r="A468" s="3102"/>
      <c r="B468" s="374" t="s">
        <v>34</v>
      </c>
      <c r="C468" s="2381"/>
      <c r="D468" s="2396">
        <f>SUM(M468:W468)</f>
        <v>384389</v>
      </c>
      <c r="E468" s="2396"/>
      <c r="F468" s="2396"/>
      <c r="G468" s="2396"/>
      <c r="H468" s="2396"/>
      <c r="I468" s="2396"/>
      <c r="J468" s="2396"/>
      <c r="K468" s="2396"/>
      <c r="L468" s="2396"/>
      <c r="M468" s="2396"/>
      <c r="N468" s="2396"/>
      <c r="O468" s="2396"/>
      <c r="P468" s="2396">
        <v>0</v>
      </c>
      <c r="Q468" s="2396">
        <f>+Q469</f>
        <v>20632</v>
      </c>
      <c r="R468" s="2396">
        <f t="shared" ref="R468:S468" si="466">+R469</f>
        <v>133982</v>
      </c>
      <c r="S468" s="2396">
        <f t="shared" si="466"/>
        <v>229775</v>
      </c>
      <c r="T468" s="2396"/>
      <c r="U468" s="2396"/>
      <c r="V468" s="2396"/>
      <c r="W468" s="2396"/>
      <c r="X468" s="2958" t="s">
        <v>35</v>
      </c>
      <c r="Y468" s="2970"/>
    </row>
    <row r="469" spans="1:27" s="988" customFormat="1" ht="12.75" customHeight="1">
      <c r="A469" s="3102"/>
      <c r="B469" s="518" t="s">
        <v>30</v>
      </c>
      <c r="C469" s="3024" t="s">
        <v>132</v>
      </c>
      <c r="D469" s="2393">
        <f>+D470</f>
        <v>384389</v>
      </c>
      <c r="E469" s="2393"/>
      <c r="F469" s="2393"/>
      <c r="G469" s="2393"/>
      <c r="H469" s="2393"/>
      <c r="I469" s="2393"/>
      <c r="J469" s="2397"/>
      <c r="K469" s="2397"/>
      <c r="L469" s="2397"/>
      <c r="M469" s="2397"/>
      <c r="N469" s="2393"/>
      <c r="O469" s="2397"/>
      <c r="P469" s="2393">
        <v>0</v>
      </c>
      <c r="Q469" s="2393">
        <f>+Q470</f>
        <v>20632</v>
      </c>
      <c r="R469" s="2393">
        <f t="shared" ref="R469:S469" si="467">+R470</f>
        <v>133982</v>
      </c>
      <c r="S469" s="2393">
        <f t="shared" si="467"/>
        <v>229775</v>
      </c>
      <c r="T469" s="2393"/>
      <c r="U469" s="2393"/>
      <c r="V469" s="2393"/>
      <c r="W469" s="2393"/>
      <c r="X469" s="2943"/>
      <c r="Y469" s="2970"/>
    </row>
    <row r="470" spans="1:27" s="988" customFormat="1" ht="12.75" customHeight="1" thickBot="1">
      <c r="A470" s="3103"/>
      <c r="B470" s="573" t="s">
        <v>32</v>
      </c>
      <c r="C470" s="2995"/>
      <c r="D470" s="1221">
        <f>SUM(M470:W470)</f>
        <v>384389</v>
      </c>
      <c r="E470" s="492"/>
      <c r="F470" s="555"/>
      <c r="G470" s="556"/>
      <c r="H470" s="557"/>
      <c r="I470" s="1068"/>
      <c r="J470" s="556"/>
      <c r="K470" s="556"/>
      <c r="L470" s="556"/>
      <c r="M470" s="1221"/>
      <c r="N470" s="555"/>
      <c r="O470" s="556"/>
      <c r="P470" s="556">
        <v>0</v>
      </c>
      <c r="Q470" s="556">
        <v>20632</v>
      </c>
      <c r="R470" s="556">
        <v>133982</v>
      </c>
      <c r="S470" s="556">
        <v>229775</v>
      </c>
      <c r="T470" s="556"/>
      <c r="U470" s="556"/>
      <c r="V470" s="556"/>
      <c r="W470" s="556"/>
      <c r="X470" s="2944"/>
      <c r="Y470" s="2971"/>
      <c r="Z470" s="987">
        <f>D470-D464</f>
        <v>0</v>
      </c>
    </row>
    <row r="471" spans="1:27" ht="26.25" customHeight="1">
      <c r="A471" s="3094" t="s">
        <v>413</v>
      </c>
      <c r="B471" s="618" t="s">
        <v>123</v>
      </c>
      <c r="C471" s="619"/>
      <c r="D471" s="620"/>
      <c r="E471" s="621"/>
      <c r="F471" s="621"/>
      <c r="G471" s="621"/>
      <c r="H471" s="621"/>
      <c r="I471" s="621"/>
      <c r="J471" s="621"/>
      <c r="K471" s="621"/>
      <c r="L471" s="621"/>
      <c r="M471" s="622"/>
      <c r="N471" s="622"/>
      <c r="O471" s="622"/>
      <c r="P471" s="622"/>
      <c r="Q471" s="622"/>
      <c r="R471" s="622"/>
      <c r="S471" s="622"/>
      <c r="T471" s="622"/>
      <c r="U471" s="622"/>
      <c r="V471" s="622"/>
      <c r="W471" s="622"/>
      <c r="X471" s="623"/>
      <c r="Y471" s="3097"/>
    </row>
    <row r="472" spans="1:27" ht="12" customHeight="1">
      <c r="A472" s="3095"/>
      <c r="B472" s="374" t="s">
        <v>22</v>
      </c>
      <c r="C472" s="375"/>
      <c r="D472" s="624">
        <f>+D473+D477</f>
        <v>226335198</v>
      </c>
      <c r="E472" s="624">
        <f>+E473+E477</f>
        <v>0</v>
      </c>
      <c r="F472" s="624">
        <f t="shared" ref="F472:R472" si="468">+F473+F477</f>
        <v>0</v>
      </c>
      <c r="G472" s="624">
        <f t="shared" si="468"/>
        <v>0</v>
      </c>
      <c r="H472" s="624">
        <f t="shared" si="468"/>
        <v>0</v>
      </c>
      <c r="I472" s="624">
        <f t="shared" si="468"/>
        <v>0</v>
      </c>
      <c r="J472" s="624">
        <f t="shared" si="468"/>
        <v>0</v>
      </c>
      <c r="K472" s="624">
        <f t="shared" si="468"/>
        <v>0</v>
      </c>
      <c r="L472" s="624">
        <f t="shared" si="468"/>
        <v>52273080</v>
      </c>
      <c r="M472" s="624">
        <f t="shared" ref="M472" si="469">+M473+M477</f>
        <v>156606326</v>
      </c>
      <c r="N472" s="624">
        <f t="shared" si="468"/>
        <v>104333246</v>
      </c>
      <c r="O472" s="624">
        <f>+O473+O477</f>
        <v>69728872</v>
      </c>
      <c r="P472" s="624">
        <f t="shared" si="468"/>
        <v>0</v>
      </c>
      <c r="Q472" s="624">
        <f t="shared" si="468"/>
        <v>0</v>
      </c>
      <c r="R472" s="624">
        <f t="shared" si="468"/>
        <v>0</v>
      </c>
      <c r="S472" s="624">
        <f t="shared" ref="S472:T472" si="470">+S473+S477</f>
        <v>0</v>
      </c>
      <c r="T472" s="624">
        <f t="shared" si="470"/>
        <v>0</v>
      </c>
      <c r="U472" s="624">
        <f t="shared" ref="U472:W472" si="471">+U473+U477</f>
        <v>0</v>
      </c>
      <c r="V472" s="624">
        <f t="shared" si="471"/>
        <v>0</v>
      </c>
      <c r="W472" s="624">
        <f t="shared" si="471"/>
        <v>0</v>
      </c>
      <c r="X472" s="401">
        <f>+X473+X477</f>
        <v>0</v>
      </c>
      <c r="Y472" s="3098"/>
      <c r="Z472" s="987">
        <f>+O472+P472</f>
        <v>69728872</v>
      </c>
      <c r="AA472" s="843"/>
    </row>
    <row r="473" spans="1:27" s="773" customFormat="1" ht="12" customHeight="1">
      <c r="A473" s="3095"/>
      <c r="B473" s="625" t="s">
        <v>23</v>
      </c>
      <c r="C473" s="626"/>
      <c r="D473" s="603">
        <f>+D474+D475+D476</f>
        <v>35214128</v>
      </c>
      <c r="E473" s="603">
        <f t="shared" ref="E473:R473" si="472">+E474+E475+E476</f>
        <v>0</v>
      </c>
      <c r="F473" s="603">
        <f t="shared" si="472"/>
        <v>0</v>
      </c>
      <c r="G473" s="603">
        <f t="shared" si="472"/>
        <v>0</v>
      </c>
      <c r="H473" s="603">
        <f t="shared" si="472"/>
        <v>0</v>
      </c>
      <c r="I473" s="603">
        <f t="shared" si="472"/>
        <v>0</v>
      </c>
      <c r="J473" s="603">
        <f t="shared" si="472"/>
        <v>0</v>
      </c>
      <c r="K473" s="603">
        <f t="shared" si="472"/>
        <v>0</v>
      </c>
      <c r="L473" s="603">
        <f t="shared" si="472"/>
        <v>11682360</v>
      </c>
      <c r="M473" s="603">
        <f t="shared" ref="M473" si="473">+M474+M475+M476</f>
        <v>24734314</v>
      </c>
      <c r="N473" s="603">
        <f t="shared" si="472"/>
        <v>13051954</v>
      </c>
      <c r="O473" s="603">
        <f t="shared" si="472"/>
        <v>10479814</v>
      </c>
      <c r="P473" s="603">
        <f t="shared" si="472"/>
        <v>0</v>
      </c>
      <c r="Q473" s="603">
        <f t="shared" si="472"/>
        <v>0</v>
      </c>
      <c r="R473" s="603">
        <f t="shared" si="472"/>
        <v>0</v>
      </c>
      <c r="S473" s="603">
        <f t="shared" ref="S473:T473" si="474">+S474+S475+S476</f>
        <v>0</v>
      </c>
      <c r="T473" s="603">
        <f t="shared" si="474"/>
        <v>0</v>
      </c>
      <c r="U473" s="603">
        <f t="shared" ref="U473:W473" si="475">+U474+U475+U476</f>
        <v>0</v>
      </c>
      <c r="V473" s="603">
        <f t="shared" si="475"/>
        <v>0</v>
      </c>
      <c r="W473" s="603">
        <f t="shared" si="475"/>
        <v>0</v>
      </c>
      <c r="X473" s="405">
        <f>+X474+X475+X476</f>
        <v>0</v>
      </c>
      <c r="Y473" s="3098"/>
      <c r="AA473" s="843"/>
    </row>
    <row r="474" spans="1:27" ht="12" customHeight="1">
      <c r="A474" s="3095"/>
      <c r="B474" s="627" t="s">
        <v>24</v>
      </c>
      <c r="C474" s="628"/>
      <c r="D474" s="408">
        <f>+D490+D508</f>
        <v>1284128</v>
      </c>
      <c r="E474" s="408">
        <f>+E490+E508</f>
        <v>0</v>
      </c>
      <c r="F474" s="408">
        <f t="shared" ref="F474:R474" si="476">+F490+F508</f>
        <v>0</v>
      </c>
      <c r="G474" s="408">
        <f t="shared" si="476"/>
        <v>0</v>
      </c>
      <c r="H474" s="408">
        <f t="shared" si="476"/>
        <v>0</v>
      </c>
      <c r="I474" s="408">
        <f t="shared" si="476"/>
        <v>0</v>
      </c>
      <c r="J474" s="408">
        <f t="shared" si="476"/>
        <v>0</v>
      </c>
      <c r="K474" s="408">
        <f t="shared" si="476"/>
        <v>0</v>
      </c>
      <c r="L474" s="408">
        <f t="shared" si="476"/>
        <v>1242360</v>
      </c>
      <c r="M474" s="408">
        <f>+M490+M508</f>
        <v>1244314</v>
      </c>
      <c r="N474" s="408">
        <f t="shared" si="476"/>
        <v>1954</v>
      </c>
      <c r="O474" s="408">
        <f t="shared" si="476"/>
        <v>39814</v>
      </c>
      <c r="P474" s="408">
        <f t="shared" si="476"/>
        <v>0</v>
      </c>
      <c r="Q474" s="408">
        <f t="shared" si="476"/>
        <v>0</v>
      </c>
      <c r="R474" s="408">
        <f t="shared" si="476"/>
        <v>0</v>
      </c>
      <c r="S474" s="408">
        <f t="shared" ref="S474:T474" si="477">+S490+S508</f>
        <v>0</v>
      </c>
      <c r="T474" s="408">
        <f t="shared" si="477"/>
        <v>0</v>
      </c>
      <c r="U474" s="408">
        <f t="shared" ref="U474:W474" si="478">+U490+U508</f>
        <v>0</v>
      </c>
      <c r="V474" s="408">
        <f t="shared" si="478"/>
        <v>0</v>
      </c>
      <c r="W474" s="408">
        <f t="shared" si="478"/>
        <v>0</v>
      </c>
      <c r="X474" s="409">
        <f>SUM(P474:T474)</f>
        <v>0</v>
      </c>
      <c r="Y474" s="3098"/>
      <c r="Z474" s="843"/>
      <c r="AA474" s="843"/>
    </row>
    <row r="475" spans="1:27" ht="12" customHeight="1">
      <c r="A475" s="3095"/>
      <c r="B475" s="406" t="s">
        <v>94</v>
      </c>
      <c r="C475" s="407"/>
      <c r="D475" s="408">
        <f t="shared" ref="D475:D476" si="479">+D491</f>
        <v>14575000</v>
      </c>
      <c r="E475" s="408">
        <f>+E491</f>
        <v>0</v>
      </c>
      <c r="F475" s="408">
        <f t="shared" ref="F475:R476" si="480">+F491</f>
        <v>0</v>
      </c>
      <c r="G475" s="408">
        <f t="shared" si="480"/>
        <v>0</v>
      </c>
      <c r="H475" s="408">
        <f t="shared" si="480"/>
        <v>0</v>
      </c>
      <c r="I475" s="408">
        <f t="shared" si="480"/>
        <v>0</v>
      </c>
      <c r="J475" s="408">
        <f t="shared" si="480"/>
        <v>0</v>
      </c>
      <c r="K475" s="408">
        <f t="shared" si="480"/>
        <v>0</v>
      </c>
      <c r="L475" s="408">
        <f t="shared" si="480"/>
        <v>0</v>
      </c>
      <c r="M475" s="408">
        <f t="shared" ref="M475" si="481">+M491</f>
        <v>7293750</v>
      </c>
      <c r="N475" s="408">
        <f t="shared" si="480"/>
        <v>7293750</v>
      </c>
      <c r="O475" s="408">
        <f t="shared" si="480"/>
        <v>7281250</v>
      </c>
      <c r="P475" s="408">
        <f t="shared" si="480"/>
        <v>0</v>
      </c>
      <c r="Q475" s="408">
        <f t="shared" si="480"/>
        <v>0</v>
      </c>
      <c r="R475" s="408">
        <f t="shared" si="480"/>
        <v>0</v>
      </c>
      <c r="S475" s="408">
        <f t="shared" ref="S475:T475" si="482">+S491</f>
        <v>0</v>
      </c>
      <c r="T475" s="408">
        <f t="shared" si="482"/>
        <v>0</v>
      </c>
      <c r="U475" s="408">
        <f t="shared" ref="U475:W475" si="483">+U491</f>
        <v>0</v>
      </c>
      <c r="V475" s="408">
        <f t="shared" si="483"/>
        <v>0</v>
      </c>
      <c r="W475" s="408">
        <f t="shared" si="483"/>
        <v>0</v>
      </c>
      <c r="X475" s="409">
        <f>SUM(P475:T475)</f>
        <v>0</v>
      </c>
      <c r="Y475" s="3098"/>
      <c r="AA475" s="843"/>
    </row>
    <row r="476" spans="1:27" ht="12" customHeight="1">
      <c r="A476" s="3095"/>
      <c r="B476" s="629" t="s">
        <v>68</v>
      </c>
      <c r="C476" s="630"/>
      <c r="D476" s="408">
        <f t="shared" si="479"/>
        <v>19355000</v>
      </c>
      <c r="E476" s="408">
        <f>+E492</f>
        <v>0</v>
      </c>
      <c r="F476" s="408">
        <f t="shared" si="480"/>
        <v>0</v>
      </c>
      <c r="G476" s="408">
        <f t="shared" si="480"/>
        <v>0</v>
      </c>
      <c r="H476" s="408">
        <f t="shared" si="480"/>
        <v>0</v>
      </c>
      <c r="I476" s="408">
        <f t="shared" si="480"/>
        <v>0</v>
      </c>
      <c r="J476" s="408">
        <f t="shared" si="480"/>
        <v>0</v>
      </c>
      <c r="K476" s="408">
        <f t="shared" si="480"/>
        <v>0</v>
      </c>
      <c r="L476" s="408">
        <f t="shared" si="480"/>
        <v>10440000</v>
      </c>
      <c r="M476" s="408">
        <f t="shared" ref="M476" si="484">+M492</f>
        <v>16196250</v>
      </c>
      <c r="N476" s="408">
        <f t="shared" si="480"/>
        <v>5756250</v>
      </c>
      <c r="O476" s="408">
        <f t="shared" si="480"/>
        <v>3158750</v>
      </c>
      <c r="P476" s="408">
        <f t="shared" si="480"/>
        <v>0</v>
      </c>
      <c r="Q476" s="408">
        <f t="shared" si="480"/>
        <v>0</v>
      </c>
      <c r="R476" s="408">
        <f t="shared" si="480"/>
        <v>0</v>
      </c>
      <c r="S476" s="408">
        <f t="shared" ref="S476:T476" si="485">+S492</f>
        <v>0</v>
      </c>
      <c r="T476" s="408">
        <f t="shared" si="485"/>
        <v>0</v>
      </c>
      <c r="U476" s="408">
        <f t="shared" ref="U476:W476" si="486">+U492</f>
        <v>0</v>
      </c>
      <c r="V476" s="408">
        <f t="shared" si="486"/>
        <v>0</v>
      </c>
      <c r="W476" s="408">
        <f t="shared" si="486"/>
        <v>0</v>
      </c>
      <c r="X476" s="409">
        <f>SUM(P476:T476)</f>
        <v>0</v>
      </c>
      <c r="Y476" s="3098"/>
      <c r="Z476" s="843"/>
      <c r="AA476" s="843"/>
    </row>
    <row r="477" spans="1:27" s="995" customFormat="1" ht="12" customHeight="1">
      <c r="A477" s="3095"/>
      <c r="B477" s="413" t="s">
        <v>30</v>
      </c>
      <c r="C477" s="631"/>
      <c r="D477" s="404">
        <f>+D478+D479</f>
        <v>191121070</v>
      </c>
      <c r="E477" s="404">
        <f t="shared" ref="E477:R477" si="487">+E478+E479</f>
        <v>0</v>
      </c>
      <c r="F477" s="404">
        <f t="shared" si="487"/>
        <v>0</v>
      </c>
      <c r="G477" s="404">
        <f t="shared" si="487"/>
        <v>0</v>
      </c>
      <c r="H477" s="404">
        <f t="shared" si="487"/>
        <v>0</v>
      </c>
      <c r="I477" s="404">
        <f t="shared" si="487"/>
        <v>0</v>
      </c>
      <c r="J477" s="404">
        <f t="shared" si="487"/>
        <v>0</v>
      </c>
      <c r="K477" s="404">
        <f t="shared" si="487"/>
        <v>0</v>
      </c>
      <c r="L477" s="404">
        <f t="shared" si="487"/>
        <v>40590720</v>
      </c>
      <c r="M477" s="404">
        <f t="shared" ref="M477" si="488">+M478+M479</f>
        <v>131872012</v>
      </c>
      <c r="N477" s="404">
        <f t="shared" si="487"/>
        <v>91281292</v>
      </c>
      <c r="O477" s="404">
        <f t="shared" si="487"/>
        <v>59249058</v>
      </c>
      <c r="P477" s="404">
        <f t="shared" si="487"/>
        <v>0</v>
      </c>
      <c r="Q477" s="404">
        <f t="shared" si="487"/>
        <v>0</v>
      </c>
      <c r="R477" s="404">
        <f t="shared" si="487"/>
        <v>0</v>
      </c>
      <c r="S477" s="404">
        <f t="shared" ref="S477:T477" si="489">+S478+S479</f>
        <v>0</v>
      </c>
      <c r="T477" s="404">
        <f t="shared" si="489"/>
        <v>0</v>
      </c>
      <c r="U477" s="404">
        <f t="shared" ref="U477:W477" si="490">+U478+U479</f>
        <v>0</v>
      </c>
      <c r="V477" s="404">
        <f t="shared" si="490"/>
        <v>0</v>
      </c>
      <c r="W477" s="404">
        <f t="shared" si="490"/>
        <v>0</v>
      </c>
      <c r="X477" s="632">
        <f>+X478+X479</f>
        <v>0</v>
      </c>
      <c r="Y477" s="3098"/>
      <c r="Z477" s="986"/>
      <c r="AA477" s="986"/>
    </row>
    <row r="478" spans="1:27" ht="12" customHeight="1">
      <c r="A478" s="3095"/>
      <c r="B478" s="417" t="s">
        <v>33</v>
      </c>
      <c r="C478" s="630"/>
      <c r="D478" s="408">
        <f t="shared" ref="D478" si="491">+D494+D510</f>
        <v>191121070</v>
      </c>
      <c r="E478" s="408">
        <f>+E494+E510</f>
        <v>0</v>
      </c>
      <c r="F478" s="408">
        <f t="shared" ref="F478:R478" si="492">+F494+F510</f>
        <v>0</v>
      </c>
      <c r="G478" s="408">
        <f t="shared" si="492"/>
        <v>0</v>
      </c>
      <c r="H478" s="408">
        <f t="shared" si="492"/>
        <v>0</v>
      </c>
      <c r="I478" s="408">
        <f t="shared" si="492"/>
        <v>0</v>
      </c>
      <c r="J478" s="408">
        <f t="shared" si="492"/>
        <v>0</v>
      </c>
      <c r="K478" s="408">
        <f t="shared" si="492"/>
        <v>0</v>
      </c>
      <c r="L478" s="408">
        <f t="shared" si="492"/>
        <v>40590720</v>
      </c>
      <c r="M478" s="408">
        <f t="shared" ref="M478" si="493">+M494+M510</f>
        <v>131872012</v>
      </c>
      <c r="N478" s="408">
        <f t="shared" si="492"/>
        <v>91281292</v>
      </c>
      <c r="O478" s="408">
        <f t="shared" si="492"/>
        <v>59249058</v>
      </c>
      <c r="P478" s="408">
        <f t="shared" si="492"/>
        <v>0</v>
      </c>
      <c r="Q478" s="408">
        <f t="shared" si="492"/>
        <v>0</v>
      </c>
      <c r="R478" s="408">
        <f t="shared" si="492"/>
        <v>0</v>
      </c>
      <c r="S478" s="408">
        <f t="shared" ref="S478:T478" si="494">+S494+S510</f>
        <v>0</v>
      </c>
      <c r="T478" s="408">
        <f t="shared" si="494"/>
        <v>0</v>
      </c>
      <c r="U478" s="408">
        <f t="shared" ref="U478:W478" si="495">+U494+U510</f>
        <v>0</v>
      </c>
      <c r="V478" s="408">
        <f t="shared" si="495"/>
        <v>0</v>
      </c>
      <c r="W478" s="408">
        <f t="shared" si="495"/>
        <v>0</v>
      </c>
      <c r="X478" s="409">
        <f>SUM(P478:T478)</f>
        <v>0</v>
      </c>
      <c r="Y478" s="3098"/>
      <c r="Z478" s="843"/>
      <c r="AA478" s="843"/>
    </row>
    <row r="479" spans="1:27" ht="12" hidden="1" customHeight="1">
      <c r="A479" s="3095"/>
      <c r="B479" s="417" t="s">
        <v>95</v>
      </c>
      <c r="C479" s="630"/>
      <c r="D479" s="408">
        <f t="shared" ref="D479" si="496">+D495</f>
        <v>0</v>
      </c>
      <c r="E479" s="408">
        <f>+E495</f>
        <v>0</v>
      </c>
      <c r="F479" s="408">
        <f t="shared" ref="F479:R479" si="497">+F495</f>
        <v>0</v>
      </c>
      <c r="G479" s="408">
        <f t="shared" si="497"/>
        <v>0</v>
      </c>
      <c r="H479" s="408">
        <f t="shared" si="497"/>
        <v>0</v>
      </c>
      <c r="I479" s="408">
        <f t="shared" si="497"/>
        <v>0</v>
      </c>
      <c r="J479" s="408">
        <f t="shared" si="497"/>
        <v>0</v>
      </c>
      <c r="K479" s="408">
        <f t="shared" si="497"/>
        <v>0</v>
      </c>
      <c r="L479" s="408">
        <f t="shared" si="497"/>
        <v>0</v>
      </c>
      <c r="M479" s="408">
        <f t="shared" ref="M479" si="498">+M495</f>
        <v>0</v>
      </c>
      <c r="N479" s="408">
        <f t="shared" si="497"/>
        <v>0</v>
      </c>
      <c r="O479" s="408">
        <f t="shared" si="497"/>
        <v>0</v>
      </c>
      <c r="P479" s="408">
        <f t="shared" si="497"/>
        <v>0</v>
      </c>
      <c r="Q479" s="408">
        <f t="shared" si="497"/>
        <v>0</v>
      </c>
      <c r="R479" s="408">
        <f t="shared" si="497"/>
        <v>0</v>
      </c>
      <c r="S479" s="408">
        <f t="shared" ref="S479:T479" si="499">+S495</f>
        <v>0</v>
      </c>
      <c r="T479" s="408">
        <f t="shared" si="499"/>
        <v>0</v>
      </c>
      <c r="U479" s="408">
        <f t="shared" ref="U479:W479" si="500">+U495</f>
        <v>0</v>
      </c>
      <c r="V479" s="408">
        <f t="shared" si="500"/>
        <v>0</v>
      </c>
      <c r="W479" s="408">
        <f t="shared" si="500"/>
        <v>0</v>
      </c>
      <c r="X479" s="409">
        <f>SUM(P479:T479)</f>
        <v>0</v>
      </c>
      <c r="Y479" s="3098"/>
      <c r="Z479" s="843"/>
      <c r="AA479" s="843"/>
    </row>
    <row r="480" spans="1:27" ht="12" customHeight="1">
      <c r="A480" s="3095"/>
      <c r="B480" s="374" t="s">
        <v>34</v>
      </c>
      <c r="C480" s="375"/>
      <c r="D480" s="464">
        <f>+D481+D484</f>
        <v>225051070</v>
      </c>
      <c r="E480" s="464">
        <f t="shared" ref="E480:R480" si="501">+E481+E484</f>
        <v>0</v>
      </c>
      <c r="F480" s="464">
        <f t="shared" si="501"/>
        <v>0</v>
      </c>
      <c r="G480" s="464">
        <f t="shared" si="501"/>
        <v>0</v>
      </c>
      <c r="H480" s="464">
        <f t="shared" si="501"/>
        <v>0</v>
      </c>
      <c r="I480" s="464">
        <f t="shared" si="501"/>
        <v>0</v>
      </c>
      <c r="J480" s="464">
        <f t="shared" si="501"/>
        <v>5665000</v>
      </c>
      <c r="K480" s="464">
        <f t="shared" si="501"/>
        <v>6250000</v>
      </c>
      <c r="L480" s="464">
        <f t="shared" si="501"/>
        <v>42956880</v>
      </c>
      <c r="M480" s="464">
        <f t="shared" ref="M480" si="502">+M481+M484</f>
        <v>135249230</v>
      </c>
      <c r="N480" s="464">
        <f t="shared" si="501"/>
        <v>80377350</v>
      </c>
      <c r="O480" s="464">
        <f t="shared" si="501"/>
        <v>64639424</v>
      </c>
      <c r="P480" s="464">
        <f t="shared" si="501"/>
        <v>25162416</v>
      </c>
      <c r="Q480" s="464">
        <f t="shared" si="501"/>
        <v>0</v>
      </c>
      <c r="R480" s="464">
        <f t="shared" si="501"/>
        <v>0</v>
      </c>
      <c r="S480" s="464">
        <f t="shared" ref="S480:T480" si="503">+S481+S484</f>
        <v>0</v>
      </c>
      <c r="T480" s="464">
        <f t="shared" si="503"/>
        <v>0</v>
      </c>
      <c r="U480" s="464">
        <f t="shared" ref="U480:W480" si="504">+U481+U484</f>
        <v>0</v>
      </c>
      <c r="V480" s="464">
        <f t="shared" si="504"/>
        <v>0</v>
      </c>
      <c r="W480" s="464">
        <f t="shared" si="504"/>
        <v>0</v>
      </c>
      <c r="X480" s="2942" t="s">
        <v>35</v>
      </c>
      <c r="Y480" s="3098"/>
    </row>
    <row r="481" spans="1:26" ht="12" customHeight="1">
      <c r="A481" s="3095"/>
      <c r="B481" s="633" t="s">
        <v>36</v>
      </c>
      <c r="C481" s="634"/>
      <c r="D481" s="603">
        <f>+D482+D483</f>
        <v>33930000</v>
      </c>
      <c r="E481" s="603">
        <f t="shared" ref="E481:R481" si="505">+E482+E483</f>
        <v>0</v>
      </c>
      <c r="F481" s="603">
        <f t="shared" si="505"/>
        <v>0</v>
      </c>
      <c r="G481" s="603">
        <f t="shared" si="505"/>
        <v>0</v>
      </c>
      <c r="H481" s="603">
        <f t="shared" si="505"/>
        <v>0</v>
      </c>
      <c r="I481" s="603">
        <f t="shared" si="505"/>
        <v>0</v>
      </c>
      <c r="J481" s="603">
        <f t="shared" si="505"/>
        <v>5665000</v>
      </c>
      <c r="K481" s="603">
        <f t="shared" si="505"/>
        <v>6250000</v>
      </c>
      <c r="L481" s="603">
        <f t="shared" si="505"/>
        <v>7440000</v>
      </c>
      <c r="M481" s="603">
        <f t="shared" ref="M481" si="506">+M482+M483</f>
        <v>26648750</v>
      </c>
      <c r="N481" s="603">
        <f t="shared" si="505"/>
        <v>7293750</v>
      </c>
      <c r="O481" s="603">
        <f t="shared" si="505"/>
        <v>7281250</v>
      </c>
      <c r="P481" s="603">
        <f t="shared" si="505"/>
        <v>0</v>
      </c>
      <c r="Q481" s="603">
        <f t="shared" si="505"/>
        <v>0</v>
      </c>
      <c r="R481" s="603">
        <f t="shared" si="505"/>
        <v>0</v>
      </c>
      <c r="S481" s="603">
        <f t="shared" ref="S481:T481" si="507">+S482+S483</f>
        <v>0</v>
      </c>
      <c r="T481" s="603">
        <f t="shared" si="507"/>
        <v>0</v>
      </c>
      <c r="U481" s="603">
        <f t="shared" ref="U481:W481" si="508">+U482+U483</f>
        <v>0</v>
      </c>
      <c r="V481" s="603">
        <f t="shared" si="508"/>
        <v>0</v>
      </c>
      <c r="W481" s="603">
        <f t="shared" si="508"/>
        <v>0</v>
      </c>
      <c r="X481" s="2943"/>
      <c r="Y481" s="3098"/>
      <c r="Z481" s="843"/>
    </row>
    <row r="482" spans="1:26" ht="12" customHeight="1">
      <c r="A482" s="3095"/>
      <c r="B482" s="635" t="s">
        <v>94</v>
      </c>
      <c r="C482" s="630"/>
      <c r="D482" s="408">
        <f t="shared" ref="D482" si="509">+D498</f>
        <v>14575000</v>
      </c>
      <c r="E482" s="408">
        <f>+E498</f>
        <v>0</v>
      </c>
      <c r="F482" s="408">
        <f t="shared" ref="F482:P482" si="510">+F498</f>
        <v>0</v>
      </c>
      <c r="G482" s="408">
        <f t="shared" si="510"/>
        <v>0</v>
      </c>
      <c r="H482" s="408">
        <f t="shared" si="510"/>
        <v>0</v>
      </c>
      <c r="I482" s="408">
        <f t="shared" si="510"/>
        <v>0</v>
      </c>
      <c r="J482" s="408">
        <f t="shared" si="510"/>
        <v>0</v>
      </c>
      <c r="K482" s="408">
        <f t="shared" si="510"/>
        <v>0</v>
      </c>
      <c r="L482" s="408">
        <f t="shared" si="510"/>
        <v>0</v>
      </c>
      <c r="M482" s="408">
        <f t="shared" ref="M482" si="511">+M498</f>
        <v>7293750</v>
      </c>
      <c r="N482" s="408">
        <f t="shared" si="510"/>
        <v>7293750</v>
      </c>
      <c r="O482" s="408">
        <f t="shared" si="510"/>
        <v>7281250</v>
      </c>
      <c r="P482" s="408">
        <f t="shared" si="510"/>
        <v>0</v>
      </c>
      <c r="Q482" s="408">
        <f>+Q498</f>
        <v>0</v>
      </c>
      <c r="R482" s="408">
        <f>+R498</f>
        <v>0</v>
      </c>
      <c r="S482" s="408">
        <f>+S498</f>
        <v>0</v>
      </c>
      <c r="T482" s="408">
        <f>+T498</f>
        <v>0</v>
      </c>
      <c r="U482" s="408">
        <f t="shared" ref="U482:W482" si="512">+U498</f>
        <v>0</v>
      </c>
      <c r="V482" s="408">
        <f t="shared" si="512"/>
        <v>0</v>
      </c>
      <c r="W482" s="408">
        <f t="shared" si="512"/>
        <v>0</v>
      </c>
      <c r="X482" s="2943"/>
      <c r="Y482" s="3098"/>
    </row>
    <row r="483" spans="1:26" ht="12" customHeight="1">
      <c r="A483" s="3095"/>
      <c r="B483" s="636" t="s">
        <v>68</v>
      </c>
      <c r="C483" s="637"/>
      <c r="D483" s="408">
        <f t="shared" ref="D483" si="513">+D500</f>
        <v>19355000</v>
      </c>
      <c r="E483" s="408">
        <f>+E500</f>
        <v>0</v>
      </c>
      <c r="F483" s="408">
        <f t="shared" ref="F483:P483" si="514">+F500</f>
        <v>0</v>
      </c>
      <c r="G483" s="408">
        <f t="shared" si="514"/>
        <v>0</v>
      </c>
      <c r="H483" s="408">
        <f t="shared" si="514"/>
        <v>0</v>
      </c>
      <c r="I483" s="408">
        <f t="shared" si="514"/>
        <v>0</v>
      </c>
      <c r="J483" s="408">
        <f t="shared" si="514"/>
        <v>5665000</v>
      </c>
      <c r="K483" s="408">
        <f t="shared" si="514"/>
        <v>6250000</v>
      </c>
      <c r="L483" s="408">
        <f t="shared" si="514"/>
        <v>7440000</v>
      </c>
      <c r="M483" s="408">
        <f t="shared" ref="M483" si="515">+M500</f>
        <v>19355000</v>
      </c>
      <c r="N483" s="408">
        <f t="shared" si="514"/>
        <v>0</v>
      </c>
      <c r="O483" s="408">
        <f t="shared" si="514"/>
        <v>0</v>
      </c>
      <c r="P483" s="408">
        <f t="shared" si="514"/>
        <v>0</v>
      </c>
      <c r="Q483" s="408">
        <f>+Q500</f>
        <v>0</v>
      </c>
      <c r="R483" s="408">
        <f>+R500</f>
        <v>0</v>
      </c>
      <c r="S483" s="408">
        <f>+S500</f>
        <v>0</v>
      </c>
      <c r="T483" s="408">
        <f>+T500</f>
        <v>0</v>
      </c>
      <c r="U483" s="408">
        <f t="shared" ref="U483:W483" si="516">+U500</f>
        <v>0</v>
      </c>
      <c r="V483" s="408">
        <f t="shared" si="516"/>
        <v>0</v>
      </c>
      <c r="W483" s="408">
        <f t="shared" si="516"/>
        <v>0</v>
      </c>
      <c r="X483" s="2943"/>
      <c r="Y483" s="3098"/>
    </row>
    <row r="484" spans="1:26" s="995" customFormat="1" ht="12" customHeight="1">
      <c r="A484" s="3095"/>
      <c r="B484" s="638" t="s">
        <v>30</v>
      </c>
      <c r="C484" s="631"/>
      <c r="D484" s="639">
        <f>+D485+D486</f>
        <v>191121070</v>
      </c>
      <c r="E484" s="639">
        <f t="shared" ref="E484:R484" si="517">+E485+E486</f>
        <v>0</v>
      </c>
      <c r="F484" s="639">
        <f t="shared" si="517"/>
        <v>0</v>
      </c>
      <c r="G484" s="639">
        <f t="shared" si="517"/>
        <v>0</v>
      </c>
      <c r="H484" s="639">
        <f t="shared" si="517"/>
        <v>0</v>
      </c>
      <c r="I484" s="639">
        <f t="shared" si="517"/>
        <v>0</v>
      </c>
      <c r="J484" s="639">
        <f t="shared" si="517"/>
        <v>0</v>
      </c>
      <c r="K484" s="639">
        <f t="shared" si="517"/>
        <v>0</v>
      </c>
      <c r="L484" s="639">
        <f t="shared" si="517"/>
        <v>35516880</v>
      </c>
      <c r="M484" s="639">
        <f t="shared" ref="M484" si="518">+M485+M486</f>
        <v>108600480</v>
      </c>
      <c r="N484" s="639">
        <f t="shared" si="517"/>
        <v>73083600</v>
      </c>
      <c r="O484" s="639">
        <f t="shared" si="517"/>
        <v>57358174</v>
      </c>
      <c r="P484" s="639">
        <f t="shared" si="517"/>
        <v>25162416</v>
      </c>
      <c r="Q484" s="639">
        <f t="shared" si="517"/>
        <v>0</v>
      </c>
      <c r="R484" s="639">
        <f t="shared" si="517"/>
        <v>0</v>
      </c>
      <c r="S484" s="639">
        <f t="shared" ref="S484:T484" si="519">+S485+S486</f>
        <v>0</v>
      </c>
      <c r="T484" s="639">
        <f t="shared" si="519"/>
        <v>0</v>
      </c>
      <c r="U484" s="639">
        <f t="shared" ref="U484:W484" si="520">+U485+U486</f>
        <v>0</v>
      </c>
      <c r="V484" s="639">
        <f t="shared" si="520"/>
        <v>0</v>
      </c>
      <c r="W484" s="639">
        <f t="shared" si="520"/>
        <v>0</v>
      </c>
      <c r="X484" s="2943"/>
      <c r="Y484" s="3098"/>
    </row>
    <row r="485" spans="1:26" ht="12" customHeight="1" thickBot="1">
      <c r="A485" s="3095"/>
      <c r="B485" s="640" t="s">
        <v>33</v>
      </c>
      <c r="C485" s="630"/>
      <c r="D485" s="408">
        <f t="shared" ref="D485" si="521">+D503+D513</f>
        <v>191121070</v>
      </c>
      <c r="E485" s="408">
        <f>+E503+E513</f>
        <v>0</v>
      </c>
      <c r="F485" s="408">
        <f t="shared" ref="F485:R485" si="522">+F503+F513</f>
        <v>0</v>
      </c>
      <c r="G485" s="408">
        <f t="shared" si="522"/>
        <v>0</v>
      </c>
      <c r="H485" s="408">
        <f t="shared" si="522"/>
        <v>0</v>
      </c>
      <c r="I485" s="408">
        <f t="shared" si="522"/>
        <v>0</v>
      </c>
      <c r="J485" s="408">
        <f t="shared" si="522"/>
        <v>0</v>
      </c>
      <c r="K485" s="408">
        <f t="shared" si="522"/>
        <v>0</v>
      </c>
      <c r="L485" s="408">
        <f t="shared" si="522"/>
        <v>35516880</v>
      </c>
      <c r="M485" s="408">
        <f t="shared" ref="M485" si="523">+M503+M513</f>
        <v>108600480</v>
      </c>
      <c r="N485" s="408">
        <f t="shared" si="522"/>
        <v>73083600</v>
      </c>
      <c r="O485" s="408">
        <f t="shared" si="522"/>
        <v>57358174</v>
      </c>
      <c r="P485" s="408">
        <f t="shared" si="522"/>
        <v>25162416</v>
      </c>
      <c r="Q485" s="408">
        <f t="shared" si="522"/>
        <v>0</v>
      </c>
      <c r="R485" s="408">
        <f t="shared" si="522"/>
        <v>0</v>
      </c>
      <c r="S485" s="408">
        <f t="shared" ref="S485:T485" si="524">+S503+S513</f>
        <v>0</v>
      </c>
      <c r="T485" s="408">
        <f t="shared" si="524"/>
        <v>0</v>
      </c>
      <c r="U485" s="408">
        <f t="shared" ref="U485:W485" si="525">+U503+U513</f>
        <v>0</v>
      </c>
      <c r="V485" s="408">
        <f t="shared" si="525"/>
        <v>0</v>
      </c>
      <c r="W485" s="408">
        <f t="shared" si="525"/>
        <v>0</v>
      </c>
      <c r="X485" s="2943"/>
      <c r="Y485" s="3098"/>
    </row>
    <row r="486" spans="1:26" ht="12" hidden="1" customHeight="1" thickBot="1">
      <c r="A486" s="3096"/>
      <c r="B486" s="1063" t="s">
        <v>95</v>
      </c>
      <c r="C486" s="609"/>
      <c r="D486" s="610">
        <f t="shared" ref="D486" si="526">+D504</f>
        <v>0</v>
      </c>
      <c r="E486" s="610">
        <f>+E504</f>
        <v>0</v>
      </c>
      <c r="F486" s="610">
        <f t="shared" ref="F486:R486" si="527">+F504</f>
        <v>0</v>
      </c>
      <c r="G486" s="610">
        <f t="shared" si="527"/>
        <v>0</v>
      </c>
      <c r="H486" s="610">
        <f t="shared" si="527"/>
        <v>0</v>
      </c>
      <c r="I486" s="610">
        <f t="shared" si="527"/>
        <v>0</v>
      </c>
      <c r="J486" s="610">
        <f t="shared" si="527"/>
        <v>0</v>
      </c>
      <c r="K486" s="610">
        <f t="shared" si="527"/>
        <v>0</v>
      </c>
      <c r="L486" s="610">
        <f t="shared" si="527"/>
        <v>0</v>
      </c>
      <c r="M486" s="610">
        <f t="shared" ref="M486" si="528">+M504</f>
        <v>0</v>
      </c>
      <c r="N486" s="610">
        <f t="shared" si="527"/>
        <v>0</v>
      </c>
      <c r="O486" s="610">
        <f t="shared" si="527"/>
        <v>0</v>
      </c>
      <c r="P486" s="610">
        <f t="shared" si="527"/>
        <v>0</v>
      </c>
      <c r="Q486" s="610">
        <f t="shared" si="527"/>
        <v>0</v>
      </c>
      <c r="R486" s="610">
        <f t="shared" si="527"/>
        <v>0</v>
      </c>
      <c r="S486" s="953">
        <f t="shared" ref="S486:T486" si="529">+S504</f>
        <v>0</v>
      </c>
      <c r="T486" s="954">
        <f t="shared" si="529"/>
        <v>0</v>
      </c>
      <c r="U486" s="954">
        <f t="shared" ref="U486:W486" si="530">+U504</f>
        <v>0</v>
      </c>
      <c r="V486" s="954">
        <f t="shared" si="530"/>
        <v>0</v>
      </c>
      <c r="W486" s="954">
        <f t="shared" si="530"/>
        <v>0</v>
      </c>
      <c r="X486" s="2944"/>
      <c r="Y486" s="1064"/>
    </row>
    <row r="487" spans="1:26" ht="55.5" customHeight="1">
      <c r="A487" s="2986" t="s">
        <v>483</v>
      </c>
      <c r="B487" s="2481" t="s">
        <v>506</v>
      </c>
      <c r="C487" s="473" t="s">
        <v>98</v>
      </c>
      <c r="D487" s="576"/>
      <c r="E487" s="577"/>
      <c r="F487" s="577"/>
      <c r="G487" s="577"/>
      <c r="H487" s="577"/>
      <c r="I487" s="577"/>
      <c r="J487" s="577"/>
      <c r="K487" s="577"/>
      <c r="L487" s="577"/>
      <c r="M487" s="578"/>
      <c r="N487" s="578"/>
      <c r="O487" s="577"/>
      <c r="P487" s="577"/>
      <c r="Q487" s="577"/>
      <c r="R487" s="2482"/>
      <c r="S487" s="2482"/>
      <c r="T487" s="2482"/>
      <c r="U487" s="2482"/>
      <c r="V487" s="2482"/>
      <c r="W487" s="2482"/>
      <c r="X487" s="439"/>
      <c r="Y487" s="2969" t="s">
        <v>125</v>
      </c>
    </row>
    <row r="488" spans="1:26" ht="15" customHeight="1">
      <c r="A488" s="2987"/>
      <c r="B488" s="374" t="s">
        <v>22</v>
      </c>
      <c r="C488" s="375"/>
      <c r="D488" s="579">
        <f>+D489+D493</f>
        <v>226200000</v>
      </c>
      <c r="E488" s="579">
        <f t="shared" ref="E488:P488" si="531">+E489+E493</f>
        <v>0</v>
      </c>
      <c r="F488" s="579">
        <f t="shared" si="531"/>
        <v>0</v>
      </c>
      <c r="G488" s="579">
        <f t="shared" si="531"/>
        <v>0</v>
      </c>
      <c r="H488" s="579">
        <f t="shared" si="531"/>
        <v>0</v>
      </c>
      <c r="I488" s="579">
        <f t="shared" si="531"/>
        <v>0</v>
      </c>
      <c r="J488" s="579">
        <f t="shared" si="531"/>
        <v>0</v>
      </c>
      <c r="K488" s="579">
        <f t="shared" si="531"/>
        <v>0</v>
      </c>
      <c r="L488" s="579">
        <f t="shared" si="531"/>
        <v>52273080</v>
      </c>
      <c r="M488" s="579">
        <f t="shared" ref="M488" si="532">+M489+M493</f>
        <v>156600000</v>
      </c>
      <c r="N488" s="579">
        <f t="shared" si="531"/>
        <v>104326920</v>
      </c>
      <c r="O488" s="579">
        <f t="shared" si="531"/>
        <v>69600000</v>
      </c>
      <c r="P488" s="579">
        <f t="shared" si="531"/>
        <v>0</v>
      </c>
      <c r="Q488" s="579">
        <f t="shared" ref="Q488:T488" si="533">+Q489+Q493</f>
        <v>0</v>
      </c>
      <c r="R488" s="579">
        <f t="shared" si="533"/>
        <v>0</v>
      </c>
      <c r="S488" s="579">
        <f t="shared" si="533"/>
        <v>0</v>
      </c>
      <c r="T488" s="579">
        <f t="shared" si="533"/>
        <v>0</v>
      </c>
      <c r="U488" s="579"/>
      <c r="V488" s="579"/>
      <c r="W488" s="579"/>
      <c r="X488" s="401">
        <f>+X489+X493</f>
        <v>0</v>
      </c>
      <c r="Y488" s="2970"/>
      <c r="Z488" s="987">
        <f>+O488+P488</f>
        <v>69600000</v>
      </c>
    </row>
    <row r="489" spans="1:26">
      <c r="A489" s="2987"/>
      <c r="B489" s="526" t="s">
        <v>36</v>
      </c>
      <c r="C489" s="2978" t="s">
        <v>118</v>
      </c>
      <c r="D489" s="580">
        <f>+D490+D491+D492</f>
        <v>35172360</v>
      </c>
      <c r="E489" s="580">
        <f>+E490+E491+E492</f>
        <v>0</v>
      </c>
      <c r="F489" s="580">
        <f t="shared" ref="F489:P489" si="534">+F490+F491+F492</f>
        <v>0</v>
      </c>
      <c r="G489" s="580">
        <f t="shared" si="534"/>
        <v>0</v>
      </c>
      <c r="H489" s="580">
        <f t="shared" si="534"/>
        <v>0</v>
      </c>
      <c r="I489" s="580">
        <f t="shared" si="534"/>
        <v>0</v>
      </c>
      <c r="J489" s="580">
        <f t="shared" si="534"/>
        <v>0</v>
      </c>
      <c r="K489" s="580">
        <f t="shared" si="534"/>
        <v>0</v>
      </c>
      <c r="L489" s="581">
        <f t="shared" si="534"/>
        <v>11682360</v>
      </c>
      <c r="M489" s="581">
        <f t="shared" ref="M489" si="535">+M490+M491+M492</f>
        <v>24732360</v>
      </c>
      <c r="N489" s="581">
        <f t="shared" si="534"/>
        <v>13050000</v>
      </c>
      <c r="O489" s="581">
        <f t="shared" si="534"/>
        <v>10440000</v>
      </c>
      <c r="P489" s="580">
        <f t="shared" si="534"/>
        <v>0</v>
      </c>
      <c r="Q489" s="580">
        <f t="shared" ref="Q489:T489" si="536">+Q490+Q491+Q492</f>
        <v>0</v>
      </c>
      <c r="R489" s="580">
        <f t="shared" si="536"/>
        <v>0</v>
      </c>
      <c r="S489" s="580">
        <f t="shared" si="536"/>
        <v>0</v>
      </c>
      <c r="T489" s="580">
        <f t="shared" si="536"/>
        <v>0</v>
      </c>
      <c r="U489" s="583"/>
      <c r="V489" s="583"/>
      <c r="W489" s="583"/>
      <c r="X489" s="502">
        <f>+X490+X491+X492</f>
        <v>0</v>
      </c>
      <c r="Y489" s="2970"/>
    </row>
    <row r="490" spans="1:26" ht="11.25" customHeight="1">
      <c r="A490" s="2987"/>
      <c r="B490" s="503" t="s">
        <v>24</v>
      </c>
      <c r="C490" s="2980"/>
      <c r="D490" s="449">
        <f t="shared" ref="D490:D492" si="537">M490+O490+P490+Q490+R490+S490+T490+U490+V490+W490</f>
        <v>1242360</v>
      </c>
      <c r="E490" s="2483">
        <v>0</v>
      </c>
      <c r="F490" s="2484"/>
      <c r="G490" s="2483"/>
      <c r="H490" s="2483"/>
      <c r="I490" s="2483">
        <v>0</v>
      </c>
      <c r="J490" s="2483">
        <v>0</v>
      </c>
      <c r="K490" s="2483">
        <v>0</v>
      </c>
      <c r="L490" s="2485">
        <f>1169280+73080</f>
        <v>1242360</v>
      </c>
      <c r="M490" s="450">
        <f>+E490+I490+J490+K490+L490+N490</f>
        <v>1242360</v>
      </c>
      <c r="N490" s="2485">
        <f>9467714-8240000+5220000-6447714</f>
        <v>0</v>
      </c>
      <c r="O490" s="2485">
        <f>6456250+880000-5220000+12500-2128750</f>
        <v>0</v>
      </c>
      <c r="P490" s="2483">
        <v>0</v>
      </c>
      <c r="Q490" s="2483">
        <v>0</v>
      </c>
      <c r="R490" s="2483">
        <v>0</v>
      </c>
      <c r="S490" s="2483">
        <v>0</v>
      </c>
      <c r="T490" s="2483">
        <v>0</v>
      </c>
      <c r="U490" s="2484"/>
      <c r="V490" s="2484"/>
      <c r="W490" s="2484"/>
      <c r="X490" s="409">
        <f>SUM(P490:T490)</f>
        <v>0</v>
      </c>
      <c r="Y490" s="2970"/>
      <c r="Z490" s="843"/>
    </row>
    <row r="491" spans="1:26">
      <c r="A491" s="2987"/>
      <c r="B491" s="641" t="s">
        <v>94</v>
      </c>
      <c r="C491" s="2980"/>
      <c r="D491" s="449">
        <f t="shared" si="537"/>
        <v>14575000</v>
      </c>
      <c r="E491" s="642">
        <v>0</v>
      </c>
      <c r="F491" s="2483"/>
      <c r="G491" s="2483"/>
      <c r="H491" s="2483"/>
      <c r="I491" s="2483">
        <v>0</v>
      </c>
      <c r="J491" s="589">
        <v>0</v>
      </c>
      <c r="K491" s="642">
        <v>0</v>
      </c>
      <c r="L491" s="589">
        <v>0</v>
      </c>
      <c r="M491" s="450">
        <f>+E491+I491+J491+K491+L491+N491</f>
        <v>7293750</v>
      </c>
      <c r="N491" s="589">
        <v>7293750</v>
      </c>
      <c r="O491" s="589">
        <f>7293750-12500</f>
        <v>7281250</v>
      </c>
      <c r="P491" s="642">
        <v>0</v>
      </c>
      <c r="Q491" s="642">
        <v>0</v>
      </c>
      <c r="R491" s="642">
        <v>0</v>
      </c>
      <c r="S491" s="642">
        <v>0</v>
      </c>
      <c r="T491" s="642">
        <v>0</v>
      </c>
      <c r="U491" s="590"/>
      <c r="V491" s="590"/>
      <c r="W491" s="590"/>
      <c r="X491" s="409">
        <f>SUM(P491:T491)</f>
        <v>0</v>
      </c>
      <c r="Y491" s="2970"/>
    </row>
    <row r="492" spans="1:26" ht="12" customHeight="1">
      <c r="A492" s="2987"/>
      <c r="B492" s="643" t="s">
        <v>126</v>
      </c>
      <c r="C492" s="2983"/>
      <c r="D492" s="449">
        <f t="shared" si="537"/>
        <v>19355000</v>
      </c>
      <c r="E492" s="456">
        <v>0</v>
      </c>
      <c r="F492" s="590"/>
      <c r="G492" s="642"/>
      <c r="H492" s="644"/>
      <c r="I492" s="644">
        <v>0</v>
      </c>
      <c r="J492" s="2485">
        <v>0</v>
      </c>
      <c r="K492" s="2485">
        <v>0</v>
      </c>
      <c r="L492" s="2485">
        <f>20000000-4340000-5220000</f>
        <v>10440000</v>
      </c>
      <c r="M492" s="450">
        <f>+E492+I492+J492+K492+L492+N492</f>
        <v>16196250</v>
      </c>
      <c r="N492" s="2485">
        <f>13238536+4340000-3992286-7830000</f>
        <v>5756250</v>
      </c>
      <c r="O492" s="2485">
        <f>6250000+388750-3480000</f>
        <v>3158750</v>
      </c>
      <c r="P492" s="2483">
        <v>0</v>
      </c>
      <c r="Q492" s="2483">
        <v>0</v>
      </c>
      <c r="R492" s="2483">
        <v>0</v>
      </c>
      <c r="S492" s="2483">
        <v>0</v>
      </c>
      <c r="T492" s="2483">
        <v>0</v>
      </c>
      <c r="U492" s="2484"/>
      <c r="V492" s="2484"/>
      <c r="W492" s="2484"/>
      <c r="X492" s="409">
        <f>SUM(P492:T492)</f>
        <v>0</v>
      </c>
      <c r="Y492" s="2970"/>
    </row>
    <row r="493" spans="1:26" s="995" customFormat="1">
      <c r="A493" s="2987"/>
      <c r="B493" s="518" t="s">
        <v>30</v>
      </c>
      <c r="C493" s="2486"/>
      <c r="D493" s="459">
        <f>+D494+D495</f>
        <v>191027640</v>
      </c>
      <c r="E493" s="645">
        <f>+E494</f>
        <v>0</v>
      </c>
      <c r="F493" s="645">
        <f t="shared" ref="F493:K493" si="538">+F494</f>
        <v>0</v>
      </c>
      <c r="G493" s="645">
        <f t="shared" si="538"/>
        <v>0</v>
      </c>
      <c r="H493" s="645">
        <f t="shared" si="538"/>
        <v>0</v>
      </c>
      <c r="I493" s="645">
        <f t="shared" si="538"/>
        <v>0</v>
      </c>
      <c r="J493" s="645">
        <f t="shared" si="538"/>
        <v>0</v>
      </c>
      <c r="K493" s="645">
        <f t="shared" si="538"/>
        <v>0</v>
      </c>
      <c r="L493" s="645">
        <f t="shared" ref="L493:X493" si="539">+L494+L495</f>
        <v>40590720</v>
      </c>
      <c r="M493" s="645">
        <f t="shared" si="539"/>
        <v>131867640</v>
      </c>
      <c r="N493" s="645">
        <f t="shared" si="539"/>
        <v>91276920</v>
      </c>
      <c r="O493" s="645">
        <f t="shared" si="539"/>
        <v>59160000</v>
      </c>
      <c r="P493" s="645">
        <f t="shared" si="539"/>
        <v>0</v>
      </c>
      <c r="Q493" s="645">
        <f t="shared" si="539"/>
        <v>0</v>
      </c>
      <c r="R493" s="645">
        <f t="shared" si="539"/>
        <v>0</v>
      </c>
      <c r="S493" s="645">
        <f t="shared" si="539"/>
        <v>0</v>
      </c>
      <c r="T493" s="645">
        <f t="shared" si="539"/>
        <v>0</v>
      </c>
      <c r="U493" s="645"/>
      <c r="V493" s="645"/>
      <c r="W493" s="645"/>
      <c r="X493" s="502">
        <f t="shared" si="539"/>
        <v>0</v>
      </c>
      <c r="Y493" s="2970"/>
    </row>
    <row r="494" spans="1:26">
      <c r="A494" s="2987"/>
      <c r="B494" s="561" t="s">
        <v>33</v>
      </c>
      <c r="C494" s="2651"/>
      <c r="D494" s="449">
        <f t="shared" ref="D494:D495" si="540">M494+O494+P494+Q494+R494+S494+T494+U494+V494+W494</f>
        <v>191027640</v>
      </c>
      <c r="E494" s="457">
        <v>0</v>
      </c>
      <c r="F494" s="590"/>
      <c r="G494" s="590"/>
      <c r="H494" s="2487"/>
      <c r="I494" s="2484">
        <v>0</v>
      </c>
      <c r="J494" s="2488">
        <v>0</v>
      </c>
      <c r="K494" s="2488">
        <v>0</v>
      </c>
      <c r="L494" s="2488">
        <f>20000000+16540000-1023120+5073840</f>
        <v>40590720</v>
      </c>
      <c r="M494" s="450">
        <f>+E494+I494+J494+K494+L494+N494</f>
        <v>131867640</v>
      </c>
      <c r="N494" s="2488">
        <f>30000000+30900000+12180000+10440000+7756920</f>
        <v>91276920</v>
      </c>
      <c r="O494" s="2488">
        <f>20000000+28720000-12180000+19140000+3480000</f>
        <v>59160000</v>
      </c>
      <c r="P494" s="2484">
        <v>0</v>
      </c>
      <c r="Q494" s="2484">
        <v>0</v>
      </c>
      <c r="R494" s="2484">
        <v>0</v>
      </c>
      <c r="S494" s="2484">
        <v>0</v>
      </c>
      <c r="T494" s="2484">
        <v>0</v>
      </c>
      <c r="U494" s="2484"/>
      <c r="V494" s="2484"/>
      <c r="W494" s="2484"/>
      <c r="X494" s="409">
        <f>SUM(P494:T494)</f>
        <v>0</v>
      </c>
      <c r="Y494" s="2970"/>
    </row>
    <row r="495" spans="1:26" ht="12" hidden="1" customHeight="1">
      <c r="A495" s="2987"/>
      <c r="B495" s="561" t="s">
        <v>95</v>
      </c>
      <c r="C495" s="2651"/>
      <c r="D495" s="449">
        <f t="shared" si="540"/>
        <v>0</v>
      </c>
      <c r="E495" s="457">
        <v>0</v>
      </c>
      <c r="F495" s="590"/>
      <c r="G495" s="590"/>
      <c r="H495" s="2487"/>
      <c r="I495" s="2484">
        <v>0</v>
      </c>
      <c r="J495" s="2488">
        <v>0</v>
      </c>
      <c r="K495" s="2488">
        <v>0</v>
      </c>
      <c r="L495" s="2488">
        <f>1023120-1023120</f>
        <v>0</v>
      </c>
      <c r="M495" s="450">
        <f>+E495+I495+J495+K495+L495+N495</f>
        <v>0</v>
      </c>
      <c r="N495" s="2488">
        <v>0</v>
      </c>
      <c r="O495" s="2488">
        <v>0</v>
      </c>
      <c r="P495" s="2484">
        <v>0</v>
      </c>
      <c r="Q495" s="2484">
        <v>0</v>
      </c>
      <c r="R495" s="2484">
        <v>0</v>
      </c>
      <c r="S495" s="2484">
        <v>0</v>
      </c>
      <c r="T495" s="2484">
        <v>0</v>
      </c>
      <c r="U495" s="2484"/>
      <c r="V495" s="2484"/>
      <c r="W495" s="2484"/>
      <c r="X495" s="409">
        <f>SUM(P495:T495)</f>
        <v>0</v>
      </c>
      <c r="Y495" s="2970"/>
    </row>
    <row r="496" spans="1:26" s="848" customFormat="1" ht="14.25" customHeight="1">
      <c r="A496" s="2987"/>
      <c r="B496" s="374" t="s">
        <v>34</v>
      </c>
      <c r="C496" s="375"/>
      <c r="D496" s="749">
        <f>+D497+D501</f>
        <v>224957640</v>
      </c>
      <c r="E496" s="749">
        <f t="shared" ref="E496:P496" si="541">+E497+E501</f>
        <v>0</v>
      </c>
      <c r="F496" s="749">
        <f t="shared" si="541"/>
        <v>0</v>
      </c>
      <c r="G496" s="749">
        <f t="shared" si="541"/>
        <v>0</v>
      </c>
      <c r="H496" s="749">
        <f t="shared" si="541"/>
        <v>0</v>
      </c>
      <c r="I496" s="749">
        <f t="shared" si="541"/>
        <v>0</v>
      </c>
      <c r="J496" s="749">
        <f t="shared" si="541"/>
        <v>5665000</v>
      </c>
      <c r="K496" s="749">
        <f t="shared" si="541"/>
        <v>6250000</v>
      </c>
      <c r="L496" s="749">
        <f>+L497+L501</f>
        <v>42956880</v>
      </c>
      <c r="M496" s="749">
        <f>+M497+M501</f>
        <v>135245630</v>
      </c>
      <c r="N496" s="749">
        <f t="shared" si="541"/>
        <v>80373750</v>
      </c>
      <c r="O496" s="749">
        <f t="shared" si="541"/>
        <v>64555090</v>
      </c>
      <c r="P496" s="749">
        <f t="shared" si="541"/>
        <v>25156920</v>
      </c>
      <c r="Q496" s="749">
        <f t="shared" ref="Q496:T496" si="542">+Q497+Q501</f>
        <v>0</v>
      </c>
      <c r="R496" s="749">
        <f t="shared" si="542"/>
        <v>0</v>
      </c>
      <c r="S496" s="749">
        <f t="shared" si="542"/>
        <v>0</v>
      </c>
      <c r="T496" s="749">
        <f t="shared" si="542"/>
        <v>0</v>
      </c>
      <c r="U496" s="749"/>
      <c r="V496" s="749"/>
      <c r="W496" s="749"/>
      <c r="X496" s="2942" t="s">
        <v>35</v>
      </c>
      <c r="Y496" s="2970"/>
      <c r="Z496" s="2422"/>
    </row>
    <row r="497" spans="1:29" s="2726" customFormat="1" ht="12.75" customHeight="1">
      <c r="A497" s="2987"/>
      <c r="B497" s="526" t="s">
        <v>36</v>
      </c>
      <c r="C497" s="2978" t="s">
        <v>118</v>
      </c>
      <c r="D497" s="511">
        <f>+D498+D499+D500</f>
        <v>33930000</v>
      </c>
      <c r="E497" s="511">
        <f>+E498+E500</f>
        <v>0</v>
      </c>
      <c r="F497" s="511">
        <f t="shared" ref="F497:P497" si="543">+F498+F500</f>
        <v>0</v>
      </c>
      <c r="G497" s="511">
        <f t="shared" si="543"/>
        <v>0</v>
      </c>
      <c r="H497" s="511">
        <f t="shared" si="543"/>
        <v>0</v>
      </c>
      <c r="I497" s="536">
        <f t="shared" si="543"/>
        <v>0</v>
      </c>
      <c r="J497" s="511">
        <f t="shared" si="543"/>
        <v>5665000</v>
      </c>
      <c r="K497" s="511">
        <f t="shared" si="543"/>
        <v>6250000</v>
      </c>
      <c r="L497" s="511">
        <f>SUM(L498:L500)</f>
        <v>7440000</v>
      </c>
      <c r="M497" s="511">
        <f>SUM(M498:M500)</f>
        <v>26648750</v>
      </c>
      <c r="N497" s="536">
        <f t="shared" si="543"/>
        <v>7293750</v>
      </c>
      <c r="O497" s="511">
        <f t="shared" si="543"/>
        <v>7281250</v>
      </c>
      <c r="P497" s="511">
        <f t="shared" si="543"/>
        <v>0</v>
      </c>
      <c r="Q497" s="511">
        <f t="shared" ref="Q497:T497" si="544">+Q498+Q500</f>
        <v>0</v>
      </c>
      <c r="R497" s="511">
        <f t="shared" si="544"/>
        <v>0</v>
      </c>
      <c r="S497" s="511">
        <f t="shared" si="544"/>
        <v>0</v>
      </c>
      <c r="T497" s="511">
        <f t="shared" si="544"/>
        <v>0</v>
      </c>
      <c r="U497" s="511"/>
      <c r="V497" s="511"/>
      <c r="W497" s="511"/>
      <c r="X497" s="2943"/>
      <c r="Y497" s="2970"/>
    </row>
    <row r="498" spans="1:29" s="990" customFormat="1">
      <c r="A498" s="2987"/>
      <c r="B498" s="641" t="s">
        <v>127</v>
      </c>
      <c r="C498" s="2980"/>
      <c r="D498" s="449">
        <f t="shared" ref="D498" si="545">M498+O498+P498+Q498+R498+S498+T498+U498+V498+W498</f>
        <v>14575000</v>
      </c>
      <c r="E498" s="2489">
        <v>0</v>
      </c>
      <c r="F498" s="2489"/>
      <c r="G498" s="2489"/>
      <c r="H498" s="2489"/>
      <c r="I498" s="2490">
        <v>0</v>
      </c>
      <c r="J498" s="2491">
        <v>0</v>
      </c>
      <c r="K498" s="2492">
        <v>0</v>
      </c>
      <c r="L498" s="2489">
        <v>0</v>
      </c>
      <c r="M498" s="450">
        <f>+E498+I498+J498+K498+L498+N498</f>
        <v>7293750</v>
      </c>
      <c r="N498" s="2493">
        <v>7293750</v>
      </c>
      <c r="O498" s="2489">
        <f>7293750-12500</f>
        <v>7281250</v>
      </c>
      <c r="P498" s="2489">
        <v>0</v>
      </c>
      <c r="Q498" s="2489">
        <v>0</v>
      </c>
      <c r="R498" s="2489">
        <v>0</v>
      </c>
      <c r="S498" s="2489">
        <v>0</v>
      </c>
      <c r="T498" s="2489">
        <v>0</v>
      </c>
      <c r="U498" s="2489"/>
      <c r="V498" s="2489"/>
      <c r="W498" s="2489"/>
      <c r="X498" s="2943"/>
      <c r="Y498" s="2970"/>
      <c r="Z498" s="1922">
        <f>D498-'[3]Tab. 6A -Drogi'!$D$395</f>
        <v>0</v>
      </c>
    </row>
    <row r="499" spans="1:29" s="990" customFormat="1" ht="10.5" hidden="1" customHeight="1">
      <c r="A499" s="2987"/>
      <c r="B499" s="2494" t="s">
        <v>128</v>
      </c>
      <c r="C499" s="2980"/>
      <c r="D499" s="449">
        <f t="shared" ref="D499" si="546">SUM(M499:T499)</f>
        <v>0</v>
      </c>
      <c r="E499" s="2489"/>
      <c r="F499" s="2489"/>
      <c r="G499" s="2489"/>
      <c r="H499" s="2489"/>
      <c r="I499" s="2495"/>
      <c r="J499" s="2496"/>
      <c r="K499" s="2497"/>
      <c r="L499" s="2489">
        <v>0</v>
      </c>
      <c r="M499" s="450">
        <f t="shared" ref="M499" si="547">+E499+I499+J499+K499+L499</f>
        <v>0</v>
      </c>
      <c r="N499" s="2493"/>
      <c r="O499" s="2489"/>
      <c r="P499" s="2489"/>
      <c r="Q499" s="2489"/>
      <c r="R499" s="2489"/>
      <c r="S499" s="2489"/>
      <c r="T499" s="2489"/>
      <c r="U499" s="2489"/>
      <c r="V499" s="2489"/>
      <c r="W499" s="2489"/>
      <c r="X499" s="2943"/>
      <c r="Y499" s="2970"/>
    </row>
    <row r="500" spans="1:29" s="990" customFormat="1">
      <c r="A500" s="2987"/>
      <c r="B500" s="643" t="s">
        <v>126</v>
      </c>
      <c r="C500" s="2980"/>
      <c r="D500" s="1217">
        <f>M500+O500+P500+Q500+R500+S500+T500+U500+V500+W500</f>
        <v>19355000</v>
      </c>
      <c r="E500" s="2498">
        <v>0</v>
      </c>
      <c r="F500" s="2492"/>
      <c r="G500" s="2498"/>
      <c r="H500" s="2498"/>
      <c r="I500" s="588">
        <f>8238536-8238536</f>
        <v>0</v>
      </c>
      <c r="J500" s="644">
        <f>6250000-585000</f>
        <v>5665000</v>
      </c>
      <c r="K500" s="644">
        <v>6250000</v>
      </c>
      <c r="L500" s="2483">
        <f>12500000-5060000</f>
        <v>7440000</v>
      </c>
      <c r="M500" s="450">
        <f>+E500+I500+J500+K500+L500+N500</f>
        <v>19355000</v>
      </c>
      <c r="N500" s="2485">
        <f>6250000-6250000</f>
        <v>0</v>
      </c>
      <c r="O500" s="2483">
        <f>6250000-6250000</f>
        <v>0</v>
      </c>
      <c r="P500" s="2483">
        <v>0</v>
      </c>
      <c r="Q500" s="2483">
        <v>0</v>
      </c>
      <c r="R500" s="2483">
        <v>0</v>
      </c>
      <c r="S500" s="2483">
        <v>0</v>
      </c>
      <c r="T500" s="2483">
        <v>0</v>
      </c>
      <c r="U500" s="2483"/>
      <c r="V500" s="2483"/>
      <c r="W500" s="2483"/>
      <c r="X500" s="2943"/>
      <c r="Y500" s="2970"/>
      <c r="Z500" s="1922"/>
    </row>
    <row r="501" spans="1:29" s="2726" customFormat="1">
      <c r="A501" s="2987"/>
      <c r="B501" s="2499" t="s">
        <v>30</v>
      </c>
      <c r="C501" s="2980"/>
      <c r="D501" s="465">
        <f>+D502+D503+D504</f>
        <v>191027640</v>
      </c>
      <c r="E501" s="519">
        <f>+E503</f>
        <v>0</v>
      </c>
      <c r="F501" s="519">
        <f t="shared" ref="F501:K501" si="548">+F503</f>
        <v>0</v>
      </c>
      <c r="G501" s="519">
        <f t="shared" si="548"/>
        <v>0</v>
      </c>
      <c r="H501" s="519">
        <f t="shared" si="548"/>
        <v>0</v>
      </c>
      <c r="I501" s="519">
        <f t="shared" si="548"/>
        <v>0</v>
      </c>
      <c r="J501" s="519">
        <f t="shared" si="548"/>
        <v>0</v>
      </c>
      <c r="K501" s="519">
        <f t="shared" si="548"/>
        <v>0</v>
      </c>
      <c r="L501" s="519">
        <f>+L502+L503+L504</f>
        <v>35516880</v>
      </c>
      <c r="M501" s="519">
        <f t="shared" ref="M501:P501" si="549">+M502+M503+M504</f>
        <v>108596880</v>
      </c>
      <c r="N501" s="519">
        <f t="shared" si="549"/>
        <v>73080000</v>
      </c>
      <c r="O501" s="519">
        <f t="shared" si="549"/>
        <v>57273840</v>
      </c>
      <c r="P501" s="519">
        <f t="shared" si="549"/>
        <v>25156920</v>
      </c>
      <c r="Q501" s="519">
        <f t="shared" ref="Q501:T501" si="550">+Q503</f>
        <v>0</v>
      </c>
      <c r="R501" s="519">
        <f t="shared" si="550"/>
        <v>0</v>
      </c>
      <c r="S501" s="519">
        <f t="shared" si="550"/>
        <v>0</v>
      </c>
      <c r="T501" s="519">
        <f t="shared" si="550"/>
        <v>0</v>
      </c>
      <c r="U501" s="519"/>
      <c r="V501" s="519"/>
      <c r="W501" s="519"/>
      <c r="X501" s="2943"/>
      <c r="Y501" s="2970"/>
    </row>
    <row r="502" spans="1:29" s="2726" customFormat="1" ht="10.5" hidden="1" customHeight="1">
      <c r="A502" s="2987"/>
      <c r="B502" s="2494" t="s">
        <v>128</v>
      </c>
      <c r="C502" s="2980"/>
      <c r="D502" s="467">
        <f>+E502+I502+J502+K502+L502+N502+O502+P502</f>
        <v>0</v>
      </c>
      <c r="E502" s="519"/>
      <c r="F502" s="511"/>
      <c r="G502" s="519"/>
      <c r="H502" s="519"/>
      <c r="I502" s="519"/>
      <c r="J502" s="519"/>
      <c r="K502" s="519"/>
      <c r="L502" s="2498">
        <v>0</v>
      </c>
      <c r="M502" s="2500"/>
      <c r="N502" s="2501"/>
      <c r="O502" s="2502"/>
      <c r="P502" s="2502"/>
      <c r="Q502" s="2502"/>
      <c r="R502" s="2502"/>
      <c r="S502" s="2502"/>
      <c r="T502" s="2502"/>
      <c r="U502" s="2502"/>
      <c r="V502" s="2502"/>
      <c r="W502" s="2502"/>
      <c r="X502" s="2943"/>
      <c r="Y502" s="2970"/>
    </row>
    <row r="503" spans="1:29" s="990" customFormat="1" ht="13.5" thickBot="1">
      <c r="A503" s="2987"/>
      <c r="B503" s="503" t="s">
        <v>33</v>
      </c>
      <c r="C503" s="2980"/>
      <c r="D503" s="449">
        <f>M503+O503+P503+Q503+R503+S503+T503+U503+V503+W503</f>
        <v>191027640</v>
      </c>
      <c r="E503" s="2498">
        <v>0</v>
      </c>
      <c r="F503" s="2492"/>
      <c r="G503" s="2498"/>
      <c r="H503" s="2498"/>
      <c r="I503" s="2483">
        <v>0</v>
      </c>
      <c r="J503" s="2483">
        <v>0</v>
      </c>
      <c r="K503" s="2483">
        <v>0</v>
      </c>
      <c r="L503" s="2483">
        <f>20000000+16540000-1023120</f>
        <v>35516880</v>
      </c>
      <c r="M503" s="450">
        <f>+E503+I503+J503+K503+L503+N503</f>
        <v>108596880</v>
      </c>
      <c r="N503" s="2503">
        <f>30000000+30900000+12180000</f>
        <v>73080000</v>
      </c>
      <c r="O503" s="2504">
        <f>20000000+28720000-12180000+13465841+7267999</f>
        <v>57273840</v>
      </c>
      <c r="P503" s="2504">
        <f>21187999-7267999+11236920</f>
        <v>25156920</v>
      </c>
      <c r="Q503" s="2504">
        <v>0</v>
      </c>
      <c r="R503" s="2504">
        <v>0</v>
      </c>
      <c r="S503" s="2504">
        <v>0</v>
      </c>
      <c r="T503" s="2504">
        <v>0</v>
      </c>
      <c r="U503" s="2504"/>
      <c r="V503" s="2504"/>
      <c r="W503" s="2504"/>
      <c r="X503" s="2943"/>
      <c r="Y503" s="2970"/>
      <c r="Z503" s="1922"/>
    </row>
    <row r="504" spans="1:29" s="990" customFormat="1" ht="11.25" hidden="1" customHeight="1" thickBot="1">
      <c r="A504" s="3023"/>
      <c r="B504" s="512" t="s">
        <v>95</v>
      </c>
      <c r="C504" s="3016"/>
      <c r="D504" s="449">
        <f t="shared" ref="D504" si="551">M504+O504+P504+Q504+R504+S504+T504+U504+V504+W504</f>
        <v>0</v>
      </c>
      <c r="E504" s="2505">
        <v>0</v>
      </c>
      <c r="F504" s="2506"/>
      <c r="G504" s="2505"/>
      <c r="H504" s="2505"/>
      <c r="I504" s="592">
        <v>0</v>
      </c>
      <c r="J504" s="592">
        <v>0</v>
      </c>
      <c r="K504" s="592">
        <v>0</v>
      </c>
      <c r="L504" s="592">
        <f>1023120-1023120</f>
        <v>0</v>
      </c>
      <c r="M504" s="470">
        <f>L504+E504+I504+J504+K504</f>
        <v>0</v>
      </c>
      <c r="N504" s="2507">
        <v>0</v>
      </c>
      <c r="O504" s="1095">
        <v>0</v>
      </c>
      <c r="P504" s="1095">
        <v>0</v>
      </c>
      <c r="Q504" s="1095">
        <v>0</v>
      </c>
      <c r="R504" s="1095">
        <v>0</v>
      </c>
      <c r="S504" s="1096">
        <v>0</v>
      </c>
      <c r="T504" s="706">
        <v>0</v>
      </c>
      <c r="U504" s="706"/>
      <c r="V504" s="706"/>
      <c r="W504" s="706"/>
      <c r="X504" s="2944"/>
      <c r="Y504" s="2653"/>
    </row>
    <row r="505" spans="1:29" ht="29.25" customHeight="1">
      <c r="A505" s="2986" t="s">
        <v>484</v>
      </c>
      <c r="B505" s="1073" t="s">
        <v>129</v>
      </c>
      <c r="C505" s="473" t="s">
        <v>130</v>
      </c>
      <c r="D505" s="572"/>
      <c r="E505" s="546"/>
      <c r="F505" s="547"/>
      <c r="G505" s="546"/>
      <c r="H505" s="546"/>
      <c r="I505" s="546"/>
      <c r="J505" s="546"/>
      <c r="K505" s="546"/>
      <c r="L505" s="546"/>
      <c r="M505" s="546"/>
      <c r="N505" s="546"/>
      <c r="O505" s="546"/>
      <c r="P505" s="548"/>
      <c r="Q505" s="548"/>
      <c r="R505" s="548"/>
      <c r="S505" s="548"/>
      <c r="T505" s="548"/>
      <c r="U505" s="548"/>
      <c r="V505" s="548"/>
      <c r="W505" s="548"/>
      <c r="X505" s="439"/>
      <c r="Y505" s="2990" t="s">
        <v>122</v>
      </c>
      <c r="AC505" s="991"/>
    </row>
    <row r="506" spans="1:29" ht="14.25" customHeight="1">
      <c r="A506" s="2987"/>
      <c r="B506" s="374" t="s">
        <v>22</v>
      </c>
      <c r="C506" s="375"/>
      <c r="D506" s="478">
        <f t="shared" ref="D506:P506" si="552">+D507+D509</f>
        <v>135198</v>
      </c>
      <c r="E506" s="478">
        <f t="shared" si="552"/>
        <v>0</v>
      </c>
      <c r="F506" s="478">
        <f t="shared" si="552"/>
        <v>0</v>
      </c>
      <c r="G506" s="478">
        <f t="shared" si="552"/>
        <v>0</v>
      </c>
      <c r="H506" s="478">
        <f t="shared" si="552"/>
        <v>0</v>
      </c>
      <c r="I506" s="478">
        <f t="shared" si="552"/>
        <v>0</v>
      </c>
      <c r="J506" s="478">
        <f t="shared" si="552"/>
        <v>0</v>
      </c>
      <c r="K506" s="478">
        <f t="shared" si="552"/>
        <v>0</v>
      </c>
      <c r="L506" s="478">
        <f t="shared" si="552"/>
        <v>0</v>
      </c>
      <c r="M506" s="478">
        <f t="shared" ref="M506" si="553">+M507+M509</f>
        <v>6326</v>
      </c>
      <c r="N506" s="478">
        <f t="shared" si="552"/>
        <v>6326</v>
      </c>
      <c r="O506" s="478">
        <f t="shared" si="552"/>
        <v>128872</v>
      </c>
      <c r="P506" s="478">
        <f t="shared" si="552"/>
        <v>0</v>
      </c>
      <c r="Q506" s="478"/>
      <c r="R506" s="478"/>
      <c r="S506" s="479"/>
      <c r="T506" s="478"/>
      <c r="U506" s="478"/>
      <c r="V506" s="478"/>
      <c r="W506" s="478"/>
      <c r="X506" s="480">
        <f>+X507+X509</f>
        <v>0</v>
      </c>
      <c r="Y506" s="2991"/>
      <c r="Z506" s="987">
        <f>+O506+P506+Q506+R506</f>
        <v>128872</v>
      </c>
      <c r="AA506" s="843"/>
      <c r="AB506" s="843"/>
      <c r="AC506" s="843"/>
    </row>
    <row r="507" spans="1:29" ht="14.25" customHeight="1">
      <c r="A507" s="2987"/>
      <c r="B507" s="526" t="s">
        <v>36</v>
      </c>
      <c r="C507" s="2978" t="s">
        <v>118</v>
      </c>
      <c r="D507" s="481">
        <f>+D508</f>
        <v>41768</v>
      </c>
      <c r="E507" s="481">
        <f t="shared" ref="E507:P507" si="554">+E508</f>
        <v>0</v>
      </c>
      <c r="F507" s="481">
        <f t="shared" si="554"/>
        <v>0</v>
      </c>
      <c r="G507" s="481">
        <f t="shared" si="554"/>
        <v>0</v>
      </c>
      <c r="H507" s="481">
        <f t="shared" si="554"/>
        <v>0</v>
      </c>
      <c r="I507" s="481">
        <f t="shared" si="554"/>
        <v>0</v>
      </c>
      <c r="J507" s="481">
        <f t="shared" si="554"/>
        <v>0</v>
      </c>
      <c r="K507" s="481">
        <f t="shared" si="554"/>
        <v>0</v>
      </c>
      <c r="L507" s="481">
        <f t="shared" si="554"/>
        <v>0</v>
      </c>
      <c r="M507" s="481">
        <f t="shared" si="554"/>
        <v>1954</v>
      </c>
      <c r="N507" s="481">
        <f t="shared" si="554"/>
        <v>1954</v>
      </c>
      <c r="O507" s="481">
        <f t="shared" si="554"/>
        <v>39814</v>
      </c>
      <c r="P507" s="481">
        <f t="shared" si="554"/>
        <v>0</v>
      </c>
      <c r="Q507" s="481"/>
      <c r="R507" s="481"/>
      <c r="S507" s="551"/>
      <c r="T507" s="481"/>
      <c r="U507" s="481"/>
      <c r="V507" s="481"/>
      <c r="W507" s="481"/>
      <c r="X507" s="502">
        <f>+X508</f>
        <v>0</v>
      </c>
      <c r="Y507" s="2991"/>
      <c r="Z507" s="843"/>
    </row>
    <row r="508" spans="1:29">
      <c r="A508" s="2987"/>
      <c r="B508" s="527" t="s">
        <v>24</v>
      </c>
      <c r="C508" s="2994"/>
      <c r="D508" s="449">
        <f t="shared" ref="D508" si="555">M508+O508+P508+Q508+R508+S508+T508+U508+V508+W508</f>
        <v>41768</v>
      </c>
      <c r="E508" s="494">
        <f>+F508+G508+H508</f>
        <v>0</v>
      </c>
      <c r="F508" s="530">
        <v>0</v>
      </c>
      <c r="G508" s="494">
        <v>0</v>
      </c>
      <c r="H508" s="494">
        <v>0</v>
      </c>
      <c r="I508" s="494">
        <f>140382-140382</f>
        <v>0</v>
      </c>
      <c r="J508" s="532"/>
      <c r="K508" s="494"/>
      <c r="L508" s="494"/>
      <c r="M508" s="450">
        <f>+E508+I508+J508+K508+L508+N508</f>
        <v>1954</v>
      </c>
      <c r="N508" s="530">
        <f>40886-38160-514-258</f>
        <v>1954</v>
      </c>
      <c r="O508" s="530">
        <f>40886-23514+38160-10480-5238</f>
        <v>39814</v>
      </c>
      <c r="P508" s="457">
        <v>0</v>
      </c>
      <c r="Q508" s="457"/>
      <c r="R508" s="457"/>
      <c r="S508" s="456"/>
      <c r="T508" s="457"/>
      <c r="U508" s="457"/>
      <c r="V508" s="457"/>
      <c r="W508" s="457"/>
      <c r="X508" s="409">
        <f>SUM(P508:T508)</f>
        <v>0</v>
      </c>
      <c r="Y508" s="2991"/>
    </row>
    <row r="509" spans="1:29" ht="14.25" customHeight="1">
      <c r="A509" s="2987"/>
      <c r="B509" s="518" t="s">
        <v>30</v>
      </c>
      <c r="C509" s="2994"/>
      <c r="D509" s="459">
        <f>+D510</f>
        <v>93430</v>
      </c>
      <c r="E509" s="459">
        <f t="shared" ref="E509:P509" si="556">+E510</f>
        <v>0</v>
      </c>
      <c r="F509" s="459">
        <f t="shared" si="556"/>
        <v>0</v>
      </c>
      <c r="G509" s="459">
        <f t="shared" si="556"/>
        <v>0</v>
      </c>
      <c r="H509" s="459">
        <f t="shared" si="556"/>
        <v>0</v>
      </c>
      <c r="I509" s="459">
        <f t="shared" si="556"/>
        <v>0</v>
      </c>
      <c r="J509" s="459">
        <f t="shared" si="556"/>
        <v>0</v>
      </c>
      <c r="K509" s="459">
        <f t="shared" si="556"/>
        <v>0</v>
      </c>
      <c r="L509" s="459">
        <f t="shared" si="556"/>
        <v>0</v>
      </c>
      <c r="M509" s="459">
        <f t="shared" si="556"/>
        <v>4372</v>
      </c>
      <c r="N509" s="459">
        <f t="shared" si="556"/>
        <v>4372</v>
      </c>
      <c r="O509" s="459">
        <f t="shared" si="556"/>
        <v>89058</v>
      </c>
      <c r="P509" s="459">
        <f t="shared" si="556"/>
        <v>0</v>
      </c>
      <c r="Q509" s="459"/>
      <c r="R509" s="459"/>
      <c r="S509" s="460"/>
      <c r="T509" s="459"/>
      <c r="U509" s="459"/>
      <c r="V509" s="459"/>
      <c r="W509" s="459"/>
      <c r="X509" s="502">
        <f>+X510</f>
        <v>0</v>
      </c>
      <c r="Y509" s="2991"/>
    </row>
    <row r="510" spans="1:29">
      <c r="A510" s="2987"/>
      <c r="B510" s="463" t="s">
        <v>33</v>
      </c>
      <c r="C510" s="2994"/>
      <c r="D510" s="449">
        <f t="shared" ref="D510" si="557">M510+O510+P510+Q510+R510+S510+T510+U510+V510+W510</f>
        <v>93430</v>
      </c>
      <c r="E510" s="456">
        <f>+F510+G510+H510</f>
        <v>0</v>
      </c>
      <c r="F510" s="457">
        <v>0</v>
      </c>
      <c r="G510" s="457">
        <v>0</v>
      </c>
      <c r="H510" s="456">
        <v>0</v>
      </c>
      <c r="I510" s="456">
        <f>163508-163508</f>
        <v>0</v>
      </c>
      <c r="J510" s="456"/>
      <c r="K510" s="456"/>
      <c r="L510" s="456">
        <v>0</v>
      </c>
      <c r="M510" s="450">
        <f>+E510+I510+J510+K510+L510+N510</f>
        <v>4372</v>
      </c>
      <c r="N510" s="456">
        <f>54000-50400+514+258</f>
        <v>4372</v>
      </c>
      <c r="O510" s="456">
        <f>54000-31058+50400+10478+5238</f>
        <v>89058</v>
      </c>
      <c r="P510" s="457">
        <v>0</v>
      </c>
      <c r="Q510" s="457"/>
      <c r="R510" s="457"/>
      <c r="S510" s="456"/>
      <c r="T510" s="457"/>
      <c r="U510" s="457"/>
      <c r="V510" s="457"/>
      <c r="W510" s="457"/>
      <c r="X510" s="409">
        <f>SUM(P510:T510)</f>
        <v>0</v>
      </c>
      <c r="Y510" s="2991"/>
    </row>
    <row r="511" spans="1:29" s="988" customFormat="1" ht="14.25" customHeight="1">
      <c r="A511" s="2988"/>
      <c r="B511" s="374" t="s">
        <v>34</v>
      </c>
      <c r="C511" s="375"/>
      <c r="D511" s="464">
        <f>+D512</f>
        <v>93430</v>
      </c>
      <c r="E511" s="464">
        <f t="shared" ref="E511:P512" si="558">+E512</f>
        <v>0</v>
      </c>
      <c r="F511" s="464">
        <f t="shared" si="558"/>
        <v>0</v>
      </c>
      <c r="G511" s="464">
        <f t="shared" si="558"/>
        <v>0</v>
      </c>
      <c r="H511" s="464">
        <f t="shared" si="558"/>
        <v>0</v>
      </c>
      <c r="I511" s="464">
        <f t="shared" si="558"/>
        <v>0</v>
      </c>
      <c r="J511" s="464">
        <f t="shared" si="558"/>
        <v>0</v>
      </c>
      <c r="K511" s="464">
        <f t="shared" si="558"/>
        <v>0</v>
      </c>
      <c r="L511" s="464">
        <f t="shared" si="558"/>
        <v>0</v>
      </c>
      <c r="M511" s="464">
        <f t="shared" si="558"/>
        <v>3600</v>
      </c>
      <c r="N511" s="464">
        <f t="shared" si="558"/>
        <v>3600</v>
      </c>
      <c r="O511" s="464">
        <f t="shared" si="558"/>
        <v>84334</v>
      </c>
      <c r="P511" s="464">
        <f t="shared" si="558"/>
        <v>5496</v>
      </c>
      <c r="Q511" s="464"/>
      <c r="R511" s="464"/>
      <c r="S511" s="443"/>
      <c r="T511" s="464"/>
      <c r="U511" s="464"/>
      <c r="V511" s="464"/>
      <c r="W511" s="464"/>
      <c r="X511" s="2952" t="s">
        <v>35</v>
      </c>
      <c r="Y511" s="2992"/>
      <c r="Z511" s="987"/>
    </row>
    <row r="512" spans="1:29" s="990" customFormat="1" ht="14.25" customHeight="1">
      <c r="A512" s="2988"/>
      <c r="B512" s="518" t="s">
        <v>30</v>
      </c>
      <c r="C512" s="2978" t="s">
        <v>118</v>
      </c>
      <c r="D512" s="511">
        <f>+D513</f>
        <v>93430</v>
      </c>
      <c r="E512" s="511">
        <f t="shared" si="558"/>
        <v>0</v>
      </c>
      <c r="F512" s="511">
        <f t="shared" si="558"/>
        <v>0</v>
      </c>
      <c r="G512" s="511">
        <f t="shared" si="558"/>
        <v>0</v>
      </c>
      <c r="H512" s="511">
        <f t="shared" si="558"/>
        <v>0</v>
      </c>
      <c r="I512" s="511">
        <f t="shared" si="558"/>
        <v>0</v>
      </c>
      <c r="J512" s="511">
        <f t="shared" si="558"/>
        <v>0</v>
      </c>
      <c r="K512" s="511">
        <f t="shared" si="558"/>
        <v>0</v>
      </c>
      <c r="L512" s="511">
        <f t="shared" si="558"/>
        <v>0</v>
      </c>
      <c r="M512" s="511">
        <f t="shared" si="558"/>
        <v>3600</v>
      </c>
      <c r="N512" s="536">
        <f t="shared" si="558"/>
        <v>3600</v>
      </c>
      <c r="O512" s="536">
        <f t="shared" si="558"/>
        <v>84334</v>
      </c>
      <c r="P512" s="511">
        <f t="shared" si="558"/>
        <v>5496</v>
      </c>
      <c r="Q512" s="511"/>
      <c r="R512" s="511"/>
      <c r="S512" s="519"/>
      <c r="T512" s="511"/>
      <c r="U512" s="511"/>
      <c r="V512" s="511"/>
      <c r="W512" s="511"/>
      <c r="X512" s="2953"/>
      <c r="Y512" s="2992"/>
    </row>
    <row r="513" spans="1:29" s="990" customFormat="1" ht="14.25" customHeight="1" thickBot="1">
      <c r="A513" s="2989"/>
      <c r="B513" s="573" t="s">
        <v>33</v>
      </c>
      <c r="C513" s="2995"/>
      <c r="D513" s="1221">
        <f t="shared" ref="D513" si="559">M513+O513+P513+Q513+R513+S513+T513+U513+V513+W513</f>
        <v>93430</v>
      </c>
      <c r="E513" s="565">
        <f>+F513+G513+H513</f>
        <v>0</v>
      </c>
      <c r="F513" s="566">
        <v>0</v>
      </c>
      <c r="G513" s="565">
        <v>0</v>
      </c>
      <c r="H513" s="565">
        <v>0</v>
      </c>
      <c r="I513" s="565">
        <v>0</v>
      </c>
      <c r="J513" s="565">
        <v>0</v>
      </c>
      <c r="K513" s="565"/>
      <c r="L513" s="565">
        <v>0</v>
      </c>
      <c r="M513" s="1221">
        <f>+E513+I513+J513+K513+L513+N513</f>
        <v>3600</v>
      </c>
      <c r="N513" s="567">
        <f>108000-54000-50400</f>
        <v>3600</v>
      </c>
      <c r="O513" s="567">
        <f>22942+50400+10992</f>
        <v>84334</v>
      </c>
      <c r="P513" s="568">
        <v>5496</v>
      </c>
      <c r="Q513" s="568"/>
      <c r="R513" s="568"/>
      <c r="S513" s="568"/>
      <c r="T513" s="568"/>
      <c r="U513" s="568"/>
      <c r="V513" s="568"/>
      <c r="W513" s="568"/>
      <c r="X513" s="2954"/>
      <c r="Y513" s="2993"/>
    </row>
    <row r="514" spans="1:29" ht="27.75" hidden="1" customHeight="1">
      <c r="A514" s="3017" t="s">
        <v>414</v>
      </c>
      <c r="B514" s="785" t="s">
        <v>331</v>
      </c>
      <c r="C514" s="646"/>
      <c r="D514" s="621"/>
      <c r="E514" s="621"/>
      <c r="F514" s="621"/>
      <c r="G514" s="621"/>
      <c r="H514" s="621"/>
      <c r="I514" s="621"/>
      <c r="J514" s="621"/>
      <c r="K514" s="621"/>
      <c r="L514" s="622"/>
      <c r="M514" s="622"/>
      <c r="N514" s="622"/>
      <c r="O514" s="622"/>
      <c r="P514" s="622"/>
      <c r="Q514" s="622"/>
      <c r="R514" s="622"/>
      <c r="S514" s="622"/>
      <c r="T514" s="622"/>
      <c r="U514" s="622"/>
      <c r="V514" s="622"/>
      <c r="W514" s="622"/>
      <c r="X514" s="1212"/>
      <c r="Y514" s="3020"/>
    </row>
    <row r="515" spans="1:29" ht="14.25" hidden="1" customHeight="1">
      <c r="A515" s="3018"/>
      <c r="B515" s="374" t="s">
        <v>22</v>
      </c>
      <c r="C515" s="648"/>
      <c r="D515" s="624">
        <f>+D516+D518</f>
        <v>0</v>
      </c>
      <c r="E515" s="624"/>
      <c r="F515" s="624"/>
      <c r="G515" s="624"/>
      <c r="H515" s="624"/>
      <c r="I515" s="624"/>
      <c r="J515" s="624"/>
      <c r="K515" s="624"/>
      <c r="L515" s="624"/>
      <c r="M515" s="624">
        <f t="shared" ref="M515" si="560">+M516+M518</f>
        <v>0</v>
      </c>
      <c r="N515" s="624">
        <f t="shared" ref="N515:Q515" si="561">+N516+N518</f>
        <v>0</v>
      </c>
      <c r="O515" s="624">
        <f t="shared" si="561"/>
        <v>0</v>
      </c>
      <c r="P515" s="624">
        <f t="shared" si="561"/>
        <v>0</v>
      </c>
      <c r="Q515" s="624">
        <f t="shared" si="561"/>
        <v>0</v>
      </c>
      <c r="R515" s="624">
        <f t="shared" ref="R515:T515" si="562">+R516+R518</f>
        <v>0</v>
      </c>
      <c r="S515" s="624">
        <f t="shared" si="562"/>
        <v>0</v>
      </c>
      <c r="T515" s="624">
        <f t="shared" si="562"/>
        <v>0</v>
      </c>
      <c r="U515" s="624">
        <f t="shared" ref="U515:W515" si="563">+U516+U518</f>
        <v>0</v>
      </c>
      <c r="V515" s="624">
        <f t="shared" si="563"/>
        <v>0</v>
      </c>
      <c r="W515" s="624">
        <f t="shared" si="563"/>
        <v>0</v>
      </c>
      <c r="X515" s="480">
        <f>+X516+X518</f>
        <v>0</v>
      </c>
      <c r="Y515" s="3021"/>
      <c r="Z515" s="987">
        <f>+O515+P515+Q515+R515</f>
        <v>0</v>
      </c>
    </row>
    <row r="516" spans="1:29" ht="13.5" hidden="1" customHeight="1">
      <c r="A516" s="3018"/>
      <c r="B516" s="786" t="s">
        <v>36</v>
      </c>
      <c r="C516" s="649"/>
      <c r="D516" s="603">
        <f>+D517</f>
        <v>0</v>
      </c>
      <c r="E516" s="603"/>
      <c r="F516" s="603"/>
      <c r="G516" s="603"/>
      <c r="H516" s="603"/>
      <c r="I516" s="603"/>
      <c r="J516" s="603"/>
      <c r="K516" s="603"/>
      <c r="L516" s="603"/>
      <c r="M516" s="603">
        <f t="shared" ref="M516:X516" si="564">+M517</f>
        <v>0</v>
      </c>
      <c r="N516" s="603">
        <f t="shared" si="564"/>
        <v>0</v>
      </c>
      <c r="O516" s="603">
        <f t="shared" si="564"/>
        <v>0</v>
      </c>
      <c r="P516" s="603">
        <f t="shared" si="564"/>
        <v>0</v>
      </c>
      <c r="Q516" s="603">
        <f t="shared" si="564"/>
        <v>0</v>
      </c>
      <c r="R516" s="603">
        <f t="shared" si="564"/>
        <v>0</v>
      </c>
      <c r="S516" s="603">
        <f t="shared" si="564"/>
        <v>0</v>
      </c>
      <c r="T516" s="603">
        <f t="shared" si="564"/>
        <v>0</v>
      </c>
      <c r="U516" s="603">
        <f t="shared" si="564"/>
        <v>0</v>
      </c>
      <c r="V516" s="603">
        <f t="shared" si="564"/>
        <v>0</v>
      </c>
      <c r="W516" s="603">
        <f t="shared" si="564"/>
        <v>0</v>
      </c>
      <c r="X516" s="482">
        <f t="shared" si="564"/>
        <v>0</v>
      </c>
      <c r="Y516" s="3021"/>
    </row>
    <row r="517" spans="1:29" s="848" customFormat="1" hidden="1">
      <c r="A517" s="3018"/>
      <c r="B517" s="1028" t="s">
        <v>24</v>
      </c>
      <c r="C517" s="650"/>
      <c r="D517" s="408">
        <f>+D526</f>
        <v>0</v>
      </c>
      <c r="E517" s="408"/>
      <c r="F517" s="408"/>
      <c r="G517" s="408"/>
      <c r="H517" s="408"/>
      <c r="I517" s="408"/>
      <c r="J517" s="408"/>
      <c r="K517" s="408"/>
      <c r="L517" s="408"/>
      <c r="M517" s="408">
        <f>+M526</f>
        <v>0</v>
      </c>
      <c r="N517" s="408">
        <f t="shared" ref="N517:T517" si="565">+N526</f>
        <v>0</v>
      </c>
      <c r="O517" s="408">
        <f t="shared" si="565"/>
        <v>0</v>
      </c>
      <c r="P517" s="408">
        <f t="shared" si="565"/>
        <v>0</v>
      </c>
      <c r="Q517" s="408">
        <f t="shared" si="565"/>
        <v>0</v>
      </c>
      <c r="R517" s="408">
        <f t="shared" si="565"/>
        <v>0</v>
      </c>
      <c r="S517" s="408">
        <f t="shared" si="565"/>
        <v>0</v>
      </c>
      <c r="T517" s="408">
        <f t="shared" si="565"/>
        <v>0</v>
      </c>
      <c r="U517" s="408">
        <f t="shared" ref="U517:W517" si="566">+U526</f>
        <v>0</v>
      </c>
      <c r="V517" s="408">
        <f t="shared" si="566"/>
        <v>0</v>
      </c>
      <c r="W517" s="408">
        <f t="shared" si="566"/>
        <v>0</v>
      </c>
      <c r="X517" s="409">
        <f>SUM(P517:T517)</f>
        <v>0</v>
      </c>
      <c r="Y517" s="3021"/>
    </row>
    <row r="518" spans="1:29" ht="14.25" hidden="1" customHeight="1">
      <c r="A518" s="3018"/>
      <c r="B518" s="787" t="s">
        <v>30</v>
      </c>
      <c r="C518" s="651"/>
      <c r="D518" s="404">
        <f>+D519</f>
        <v>0</v>
      </c>
      <c r="E518" s="404"/>
      <c r="F518" s="404"/>
      <c r="G518" s="404"/>
      <c r="H518" s="404"/>
      <c r="I518" s="404"/>
      <c r="J518" s="404"/>
      <c r="K518" s="404"/>
      <c r="L518" s="404"/>
      <c r="M518" s="404">
        <f t="shared" ref="M518:X518" si="567">+M519</f>
        <v>0</v>
      </c>
      <c r="N518" s="404">
        <f t="shared" si="567"/>
        <v>0</v>
      </c>
      <c r="O518" s="404">
        <f t="shared" si="567"/>
        <v>0</v>
      </c>
      <c r="P518" s="404">
        <f t="shared" si="567"/>
        <v>0</v>
      </c>
      <c r="Q518" s="404">
        <f t="shared" si="567"/>
        <v>0</v>
      </c>
      <c r="R518" s="404">
        <f t="shared" si="567"/>
        <v>0</v>
      </c>
      <c r="S518" s="404">
        <f t="shared" si="567"/>
        <v>0</v>
      </c>
      <c r="T518" s="404">
        <f t="shared" si="567"/>
        <v>0</v>
      </c>
      <c r="U518" s="404">
        <f t="shared" si="567"/>
        <v>0</v>
      </c>
      <c r="V518" s="404">
        <f t="shared" si="567"/>
        <v>0</v>
      </c>
      <c r="W518" s="404">
        <f t="shared" si="567"/>
        <v>0</v>
      </c>
      <c r="X518" s="482">
        <f t="shared" si="567"/>
        <v>0</v>
      </c>
      <c r="Y518" s="3021"/>
    </row>
    <row r="519" spans="1:29" s="848" customFormat="1" ht="11.25" hidden="1" customHeight="1">
      <c r="A519" s="3018"/>
      <c r="B519" s="1029" t="s">
        <v>32</v>
      </c>
      <c r="C519" s="650"/>
      <c r="D519" s="408">
        <f t="shared" ref="D519" si="568">+D528</f>
        <v>0</v>
      </c>
      <c r="E519" s="408"/>
      <c r="F519" s="408"/>
      <c r="G519" s="408"/>
      <c r="H519" s="408"/>
      <c r="I519" s="408"/>
      <c r="J519" s="408"/>
      <c r="K519" s="408"/>
      <c r="L519" s="408"/>
      <c r="M519" s="408">
        <f t="shared" ref="M519:T519" si="569">+M528</f>
        <v>0</v>
      </c>
      <c r="N519" s="408">
        <f t="shared" si="569"/>
        <v>0</v>
      </c>
      <c r="O519" s="408">
        <f t="shared" si="569"/>
        <v>0</v>
      </c>
      <c r="P519" s="408">
        <f t="shared" si="569"/>
        <v>0</v>
      </c>
      <c r="Q519" s="408">
        <f t="shared" si="569"/>
        <v>0</v>
      </c>
      <c r="R519" s="408">
        <f t="shared" si="569"/>
        <v>0</v>
      </c>
      <c r="S519" s="408">
        <f t="shared" si="569"/>
        <v>0</v>
      </c>
      <c r="T519" s="408">
        <f t="shared" si="569"/>
        <v>0</v>
      </c>
      <c r="U519" s="408">
        <f t="shared" ref="U519:W519" si="570">+U528</f>
        <v>0</v>
      </c>
      <c r="V519" s="408">
        <f t="shared" si="570"/>
        <v>0</v>
      </c>
      <c r="W519" s="408">
        <f t="shared" si="570"/>
        <v>0</v>
      </c>
      <c r="X519" s="409">
        <f>SUM(P519:T519)</f>
        <v>0</v>
      </c>
      <c r="Y519" s="3021"/>
    </row>
    <row r="520" spans="1:29" ht="13.5" hidden="1" customHeight="1">
      <c r="A520" s="3018"/>
      <c r="B520" s="374" t="s">
        <v>34</v>
      </c>
      <c r="C520" s="648"/>
      <c r="D520" s="624">
        <f>+D521</f>
        <v>0</v>
      </c>
      <c r="E520" s="624"/>
      <c r="F520" s="624"/>
      <c r="G520" s="624"/>
      <c r="H520" s="624"/>
      <c r="I520" s="624"/>
      <c r="J520" s="624"/>
      <c r="K520" s="624"/>
      <c r="L520" s="624"/>
      <c r="M520" s="624">
        <f>+M521</f>
        <v>0</v>
      </c>
      <c r="N520" s="624">
        <f>+N521</f>
        <v>0</v>
      </c>
      <c r="O520" s="624">
        <f t="shared" ref="O520:W521" si="571">+O521</f>
        <v>0</v>
      </c>
      <c r="P520" s="624">
        <f t="shared" si="571"/>
        <v>0</v>
      </c>
      <c r="Q520" s="624">
        <f t="shared" si="571"/>
        <v>0</v>
      </c>
      <c r="R520" s="624">
        <f t="shared" si="571"/>
        <v>0</v>
      </c>
      <c r="S520" s="624">
        <f t="shared" si="571"/>
        <v>0</v>
      </c>
      <c r="T520" s="624">
        <f t="shared" si="571"/>
        <v>0</v>
      </c>
      <c r="U520" s="624">
        <f t="shared" si="571"/>
        <v>0</v>
      </c>
      <c r="V520" s="624">
        <f t="shared" si="571"/>
        <v>0</v>
      </c>
      <c r="W520" s="624">
        <f t="shared" si="571"/>
        <v>0</v>
      </c>
      <c r="X520" s="2952" t="s">
        <v>35</v>
      </c>
      <c r="Y520" s="3021"/>
    </row>
    <row r="521" spans="1:29" ht="12" hidden="1" customHeight="1">
      <c r="A521" s="3018"/>
      <c r="B521" s="788" t="s">
        <v>30</v>
      </c>
      <c r="C521" s="649"/>
      <c r="D521" s="603">
        <f>+D522</f>
        <v>0</v>
      </c>
      <c r="E521" s="603"/>
      <c r="F521" s="603"/>
      <c r="G521" s="603"/>
      <c r="H521" s="603"/>
      <c r="I521" s="603"/>
      <c r="J521" s="603"/>
      <c r="K521" s="603"/>
      <c r="L521" s="603"/>
      <c r="M521" s="603">
        <f>+M522</f>
        <v>0</v>
      </c>
      <c r="N521" s="603">
        <f>+N522</f>
        <v>0</v>
      </c>
      <c r="O521" s="603">
        <f t="shared" si="571"/>
        <v>0</v>
      </c>
      <c r="P521" s="603">
        <f t="shared" si="571"/>
        <v>0</v>
      </c>
      <c r="Q521" s="603">
        <f t="shared" si="571"/>
        <v>0</v>
      </c>
      <c r="R521" s="603">
        <f t="shared" si="571"/>
        <v>0</v>
      </c>
      <c r="S521" s="603">
        <f t="shared" si="571"/>
        <v>0</v>
      </c>
      <c r="T521" s="603">
        <f t="shared" si="571"/>
        <v>0</v>
      </c>
      <c r="U521" s="603">
        <f t="shared" si="571"/>
        <v>0</v>
      </c>
      <c r="V521" s="603">
        <f t="shared" si="571"/>
        <v>0</v>
      </c>
      <c r="W521" s="603">
        <f t="shared" si="571"/>
        <v>0</v>
      </c>
      <c r="X521" s="2953"/>
      <c r="Y521" s="3021"/>
    </row>
    <row r="522" spans="1:29" ht="13.5" hidden="1" customHeight="1" thickBot="1">
      <c r="A522" s="3019"/>
      <c r="B522" s="635" t="s">
        <v>32</v>
      </c>
      <c r="C522" s="650"/>
      <c r="D522" s="408">
        <f t="shared" ref="D522" si="572">+D531</f>
        <v>0</v>
      </c>
      <c r="E522" s="408"/>
      <c r="F522" s="408"/>
      <c r="G522" s="408"/>
      <c r="H522" s="408"/>
      <c r="I522" s="408"/>
      <c r="J522" s="408"/>
      <c r="K522" s="408"/>
      <c r="L522" s="408"/>
      <c r="M522" s="408">
        <f t="shared" ref="M522:T522" si="573">+M531</f>
        <v>0</v>
      </c>
      <c r="N522" s="408">
        <f t="shared" si="573"/>
        <v>0</v>
      </c>
      <c r="O522" s="408">
        <f t="shared" si="573"/>
        <v>0</v>
      </c>
      <c r="P522" s="408">
        <f t="shared" si="573"/>
        <v>0</v>
      </c>
      <c r="Q522" s="408">
        <f t="shared" si="573"/>
        <v>0</v>
      </c>
      <c r="R522" s="408">
        <f t="shared" si="573"/>
        <v>0</v>
      </c>
      <c r="S522" s="953">
        <f t="shared" si="573"/>
        <v>0</v>
      </c>
      <c r="T522" s="954">
        <f t="shared" si="573"/>
        <v>0</v>
      </c>
      <c r="U522" s="954">
        <f t="shared" ref="U522:W522" si="574">+U531</f>
        <v>0</v>
      </c>
      <c r="V522" s="954">
        <f t="shared" si="574"/>
        <v>0</v>
      </c>
      <c r="W522" s="954">
        <f t="shared" si="574"/>
        <v>0</v>
      </c>
      <c r="X522" s="2954"/>
      <c r="Y522" s="3022"/>
    </row>
    <row r="523" spans="1:29" hidden="1">
      <c r="A523" s="2986" t="s">
        <v>431</v>
      </c>
      <c r="B523" s="1073"/>
      <c r="C523" s="473" t="s">
        <v>130</v>
      </c>
      <c r="D523" s="572"/>
      <c r="E523" s="546"/>
      <c r="F523" s="547"/>
      <c r="G523" s="546"/>
      <c r="H523" s="546"/>
      <c r="I523" s="546"/>
      <c r="J523" s="546"/>
      <c r="K523" s="546"/>
      <c r="L523" s="546"/>
      <c r="M523" s="546"/>
      <c r="N523" s="546"/>
      <c r="O523" s="546"/>
      <c r="P523" s="548"/>
      <c r="Q523" s="548"/>
      <c r="R523" s="548"/>
      <c r="S523" s="928"/>
      <c r="T523" s="928"/>
      <c r="U523" s="928"/>
      <c r="V523" s="928"/>
      <c r="W523" s="928"/>
      <c r="X523" s="549"/>
      <c r="Y523" s="2990" t="s">
        <v>131</v>
      </c>
      <c r="AC523" s="991"/>
    </row>
    <row r="524" spans="1:29" ht="14.25" hidden="1" customHeight="1">
      <c r="A524" s="2987"/>
      <c r="B524" s="374" t="s">
        <v>22</v>
      </c>
      <c r="C524" s="375"/>
      <c r="D524" s="478">
        <f>+D525+D527</f>
        <v>0</v>
      </c>
      <c r="E524" s="478"/>
      <c r="F524" s="478"/>
      <c r="G524" s="478"/>
      <c r="H524" s="478"/>
      <c r="I524" s="478"/>
      <c r="J524" s="478"/>
      <c r="K524" s="478"/>
      <c r="L524" s="478"/>
      <c r="M524" s="478">
        <f t="shared" ref="M524" si="575">+M525+M527</f>
        <v>0</v>
      </c>
      <c r="N524" s="478">
        <f t="shared" ref="N524:R524" si="576">+N525+N527</f>
        <v>0</v>
      </c>
      <c r="O524" s="478">
        <f t="shared" si="576"/>
        <v>0</v>
      </c>
      <c r="P524" s="1074">
        <f t="shared" si="576"/>
        <v>0</v>
      </c>
      <c r="Q524" s="1074">
        <f t="shared" si="576"/>
        <v>0</v>
      </c>
      <c r="R524" s="1074">
        <f t="shared" si="576"/>
        <v>0</v>
      </c>
      <c r="S524" s="1074">
        <f t="shared" ref="S524:U524" si="577">+S525+S527</f>
        <v>0</v>
      </c>
      <c r="T524" s="1074">
        <f t="shared" si="577"/>
        <v>0</v>
      </c>
      <c r="U524" s="1074">
        <f t="shared" si="577"/>
        <v>0</v>
      </c>
      <c r="V524" s="1074">
        <f t="shared" ref="V524:W524" si="578">+V525+V527</f>
        <v>0</v>
      </c>
      <c r="W524" s="1074">
        <f t="shared" si="578"/>
        <v>0</v>
      </c>
      <c r="X524" s="480">
        <f>+X525+X527</f>
        <v>0</v>
      </c>
      <c r="Y524" s="2991"/>
      <c r="Z524" s="987">
        <f>+O524+P524+Q524+R524</f>
        <v>0</v>
      </c>
      <c r="AA524" s="843"/>
      <c r="AB524" s="843"/>
      <c r="AC524" s="843"/>
    </row>
    <row r="525" spans="1:29" ht="14.25" hidden="1" customHeight="1">
      <c r="A525" s="2987"/>
      <c r="B525" s="526" t="s">
        <v>36</v>
      </c>
      <c r="C525" s="2978" t="s">
        <v>132</v>
      </c>
      <c r="D525" s="481">
        <f>+D526</f>
        <v>0</v>
      </c>
      <c r="E525" s="481"/>
      <c r="F525" s="481"/>
      <c r="G525" s="481"/>
      <c r="H525" s="481"/>
      <c r="I525" s="481"/>
      <c r="J525" s="481"/>
      <c r="K525" s="481"/>
      <c r="L525" s="481"/>
      <c r="M525" s="481">
        <f t="shared" ref="M525:X525" si="579">+M526</f>
        <v>0</v>
      </c>
      <c r="N525" s="481">
        <f t="shared" si="579"/>
        <v>0</v>
      </c>
      <c r="O525" s="481">
        <f t="shared" si="579"/>
        <v>0</v>
      </c>
      <c r="P525" s="1075">
        <f t="shared" si="579"/>
        <v>0</v>
      </c>
      <c r="Q525" s="1075">
        <f t="shared" si="579"/>
        <v>0</v>
      </c>
      <c r="R525" s="1075">
        <f t="shared" si="579"/>
        <v>0</v>
      </c>
      <c r="S525" s="1075">
        <f t="shared" si="579"/>
        <v>0</v>
      </c>
      <c r="T525" s="1075">
        <f t="shared" si="579"/>
        <v>0</v>
      </c>
      <c r="U525" s="1075">
        <f t="shared" si="579"/>
        <v>0</v>
      </c>
      <c r="V525" s="1075">
        <f t="shared" si="579"/>
        <v>0</v>
      </c>
      <c r="W525" s="1075">
        <f t="shared" si="579"/>
        <v>0</v>
      </c>
      <c r="X525" s="502">
        <f t="shared" si="579"/>
        <v>0</v>
      </c>
      <c r="Y525" s="2991"/>
      <c r="Z525" s="843"/>
    </row>
    <row r="526" spans="1:29" ht="14.25" hidden="1" customHeight="1">
      <c r="A526" s="2987"/>
      <c r="B526" s="527" t="s">
        <v>24</v>
      </c>
      <c r="C526" s="2994"/>
      <c r="D526" s="449">
        <f t="shared" ref="D526" si="580">M526+O526+P526+Q526+R526+S526+T526+U526+V526+W526</f>
        <v>0</v>
      </c>
      <c r="E526" s="456"/>
      <c r="F526" s="457"/>
      <c r="G526" s="456"/>
      <c r="H526" s="456"/>
      <c r="I526" s="456"/>
      <c r="J526" s="532"/>
      <c r="K526" s="494"/>
      <c r="L526" s="456"/>
      <c r="M526" s="450">
        <f>+E526+I526+J526+K526+L526+N526</f>
        <v>0</v>
      </c>
      <c r="N526" s="457">
        <f>4240-4240</f>
        <v>0</v>
      </c>
      <c r="O526" s="457">
        <v>0</v>
      </c>
      <c r="P526" s="2061">
        <v>0</v>
      </c>
      <c r="Q526" s="2061">
        <v>0</v>
      </c>
      <c r="R526" s="2061">
        <v>0</v>
      </c>
      <c r="S526" s="2061">
        <v>0</v>
      </c>
      <c r="T526" s="2061">
        <v>0</v>
      </c>
      <c r="U526" s="2061">
        <v>0</v>
      </c>
      <c r="V526" s="2061">
        <v>0</v>
      </c>
      <c r="W526" s="2061">
        <v>0</v>
      </c>
      <c r="X526" s="409">
        <f>SUM(P526:T526)</f>
        <v>0</v>
      </c>
      <c r="Y526" s="2991"/>
    </row>
    <row r="527" spans="1:29" ht="14.25" hidden="1" customHeight="1">
      <c r="A527" s="2987"/>
      <c r="B527" s="518" t="s">
        <v>30</v>
      </c>
      <c r="C527" s="2994"/>
      <c r="D527" s="459">
        <f t="shared" ref="D527:X527" si="581">+D528</f>
        <v>0</v>
      </c>
      <c r="E527" s="459"/>
      <c r="F527" s="459"/>
      <c r="G527" s="459"/>
      <c r="H527" s="459"/>
      <c r="I527" s="459"/>
      <c r="J527" s="459"/>
      <c r="K527" s="459"/>
      <c r="L527" s="459"/>
      <c r="M527" s="459">
        <f t="shared" si="581"/>
        <v>0</v>
      </c>
      <c r="N527" s="459">
        <f t="shared" si="581"/>
        <v>0</v>
      </c>
      <c r="O527" s="459">
        <f t="shared" si="581"/>
        <v>0</v>
      </c>
      <c r="P527" s="1035">
        <f t="shared" si="581"/>
        <v>0</v>
      </c>
      <c r="Q527" s="1035">
        <f t="shared" si="581"/>
        <v>0</v>
      </c>
      <c r="R527" s="1035">
        <f t="shared" si="581"/>
        <v>0</v>
      </c>
      <c r="S527" s="1035">
        <f t="shared" si="581"/>
        <v>0</v>
      </c>
      <c r="T527" s="1035">
        <f t="shared" si="581"/>
        <v>0</v>
      </c>
      <c r="U527" s="1035">
        <f t="shared" si="581"/>
        <v>0</v>
      </c>
      <c r="V527" s="1035">
        <f t="shared" si="581"/>
        <v>0</v>
      </c>
      <c r="W527" s="1035">
        <f t="shared" si="581"/>
        <v>0</v>
      </c>
      <c r="X527" s="502">
        <f t="shared" si="581"/>
        <v>0</v>
      </c>
      <c r="Y527" s="2991"/>
    </row>
    <row r="528" spans="1:29" ht="14.25" hidden="1" customHeight="1">
      <c r="A528" s="2987"/>
      <c r="B528" s="463" t="s">
        <v>32</v>
      </c>
      <c r="C528" s="2994"/>
      <c r="D528" s="449">
        <f t="shared" ref="D528" si="582">M528+O528+P528+Q528+R528+S528+T528+U528+V528+W528</f>
        <v>0</v>
      </c>
      <c r="E528" s="456"/>
      <c r="F528" s="457"/>
      <c r="G528" s="457"/>
      <c r="H528" s="456"/>
      <c r="I528" s="456"/>
      <c r="J528" s="456"/>
      <c r="K528" s="456"/>
      <c r="L528" s="456"/>
      <c r="M528" s="450">
        <v>0</v>
      </c>
      <c r="N528" s="456"/>
      <c r="O528" s="456">
        <v>0</v>
      </c>
      <c r="P528" s="2061">
        <v>0</v>
      </c>
      <c r="Q528" s="2061">
        <v>0</v>
      </c>
      <c r="R528" s="2061">
        <v>0</v>
      </c>
      <c r="S528" s="2061">
        <v>0</v>
      </c>
      <c r="T528" s="2061">
        <v>0</v>
      </c>
      <c r="U528" s="2061">
        <v>0</v>
      </c>
      <c r="V528" s="2061">
        <v>0</v>
      </c>
      <c r="W528" s="2061">
        <v>0</v>
      </c>
      <c r="X528" s="409">
        <f>SUM(P528:T528)</f>
        <v>0</v>
      </c>
      <c r="Y528" s="2991"/>
    </row>
    <row r="529" spans="1:27" s="988" customFormat="1" ht="14.25" hidden="1" customHeight="1">
      <c r="A529" s="2988"/>
      <c r="B529" s="374" t="s">
        <v>34</v>
      </c>
      <c r="C529" s="375"/>
      <c r="D529" s="464">
        <f>+D530</f>
        <v>0</v>
      </c>
      <c r="E529" s="464"/>
      <c r="F529" s="464"/>
      <c r="G529" s="464"/>
      <c r="H529" s="464"/>
      <c r="I529" s="464"/>
      <c r="J529" s="464"/>
      <c r="K529" s="464"/>
      <c r="L529" s="464"/>
      <c r="M529" s="464">
        <f t="shared" ref="M529:W530" si="583">+M530</f>
        <v>0</v>
      </c>
      <c r="N529" s="464">
        <f t="shared" si="583"/>
        <v>0</v>
      </c>
      <c r="O529" s="464">
        <f t="shared" si="583"/>
        <v>0</v>
      </c>
      <c r="P529" s="1037">
        <f t="shared" si="583"/>
        <v>0</v>
      </c>
      <c r="Q529" s="1037">
        <f t="shared" si="583"/>
        <v>0</v>
      </c>
      <c r="R529" s="1037">
        <f t="shared" si="583"/>
        <v>0</v>
      </c>
      <c r="S529" s="1037">
        <f t="shared" si="583"/>
        <v>0</v>
      </c>
      <c r="T529" s="1037">
        <f t="shared" si="583"/>
        <v>0</v>
      </c>
      <c r="U529" s="1037">
        <f t="shared" si="583"/>
        <v>0</v>
      </c>
      <c r="V529" s="1037">
        <f t="shared" si="583"/>
        <v>0</v>
      </c>
      <c r="W529" s="1037">
        <f t="shared" si="583"/>
        <v>0</v>
      </c>
      <c r="X529" s="2952" t="s">
        <v>35</v>
      </c>
      <c r="Y529" s="2992"/>
    </row>
    <row r="530" spans="1:27" s="990" customFormat="1" ht="14.25" hidden="1" customHeight="1">
      <c r="A530" s="2988"/>
      <c r="B530" s="518" t="s">
        <v>30</v>
      </c>
      <c r="C530" s="2978" t="s">
        <v>133</v>
      </c>
      <c r="D530" s="511">
        <f>+D531</f>
        <v>0</v>
      </c>
      <c r="E530" s="511"/>
      <c r="F530" s="511"/>
      <c r="G530" s="511"/>
      <c r="H530" s="511"/>
      <c r="I530" s="511"/>
      <c r="J530" s="511"/>
      <c r="K530" s="511"/>
      <c r="L530" s="511"/>
      <c r="M530" s="536">
        <f t="shared" si="583"/>
        <v>0</v>
      </c>
      <c r="N530" s="536">
        <f t="shared" si="583"/>
        <v>0</v>
      </c>
      <c r="O530" s="536">
        <f t="shared" si="583"/>
        <v>0</v>
      </c>
      <c r="P530" s="1077">
        <f t="shared" si="583"/>
        <v>0</v>
      </c>
      <c r="Q530" s="1077">
        <f t="shared" si="583"/>
        <v>0</v>
      </c>
      <c r="R530" s="1077">
        <f t="shared" si="583"/>
        <v>0</v>
      </c>
      <c r="S530" s="1077">
        <f t="shared" si="583"/>
        <v>0</v>
      </c>
      <c r="T530" s="1077">
        <f t="shared" si="583"/>
        <v>0</v>
      </c>
      <c r="U530" s="1077">
        <f t="shared" si="583"/>
        <v>0</v>
      </c>
      <c r="V530" s="1077">
        <f t="shared" si="583"/>
        <v>0</v>
      </c>
      <c r="W530" s="1077">
        <f t="shared" si="583"/>
        <v>0</v>
      </c>
      <c r="X530" s="2953"/>
      <c r="Y530" s="2992"/>
    </row>
    <row r="531" spans="1:27" s="990" customFormat="1" ht="14.25" hidden="1" customHeight="1" thickBot="1">
      <c r="A531" s="2989"/>
      <c r="B531" s="573" t="s">
        <v>32</v>
      </c>
      <c r="C531" s="2995"/>
      <c r="D531" s="1222">
        <f t="shared" ref="D531" si="584">M531+O531+P531+Q531+R531+S531+T531+U531+V531+W531</f>
        <v>0</v>
      </c>
      <c r="E531" s="565"/>
      <c r="F531" s="566"/>
      <c r="G531" s="565"/>
      <c r="H531" s="565"/>
      <c r="I531" s="565"/>
      <c r="J531" s="565"/>
      <c r="K531" s="565"/>
      <c r="L531" s="565"/>
      <c r="M531" s="1222">
        <v>0</v>
      </c>
      <c r="N531" s="567"/>
      <c r="O531" s="567">
        <v>0</v>
      </c>
      <c r="P531" s="2093">
        <v>0</v>
      </c>
      <c r="Q531" s="2093">
        <v>0</v>
      </c>
      <c r="R531" s="2093">
        <v>0</v>
      </c>
      <c r="S531" s="2093">
        <v>0</v>
      </c>
      <c r="T531" s="2093">
        <v>0</v>
      </c>
      <c r="U531" s="2093">
        <v>0</v>
      </c>
      <c r="V531" s="2093">
        <v>0</v>
      </c>
      <c r="W531" s="2093">
        <v>0</v>
      </c>
      <c r="X531" s="2954"/>
      <c r="Y531" s="2993"/>
      <c r="Z531" s="1922">
        <f>D531-D528</f>
        <v>0</v>
      </c>
    </row>
    <row r="532" spans="1:27" s="848" customFormat="1" ht="27" customHeight="1" thickBot="1">
      <c r="A532" s="652" t="s">
        <v>134</v>
      </c>
      <c r="B532" s="653"/>
      <c r="C532" s="654"/>
      <c r="D532" s="655"/>
      <c r="E532" s="654"/>
      <c r="F532" s="654"/>
      <c r="G532" s="654"/>
      <c r="H532" s="654"/>
      <c r="I532" s="654"/>
      <c r="J532" s="654"/>
      <c r="K532" s="654"/>
      <c r="L532" s="654"/>
      <c r="M532" s="654"/>
      <c r="N532" s="654"/>
      <c r="O532" s="654"/>
      <c r="P532" s="654"/>
      <c r="Q532" s="654"/>
      <c r="R532" s="654"/>
      <c r="S532" s="654"/>
      <c r="T532" s="654"/>
      <c r="U532" s="654"/>
      <c r="V532" s="654"/>
      <c r="W532" s="654"/>
      <c r="X532" s="654"/>
      <c r="Y532" s="656"/>
    </row>
    <row r="533" spans="1:27" s="2345" customFormat="1" ht="15.75" customHeight="1">
      <c r="A533" s="3104"/>
      <c r="B533" s="798" t="s">
        <v>92</v>
      </c>
      <c r="C533" s="790"/>
      <c r="D533" s="799">
        <f>+D534+D535</f>
        <v>890758763</v>
      </c>
      <c r="E533" s="799">
        <f t="shared" ref="E533:Q533" si="585">+E534+E535</f>
        <v>7519680</v>
      </c>
      <c r="F533" s="799">
        <f t="shared" si="585"/>
        <v>0</v>
      </c>
      <c r="G533" s="799">
        <f t="shared" si="585"/>
        <v>5300000</v>
      </c>
      <c r="H533" s="799">
        <f t="shared" si="585"/>
        <v>2219680</v>
      </c>
      <c r="I533" s="799">
        <f t="shared" si="585"/>
        <v>3741741</v>
      </c>
      <c r="J533" s="799">
        <f t="shared" si="585"/>
        <v>18215873</v>
      </c>
      <c r="K533" s="799">
        <f t="shared" si="585"/>
        <v>16466796</v>
      </c>
      <c r="L533" s="799">
        <f t="shared" si="585"/>
        <v>102614468</v>
      </c>
      <c r="M533" s="799">
        <f t="shared" ref="M533" si="586">+M534+M535</f>
        <v>242398013</v>
      </c>
      <c r="N533" s="799">
        <f t="shared" si="585"/>
        <v>93839455</v>
      </c>
      <c r="O533" s="799">
        <f t="shared" si="585"/>
        <v>97243788</v>
      </c>
      <c r="P533" s="799">
        <f t="shared" si="585"/>
        <v>121425680</v>
      </c>
      <c r="Q533" s="799">
        <f t="shared" si="585"/>
        <v>125372981</v>
      </c>
      <c r="R533" s="799">
        <f>+R534+R535</f>
        <v>119012801</v>
      </c>
      <c r="S533" s="799">
        <f t="shared" ref="S533:W533" si="587">+S534+S535</f>
        <v>102670500</v>
      </c>
      <c r="T533" s="799">
        <f t="shared" si="587"/>
        <v>82635000</v>
      </c>
      <c r="U533" s="799">
        <f t="shared" si="587"/>
        <v>0</v>
      </c>
      <c r="V533" s="799">
        <f t="shared" si="587"/>
        <v>0</v>
      </c>
      <c r="W533" s="799">
        <f t="shared" si="587"/>
        <v>0</v>
      </c>
      <c r="X533" s="345">
        <f>+X534+X535</f>
        <v>544196962</v>
      </c>
      <c r="Y533" s="2343"/>
      <c r="Z533" s="2344"/>
    </row>
    <row r="534" spans="1:27" s="2345" customFormat="1" ht="11.25" customHeight="1">
      <c r="A534" s="3105"/>
      <c r="B534" s="792" t="s">
        <v>93</v>
      </c>
      <c r="C534" s="2346"/>
      <c r="D534" s="794">
        <f>+D604+D608+D617+D621+D629+D645+D549+D641</f>
        <v>819721375</v>
      </c>
      <c r="E534" s="794">
        <f t="shared" ref="E534:W534" si="588">+E604+E608+E617+E621+E629+E645+E549+E641</f>
        <v>0</v>
      </c>
      <c r="F534" s="794">
        <f t="shared" si="588"/>
        <v>0</v>
      </c>
      <c r="G534" s="794">
        <f t="shared" si="588"/>
        <v>0</v>
      </c>
      <c r="H534" s="794">
        <f t="shared" si="588"/>
        <v>0</v>
      </c>
      <c r="I534" s="794">
        <f t="shared" si="588"/>
        <v>0</v>
      </c>
      <c r="J534" s="794">
        <f t="shared" si="588"/>
        <v>15514140</v>
      </c>
      <c r="K534" s="794">
        <f t="shared" si="588"/>
        <v>12290445</v>
      </c>
      <c r="L534" s="794">
        <f t="shared" si="588"/>
        <v>97847564</v>
      </c>
      <c r="M534" s="794">
        <f t="shared" si="588"/>
        <v>214060952</v>
      </c>
      <c r="N534" s="794">
        <f t="shared" si="588"/>
        <v>88408803</v>
      </c>
      <c r="O534" s="794">
        <f t="shared" si="588"/>
        <v>91632551</v>
      </c>
      <c r="P534" s="794">
        <f t="shared" si="588"/>
        <v>104368290</v>
      </c>
      <c r="Q534" s="794">
        <f t="shared" si="588"/>
        <v>117682981</v>
      </c>
      <c r="R534" s="794">
        <f t="shared" si="588"/>
        <v>112891601</v>
      </c>
      <c r="S534" s="794">
        <f t="shared" si="588"/>
        <v>97950000</v>
      </c>
      <c r="T534" s="794">
        <f t="shared" si="588"/>
        <v>81135000</v>
      </c>
      <c r="U534" s="794">
        <f t="shared" si="588"/>
        <v>0</v>
      </c>
      <c r="V534" s="794">
        <f t="shared" si="588"/>
        <v>0</v>
      </c>
      <c r="W534" s="794">
        <f t="shared" si="588"/>
        <v>0</v>
      </c>
      <c r="X534" s="347">
        <f>+X604+X608+X617+X621+X629+X645+X549</f>
        <v>513462872</v>
      </c>
      <c r="Y534" s="2343"/>
    </row>
    <row r="535" spans="1:27" s="2345" customFormat="1" ht="13.5" customHeight="1">
      <c r="A535" s="3105"/>
      <c r="B535" s="804" t="s">
        <v>21</v>
      </c>
      <c r="C535" s="2347"/>
      <c r="D535" s="2348">
        <f>+D553+D557+D565+D569+D573+D577+D585+D589+D637+D597+D649</f>
        <v>71037388</v>
      </c>
      <c r="E535" s="2348">
        <f t="shared" ref="E535:W535" si="589">+E553+E557+E565+E569+E573+E577+E585+E589+E637+E597+E649</f>
        <v>7519680</v>
      </c>
      <c r="F535" s="2348">
        <f t="shared" si="589"/>
        <v>0</v>
      </c>
      <c r="G535" s="2348">
        <f t="shared" si="589"/>
        <v>5300000</v>
      </c>
      <c r="H535" s="2348">
        <f t="shared" si="589"/>
        <v>2219680</v>
      </c>
      <c r="I535" s="2348">
        <f t="shared" si="589"/>
        <v>3741741</v>
      </c>
      <c r="J535" s="2348">
        <f t="shared" si="589"/>
        <v>2701733</v>
      </c>
      <c r="K535" s="2348">
        <f t="shared" si="589"/>
        <v>4176351</v>
      </c>
      <c r="L535" s="2348">
        <f t="shared" si="589"/>
        <v>4766904</v>
      </c>
      <c r="M535" s="2348">
        <f t="shared" si="589"/>
        <v>28337061</v>
      </c>
      <c r="N535" s="2348">
        <f t="shared" si="589"/>
        <v>5430652</v>
      </c>
      <c r="O535" s="2348">
        <f t="shared" si="589"/>
        <v>5611237</v>
      </c>
      <c r="P535" s="2348">
        <f t="shared" si="589"/>
        <v>17057390</v>
      </c>
      <c r="Q535" s="2348">
        <f t="shared" si="589"/>
        <v>7690000</v>
      </c>
      <c r="R535" s="2348">
        <f t="shared" si="589"/>
        <v>6121200</v>
      </c>
      <c r="S535" s="2348">
        <f t="shared" si="589"/>
        <v>4720500</v>
      </c>
      <c r="T535" s="2348">
        <f t="shared" si="589"/>
        <v>1500000</v>
      </c>
      <c r="U535" s="2348">
        <f t="shared" si="589"/>
        <v>0</v>
      </c>
      <c r="V535" s="2348">
        <f t="shared" si="589"/>
        <v>0</v>
      </c>
      <c r="W535" s="2348">
        <f t="shared" si="589"/>
        <v>0</v>
      </c>
      <c r="X535" s="347">
        <f t="shared" ref="X535" si="590">+X553+X557+X565+X569+X573+X577+X585+X589+X637+X597</f>
        <v>30734090</v>
      </c>
      <c r="Y535" s="2343"/>
      <c r="Z535" s="2349"/>
    </row>
    <row r="536" spans="1:27" s="2345" customFormat="1" ht="12.75" customHeight="1">
      <c r="A536" s="3105"/>
      <c r="B536" s="399" t="s">
        <v>22</v>
      </c>
      <c r="C536" s="375"/>
      <c r="D536" s="400">
        <f>+D537</f>
        <v>890758763</v>
      </c>
      <c r="E536" s="400">
        <f t="shared" ref="E536:W537" si="591">+E537</f>
        <v>7519680</v>
      </c>
      <c r="F536" s="400">
        <f t="shared" si="591"/>
        <v>0</v>
      </c>
      <c r="G536" s="400">
        <f t="shared" si="591"/>
        <v>5300000</v>
      </c>
      <c r="H536" s="400">
        <f t="shared" si="591"/>
        <v>2219680</v>
      </c>
      <c r="I536" s="400">
        <f t="shared" si="591"/>
        <v>3741741</v>
      </c>
      <c r="J536" s="400">
        <f t="shared" si="591"/>
        <v>18215873</v>
      </c>
      <c r="K536" s="400">
        <f t="shared" si="591"/>
        <v>16466796</v>
      </c>
      <c r="L536" s="400">
        <f t="shared" si="591"/>
        <v>102614468</v>
      </c>
      <c r="M536" s="400">
        <f t="shared" si="591"/>
        <v>242398013</v>
      </c>
      <c r="N536" s="400">
        <f t="shared" si="591"/>
        <v>93839455</v>
      </c>
      <c r="O536" s="400">
        <f t="shared" si="591"/>
        <v>97243788</v>
      </c>
      <c r="P536" s="400">
        <f t="shared" si="591"/>
        <v>121425680</v>
      </c>
      <c r="Q536" s="400">
        <f t="shared" si="591"/>
        <v>125372981</v>
      </c>
      <c r="R536" s="400">
        <f t="shared" si="591"/>
        <v>119012801</v>
      </c>
      <c r="S536" s="400">
        <f t="shared" si="591"/>
        <v>102670500</v>
      </c>
      <c r="T536" s="400">
        <f t="shared" si="591"/>
        <v>82635000</v>
      </c>
      <c r="U536" s="400">
        <f t="shared" si="591"/>
        <v>0</v>
      </c>
      <c r="V536" s="400">
        <f t="shared" si="591"/>
        <v>0</v>
      </c>
      <c r="W536" s="400">
        <f t="shared" si="591"/>
        <v>0</v>
      </c>
      <c r="X536" s="401">
        <f>+X537</f>
        <v>551116962</v>
      </c>
      <c r="Y536" s="2350"/>
      <c r="Z536" s="2349"/>
    </row>
    <row r="537" spans="1:27" s="2353" customFormat="1" ht="11.25" customHeight="1">
      <c r="A537" s="3105"/>
      <c r="B537" s="844" t="s">
        <v>36</v>
      </c>
      <c r="C537" s="845"/>
      <c r="D537" s="2351">
        <f>SUM(D538:D541)</f>
        <v>890758763</v>
      </c>
      <c r="E537" s="2351">
        <f t="shared" ref="E537:Q537" si="592">SUM(E538:E541)</f>
        <v>7519680</v>
      </c>
      <c r="F537" s="2351">
        <f t="shared" si="592"/>
        <v>0</v>
      </c>
      <c r="G537" s="2351">
        <f t="shared" si="592"/>
        <v>5300000</v>
      </c>
      <c r="H537" s="2351">
        <f t="shared" si="592"/>
        <v>2219680</v>
      </c>
      <c r="I537" s="2351">
        <f t="shared" si="592"/>
        <v>3741741</v>
      </c>
      <c r="J537" s="2351">
        <f t="shared" si="592"/>
        <v>18215873</v>
      </c>
      <c r="K537" s="2351">
        <f t="shared" si="592"/>
        <v>16466796</v>
      </c>
      <c r="L537" s="2351">
        <f t="shared" si="592"/>
        <v>102614468</v>
      </c>
      <c r="M537" s="2351">
        <f t="shared" ref="M537" si="593">SUM(M538:M541)</f>
        <v>242398013</v>
      </c>
      <c r="N537" s="2351">
        <f t="shared" si="592"/>
        <v>93839455</v>
      </c>
      <c r="O537" s="2351">
        <f t="shared" si="592"/>
        <v>97243788</v>
      </c>
      <c r="P537" s="2351">
        <f t="shared" si="592"/>
        <v>121425680</v>
      </c>
      <c r="Q537" s="2351">
        <f t="shared" si="592"/>
        <v>125372981</v>
      </c>
      <c r="R537" s="2351">
        <f>SUM(R538:R541)</f>
        <v>119012801</v>
      </c>
      <c r="S537" s="2351">
        <f>+S538</f>
        <v>102670500</v>
      </c>
      <c r="T537" s="2351">
        <f>+T538</f>
        <v>82635000</v>
      </c>
      <c r="U537" s="2351">
        <f t="shared" si="591"/>
        <v>0</v>
      </c>
      <c r="V537" s="2351">
        <f t="shared" si="591"/>
        <v>0</v>
      </c>
      <c r="W537" s="2351">
        <f t="shared" si="591"/>
        <v>0</v>
      </c>
      <c r="X537" s="502">
        <f>SUM(X538:X540)</f>
        <v>551116962</v>
      </c>
      <c r="Y537" s="2655"/>
      <c r="Z537" s="2352"/>
    </row>
    <row r="538" spans="1:27" s="2345" customFormat="1" ht="11.25" customHeight="1">
      <c r="A538" s="3105"/>
      <c r="B538" s="361" t="s">
        <v>24</v>
      </c>
      <c r="C538" s="362"/>
      <c r="D538" s="2354">
        <f>+D551+D555+D559+D567+D571+D575+D579+D587+D591+D606+D610+D619+D623+D631+D639+D647+D599+D643+D651</f>
        <v>876205329</v>
      </c>
      <c r="E538" s="2354">
        <f t="shared" ref="E538:W538" si="594">+E551+E555+E559+E567+E571+E575+E579+E587+E591+E606+E610+E619+E623+E631+E639+E647+E599+E643+E651</f>
        <v>7239894</v>
      </c>
      <c r="F538" s="2354">
        <f t="shared" si="594"/>
        <v>0</v>
      </c>
      <c r="G538" s="2354">
        <f t="shared" si="594"/>
        <v>5300000</v>
      </c>
      <c r="H538" s="2354">
        <f t="shared" si="594"/>
        <v>1939894</v>
      </c>
      <c r="I538" s="2354">
        <f t="shared" si="594"/>
        <v>1247247</v>
      </c>
      <c r="J538" s="2354">
        <f t="shared" si="594"/>
        <v>18215873</v>
      </c>
      <c r="K538" s="2354">
        <f t="shared" si="594"/>
        <v>16396849</v>
      </c>
      <c r="L538" s="2354">
        <f t="shared" si="594"/>
        <v>102408841</v>
      </c>
      <c r="M538" s="2354">
        <f t="shared" si="594"/>
        <v>238138535</v>
      </c>
      <c r="N538" s="2354">
        <f t="shared" si="594"/>
        <v>92629831</v>
      </c>
      <c r="O538" s="2354">
        <f t="shared" si="594"/>
        <v>88578246</v>
      </c>
      <c r="P538" s="2354">
        <f t="shared" si="594"/>
        <v>119797266</v>
      </c>
      <c r="Q538" s="2354">
        <f t="shared" si="594"/>
        <v>125372981</v>
      </c>
      <c r="R538" s="2354">
        <f t="shared" si="594"/>
        <v>119012801</v>
      </c>
      <c r="S538" s="2354">
        <f t="shared" si="594"/>
        <v>102670500</v>
      </c>
      <c r="T538" s="2354">
        <f t="shared" si="594"/>
        <v>82635000</v>
      </c>
      <c r="U538" s="2354">
        <f t="shared" si="594"/>
        <v>0</v>
      </c>
      <c r="V538" s="2354">
        <f t="shared" si="594"/>
        <v>0</v>
      </c>
      <c r="W538" s="2354">
        <f t="shared" si="594"/>
        <v>0</v>
      </c>
      <c r="X538" s="409">
        <f>SUM(P538:T538)</f>
        <v>549488548</v>
      </c>
      <c r="Y538" s="3106"/>
      <c r="Z538" s="2349"/>
    </row>
    <row r="539" spans="1:27" s="2345" customFormat="1" ht="12" customHeight="1">
      <c r="A539" s="3105"/>
      <c r="B539" s="361" t="s">
        <v>127</v>
      </c>
      <c r="C539" s="362"/>
      <c r="D539" s="2354">
        <f>+M539+N539+O539+P539+Q539+R539+S539+T539</f>
        <v>7014229</v>
      </c>
      <c r="E539" s="2354">
        <v>0</v>
      </c>
      <c r="F539" s="2354">
        <v>0</v>
      </c>
      <c r="G539" s="2354">
        <v>0</v>
      </c>
      <c r="H539" s="2354">
        <v>0</v>
      </c>
      <c r="I539" s="2354">
        <v>0</v>
      </c>
      <c r="J539" s="2354">
        <v>0</v>
      </c>
      <c r="K539" s="2354">
        <v>0</v>
      </c>
      <c r="L539" s="2354">
        <v>0</v>
      </c>
      <c r="M539" s="2354">
        <v>0</v>
      </c>
      <c r="N539" s="2354">
        <v>0</v>
      </c>
      <c r="O539" s="2354">
        <f>+O624+O632</f>
        <v>7014229</v>
      </c>
      <c r="P539" s="2354">
        <v>0</v>
      </c>
      <c r="Q539" s="2354">
        <v>0</v>
      </c>
      <c r="R539" s="2354">
        <v>0</v>
      </c>
      <c r="S539" s="2354">
        <v>0</v>
      </c>
      <c r="T539" s="2354">
        <v>0</v>
      </c>
      <c r="U539" s="2354">
        <v>0</v>
      </c>
      <c r="V539" s="2354">
        <v>0</v>
      </c>
      <c r="W539" s="2354">
        <v>0</v>
      </c>
      <c r="X539" s="409">
        <f>SUM(P539:T539)</f>
        <v>0</v>
      </c>
      <c r="Y539" s="3106"/>
      <c r="Z539" s="2349"/>
    </row>
    <row r="540" spans="1:27" s="2345" customFormat="1" ht="11.25" customHeight="1">
      <c r="A540" s="3105"/>
      <c r="B540" s="361" t="s">
        <v>27</v>
      </c>
      <c r="C540" s="362"/>
      <c r="D540" s="2354">
        <f t="shared" ref="D540:W540" si="595">+D560+D580+D592+D611</f>
        <v>7539205</v>
      </c>
      <c r="E540" s="2354">
        <f t="shared" si="595"/>
        <v>279786</v>
      </c>
      <c r="F540" s="2354">
        <f t="shared" si="595"/>
        <v>0</v>
      </c>
      <c r="G540" s="2354">
        <f t="shared" si="595"/>
        <v>0</v>
      </c>
      <c r="H540" s="2354">
        <f t="shared" si="595"/>
        <v>279786</v>
      </c>
      <c r="I540" s="2354">
        <f t="shared" si="595"/>
        <v>2494494</v>
      </c>
      <c r="J540" s="2354">
        <f t="shared" si="595"/>
        <v>0</v>
      </c>
      <c r="K540" s="2354">
        <f t="shared" si="595"/>
        <v>69947</v>
      </c>
      <c r="L540" s="2354">
        <f t="shared" si="595"/>
        <v>205627</v>
      </c>
      <c r="M540" s="2354">
        <f t="shared" si="595"/>
        <v>4259478</v>
      </c>
      <c r="N540" s="2354">
        <f t="shared" si="595"/>
        <v>1209624</v>
      </c>
      <c r="O540" s="2354">
        <f t="shared" si="595"/>
        <v>1651313</v>
      </c>
      <c r="P540" s="2354">
        <f t="shared" si="595"/>
        <v>1628414</v>
      </c>
      <c r="Q540" s="2354">
        <f t="shared" si="595"/>
        <v>0</v>
      </c>
      <c r="R540" s="2354">
        <f t="shared" si="595"/>
        <v>0</v>
      </c>
      <c r="S540" s="2354">
        <f t="shared" si="595"/>
        <v>0</v>
      </c>
      <c r="T540" s="2354">
        <f t="shared" si="595"/>
        <v>0</v>
      </c>
      <c r="U540" s="2354">
        <f t="shared" si="595"/>
        <v>0</v>
      </c>
      <c r="V540" s="2354">
        <f t="shared" si="595"/>
        <v>0</v>
      </c>
      <c r="W540" s="2354">
        <f t="shared" si="595"/>
        <v>0</v>
      </c>
      <c r="X540" s="409">
        <f>SUM(P540:T540)</f>
        <v>1628414</v>
      </c>
      <c r="Y540" s="3106"/>
      <c r="Z540" s="2349"/>
    </row>
    <row r="541" spans="1:27" s="2345" customFormat="1" ht="13.5" hidden="1" customHeight="1">
      <c r="A541" s="3105"/>
      <c r="B541" s="361" t="s">
        <v>126</v>
      </c>
      <c r="C541" s="362"/>
      <c r="D541" s="2354"/>
      <c r="E541" s="2354">
        <v>0</v>
      </c>
      <c r="F541" s="2354">
        <v>0</v>
      </c>
      <c r="G541" s="2354">
        <v>0</v>
      </c>
      <c r="H541" s="2354">
        <v>0</v>
      </c>
      <c r="I541" s="2354">
        <v>0</v>
      </c>
      <c r="J541" s="2354">
        <v>0</v>
      </c>
      <c r="K541" s="2354">
        <v>0</v>
      </c>
      <c r="L541" s="2354">
        <v>0</v>
      </c>
      <c r="M541" s="2354">
        <v>0</v>
      </c>
      <c r="N541" s="2354">
        <v>0</v>
      </c>
      <c r="O541" s="2354">
        <v>0</v>
      </c>
      <c r="P541" s="2354">
        <v>0</v>
      </c>
      <c r="Q541" s="2354">
        <v>0</v>
      </c>
      <c r="R541" s="2354"/>
      <c r="S541" s="2354"/>
      <c r="T541" s="2354"/>
      <c r="U541" s="2355"/>
      <c r="V541" s="2355"/>
      <c r="W541" s="2355"/>
      <c r="X541" s="486"/>
      <c r="Y541" s="3106"/>
      <c r="Z541" s="2349"/>
    </row>
    <row r="542" spans="1:27" s="2345" customFormat="1" ht="13.5" customHeight="1">
      <c r="A542" s="3105"/>
      <c r="B542" s="517" t="s">
        <v>34</v>
      </c>
      <c r="C542" s="375"/>
      <c r="D542" s="400">
        <f>+D543</f>
        <v>85800337</v>
      </c>
      <c r="E542" s="400">
        <f t="shared" ref="E542:W542" si="596">+E543</f>
        <v>279786</v>
      </c>
      <c r="F542" s="400">
        <f t="shared" si="596"/>
        <v>0</v>
      </c>
      <c r="G542" s="400">
        <f t="shared" si="596"/>
        <v>0</v>
      </c>
      <c r="H542" s="400">
        <f t="shared" si="596"/>
        <v>279786</v>
      </c>
      <c r="I542" s="400">
        <f t="shared" si="596"/>
        <v>2494494</v>
      </c>
      <c r="J542" s="400">
        <f t="shared" si="596"/>
        <v>0</v>
      </c>
      <c r="K542" s="400">
        <f t="shared" si="596"/>
        <v>69947</v>
      </c>
      <c r="L542" s="400">
        <f t="shared" si="596"/>
        <v>205627</v>
      </c>
      <c r="M542" s="400">
        <f>+M543</f>
        <v>4259478</v>
      </c>
      <c r="N542" s="400">
        <f t="shared" si="596"/>
        <v>1209624</v>
      </c>
      <c r="O542" s="400">
        <f t="shared" si="596"/>
        <v>19259075</v>
      </c>
      <c r="P542" s="400">
        <f t="shared" si="596"/>
        <v>14281784</v>
      </c>
      <c r="Q542" s="400">
        <f t="shared" si="596"/>
        <v>12000000</v>
      </c>
      <c r="R542" s="400">
        <f t="shared" si="596"/>
        <v>12000000</v>
      </c>
      <c r="S542" s="400">
        <f t="shared" si="596"/>
        <v>12000000</v>
      </c>
      <c r="T542" s="400">
        <f t="shared" si="596"/>
        <v>12000000</v>
      </c>
      <c r="U542" s="400">
        <f t="shared" si="596"/>
        <v>0</v>
      </c>
      <c r="V542" s="400">
        <f t="shared" si="596"/>
        <v>0</v>
      </c>
      <c r="W542" s="400">
        <f t="shared" si="596"/>
        <v>0</v>
      </c>
      <c r="X542" s="2952" t="s">
        <v>35</v>
      </c>
      <c r="Y542" s="3106"/>
    </row>
    <row r="543" spans="1:27" s="2345" customFormat="1" ht="12" customHeight="1">
      <c r="A543" s="3105"/>
      <c r="B543" s="844" t="s">
        <v>36</v>
      </c>
      <c r="C543" s="385"/>
      <c r="D543" s="847">
        <f>+D544+D546+D545</f>
        <v>85800337</v>
      </c>
      <c r="E543" s="847">
        <f t="shared" ref="E543:R543" si="597">+E544+E546+E545</f>
        <v>279786</v>
      </c>
      <c r="F543" s="847">
        <f t="shared" si="597"/>
        <v>0</v>
      </c>
      <c r="G543" s="847">
        <f t="shared" si="597"/>
        <v>0</v>
      </c>
      <c r="H543" s="847">
        <f t="shared" si="597"/>
        <v>279786</v>
      </c>
      <c r="I543" s="847">
        <f t="shared" si="597"/>
        <v>2494494</v>
      </c>
      <c r="J543" s="847">
        <f t="shared" si="597"/>
        <v>0</v>
      </c>
      <c r="K543" s="847">
        <f t="shared" si="597"/>
        <v>69947</v>
      </c>
      <c r="L543" s="847">
        <f t="shared" si="597"/>
        <v>205627</v>
      </c>
      <c r="M543" s="847">
        <f t="shared" si="597"/>
        <v>4259478</v>
      </c>
      <c r="N543" s="847">
        <f t="shared" si="597"/>
        <v>1209624</v>
      </c>
      <c r="O543" s="847">
        <f t="shared" si="597"/>
        <v>19259075</v>
      </c>
      <c r="P543" s="847">
        <f t="shared" si="597"/>
        <v>14281784</v>
      </c>
      <c r="Q543" s="847">
        <f t="shared" si="597"/>
        <v>12000000</v>
      </c>
      <c r="R543" s="847">
        <f t="shared" si="597"/>
        <v>12000000</v>
      </c>
      <c r="S543" s="847">
        <f t="shared" ref="S543:W543" si="598">+S544+S546+S545</f>
        <v>12000000</v>
      </c>
      <c r="T543" s="847">
        <f t="shared" si="598"/>
        <v>12000000</v>
      </c>
      <c r="U543" s="847">
        <f t="shared" si="598"/>
        <v>0</v>
      </c>
      <c r="V543" s="847">
        <f t="shared" si="598"/>
        <v>0</v>
      </c>
      <c r="W543" s="847">
        <f t="shared" si="598"/>
        <v>0</v>
      </c>
      <c r="X543" s="2953"/>
      <c r="Y543" s="3106"/>
    </row>
    <row r="544" spans="1:27" s="2345" customFormat="1" ht="12" customHeight="1">
      <c r="A544" s="3105"/>
      <c r="B544" s="361" t="s">
        <v>301</v>
      </c>
      <c r="C544" s="2356"/>
      <c r="D544" s="669">
        <f>+D614+D602</f>
        <v>71246903</v>
      </c>
      <c r="E544" s="669">
        <v>0</v>
      </c>
      <c r="F544" s="669">
        <v>0</v>
      </c>
      <c r="G544" s="669">
        <v>0</v>
      </c>
      <c r="H544" s="669">
        <v>0</v>
      </c>
      <c r="I544" s="669">
        <v>0</v>
      </c>
      <c r="J544" s="669">
        <v>0</v>
      </c>
      <c r="K544" s="669">
        <v>0</v>
      </c>
      <c r="L544" s="669">
        <v>0</v>
      </c>
      <c r="M544" s="669">
        <v>0</v>
      </c>
      <c r="N544" s="669">
        <v>0</v>
      </c>
      <c r="O544" s="669">
        <f t="shared" ref="O544" si="599">+O614</f>
        <v>10593533</v>
      </c>
      <c r="P544" s="669">
        <f>+P614+P602</f>
        <v>12653370</v>
      </c>
      <c r="Q544" s="669">
        <f>+Q614+Q602</f>
        <v>12000000</v>
      </c>
      <c r="R544" s="669">
        <f>+R614+R602</f>
        <v>12000000</v>
      </c>
      <c r="S544" s="669">
        <f t="shared" ref="S544:W544" si="600">+S614+S602</f>
        <v>12000000</v>
      </c>
      <c r="T544" s="669">
        <f t="shared" si="600"/>
        <v>12000000</v>
      </c>
      <c r="U544" s="669">
        <f t="shared" si="600"/>
        <v>0</v>
      </c>
      <c r="V544" s="669">
        <f t="shared" si="600"/>
        <v>0</v>
      </c>
      <c r="W544" s="669">
        <f t="shared" si="600"/>
        <v>0</v>
      </c>
      <c r="X544" s="2953"/>
      <c r="Y544" s="3106"/>
      <c r="AA544" s="2349">
        <f>D544-'[3]Tab. 6A -Drogi'!$D$441</f>
        <v>29153370</v>
      </c>
    </row>
    <row r="545" spans="1:27" s="2345" customFormat="1" ht="12" customHeight="1">
      <c r="A545" s="2654"/>
      <c r="B545" s="361" t="s">
        <v>127</v>
      </c>
      <c r="C545" s="2356"/>
      <c r="D545" s="669">
        <f>+M545+N545+O545+P545+Q545+R545+S545+T545</f>
        <v>7014229</v>
      </c>
      <c r="E545" s="669"/>
      <c r="F545" s="669"/>
      <c r="G545" s="669"/>
      <c r="H545" s="669"/>
      <c r="I545" s="669"/>
      <c r="J545" s="669"/>
      <c r="K545" s="669"/>
      <c r="L545" s="669"/>
      <c r="M545" s="669">
        <v>0</v>
      </c>
      <c r="N545" s="669">
        <v>0</v>
      </c>
      <c r="O545" s="669">
        <f>+O627+O635</f>
        <v>7014229</v>
      </c>
      <c r="P545" s="669">
        <f t="shared" ref="P545:W545" si="601">+P627+P635</f>
        <v>0</v>
      </c>
      <c r="Q545" s="669">
        <f t="shared" si="601"/>
        <v>0</v>
      </c>
      <c r="R545" s="669">
        <f t="shared" si="601"/>
        <v>0</v>
      </c>
      <c r="S545" s="669">
        <f t="shared" si="601"/>
        <v>0</v>
      </c>
      <c r="T545" s="669">
        <f t="shared" si="601"/>
        <v>0</v>
      </c>
      <c r="U545" s="669">
        <f t="shared" si="601"/>
        <v>0</v>
      </c>
      <c r="V545" s="669">
        <f t="shared" si="601"/>
        <v>0</v>
      </c>
      <c r="W545" s="669">
        <f t="shared" si="601"/>
        <v>0</v>
      </c>
      <c r="X545" s="2953"/>
      <c r="Y545" s="3106"/>
      <c r="Z545" s="2349">
        <f>D545-D539</f>
        <v>0</v>
      </c>
      <c r="AA545" s="2349">
        <f>D545-'[3]Tab. 6A -Drogi'!$D$442</f>
        <v>-1096882</v>
      </c>
    </row>
    <row r="546" spans="1:27" s="2345" customFormat="1" ht="12" customHeight="1" thickBot="1">
      <c r="A546" s="2654"/>
      <c r="B546" s="361" t="s">
        <v>27</v>
      </c>
      <c r="C546" s="2356"/>
      <c r="D546" s="669">
        <f>+D563+D583+D595+D615</f>
        <v>7539205</v>
      </c>
      <c r="E546" s="669">
        <f t="shared" ref="E546:W546" si="602">+E563+E583+E595+E615</f>
        <v>279786</v>
      </c>
      <c r="F546" s="669">
        <f t="shared" si="602"/>
        <v>0</v>
      </c>
      <c r="G546" s="669">
        <f t="shared" si="602"/>
        <v>0</v>
      </c>
      <c r="H546" s="669">
        <f t="shared" si="602"/>
        <v>279786</v>
      </c>
      <c r="I546" s="669">
        <f t="shared" si="602"/>
        <v>2494494</v>
      </c>
      <c r="J546" s="669">
        <f t="shared" si="602"/>
        <v>0</v>
      </c>
      <c r="K546" s="669">
        <f t="shared" si="602"/>
        <v>69947</v>
      </c>
      <c r="L546" s="669">
        <f t="shared" si="602"/>
        <v>205627</v>
      </c>
      <c r="M546" s="669">
        <f t="shared" si="602"/>
        <v>4259478</v>
      </c>
      <c r="N546" s="669">
        <f t="shared" si="602"/>
        <v>1209624</v>
      </c>
      <c r="O546" s="669">
        <f t="shared" si="602"/>
        <v>1651313</v>
      </c>
      <c r="P546" s="669">
        <f t="shared" si="602"/>
        <v>1628414</v>
      </c>
      <c r="Q546" s="669">
        <f t="shared" si="602"/>
        <v>0</v>
      </c>
      <c r="R546" s="669">
        <f t="shared" si="602"/>
        <v>0</v>
      </c>
      <c r="S546" s="669">
        <f t="shared" si="602"/>
        <v>0</v>
      </c>
      <c r="T546" s="669">
        <f t="shared" si="602"/>
        <v>0</v>
      </c>
      <c r="U546" s="669">
        <f t="shared" si="602"/>
        <v>0</v>
      </c>
      <c r="V546" s="669">
        <f t="shared" si="602"/>
        <v>0</v>
      </c>
      <c r="W546" s="669">
        <f t="shared" si="602"/>
        <v>0</v>
      </c>
      <c r="X546" s="2953"/>
      <c r="Y546" s="3106"/>
      <c r="AA546" s="2349">
        <f>D546-'[3]Tab. 6A -Drogi'!$D$443+6329077</f>
        <v>172997</v>
      </c>
    </row>
    <row r="547" spans="1:27" s="2345" customFormat="1" ht="12" hidden="1" customHeight="1" thickBot="1">
      <c r="A547" s="2654"/>
      <c r="B547" s="361" t="s">
        <v>126</v>
      </c>
      <c r="C547" s="2356"/>
      <c r="D547" s="669">
        <v>0</v>
      </c>
      <c r="E547" s="669">
        <v>0</v>
      </c>
      <c r="F547" s="669">
        <v>0</v>
      </c>
      <c r="G547" s="669">
        <v>0</v>
      </c>
      <c r="H547" s="669">
        <v>0</v>
      </c>
      <c r="I547" s="669">
        <v>0</v>
      </c>
      <c r="J547" s="669">
        <v>0</v>
      </c>
      <c r="K547" s="669">
        <v>0</v>
      </c>
      <c r="L547" s="669">
        <v>0</v>
      </c>
      <c r="M547" s="669"/>
      <c r="N547" s="669">
        <v>0</v>
      </c>
      <c r="O547" s="669">
        <v>0</v>
      </c>
      <c r="P547" s="669">
        <v>0</v>
      </c>
      <c r="Q547" s="669">
        <v>0</v>
      </c>
      <c r="R547" s="669">
        <v>0</v>
      </c>
      <c r="S547" s="2357"/>
      <c r="T547" s="2357"/>
      <c r="U547" s="2357"/>
      <c r="V547" s="2357"/>
      <c r="W547" s="2357"/>
      <c r="X547" s="2954"/>
      <c r="Y547" s="3107"/>
    </row>
    <row r="548" spans="1:27" s="2345" customFormat="1" ht="26.25" customHeight="1">
      <c r="A548" s="3108" t="s">
        <v>79</v>
      </c>
      <c r="B548" s="493" t="s">
        <v>135</v>
      </c>
      <c r="C548" s="473" t="s">
        <v>130</v>
      </c>
      <c r="D548" s="576"/>
      <c r="E548" s="577"/>
      <c r="F548" s="577"/>
      <c r="G548" s="577"/>
      <c r="H548" s="577"/>
      <c r="I548" s="577"/>
      <c r="J548" s="577"/>
      <c r="K548" s="577"/>
      <c r="L548" s="577"/>
      <c r="M548" s="578"/>
      <c r="N548" s="578"/>
      <c r="O548" s="577"/>
      <c r="P548" s="577"/>
      <c r="Q548" s="577"/>
      <c r="R548" s="577"/>
      <c r="S548" s="923"/>
      <c r="T548" s="923"/>
      <c r="U548" s="923"/>
      <c r="V548" s="923"/>
      <c r="W548" s="923"/>
      <c r="X548" s="439"/>
      <c r="Y548" s="3109" t="s">
        <v>122</v>
      </c>
    </row>
    <row r="549" spans="1:27" s="2345" customFormat="1" ht="12">
      <c r="A549" s="3002"/>
      <c r="B549" s="505" t="s">
        <v>22</v>
      </c>
      <c r="C549" s="375"/>
      <c r="D549" s="579">
        <f>+D550</f>
        <v>42425218</v>
      </c>
      <c r="E549" s="579">
        <f>+E550</f>
        <v>0</v>
      </c>
      <c r="F549" s="579">
        <f t="shared" ref="F549:R549" si="603">+F550</f>
        <v>0</v>
      </c>
      <c r="G549" s="579">
        <f t="shared" si="603"/>
        <v>0</v>
      </c>
      <c r="H549" s="579">
        <f t="shared" si="603"/>
        <v>0</v>
      </c>
      <c r="I549" s="579">
        <f t="shared" si="603"/>
        <v>0</v>
      </c>
      <c r="J549" s="579">
        <f t="shared" si="603"/>
        <v>0</v>
      </c>
      <c r="K549" s="579">
        <f>SUM(K551:K551)</f>
        <v>0</v>
      </c>
      <c r="L549" s="579">
        <f t="shared" si="603"/>
        <v>0</v>
      </c>
      <c r="M549" s="1083">
        <f t="shared" si="603"/>
        <v>0</v>
      </c>
      <c r="N549" s="579">
        <f t="shared" si="603"/>
        <v>0</v>
      </c>
      <c r="O549" s="579">
        <f t="shared" si="603"/>
        <v>2184218</v>
      </c>
      <c r="P549" s="579">
        <f t="shared" si="603"/>
        <v>8741000</v>
      </c>
      <c r="Q549" s="579">
        <f t="shared" si="603"/>
        <v>17500000</v>
      </c>
      <c r="R549" s="579">
        <f t="shared" si="603"/>
        <v>14000000</v>
      </c>
      <c r="S549" s="1100">
        <v>0</v>
      </c>
      <c r="T549" s="1100">
        <v>0</v>
      </c>
      <c r="U549" s="1100">
        <v>0</v>
      </c>
      <c r="V549" s="1100">
        <v>0</v>
      </c>
      <c r="W549" s="1100">
        <v>0</v>
      </c>
      <c r="X549" s="401">
        <f>+X550</f>
        <v>40241000</v>
      </c>
      <c r="Y549" s="3110"/>
      <c r="Z549" s="2344">
        <f>+O549+P549+Q549+R549</f>
        <v>42425218</v>
      </c>
    </row>
    <row r="550" spans="1:27" s="2345" customFormat="1" ht="11.25" customHeight="1">
      <c r="A550" s="3002"/>
      <c r="B550" s="528" t="s">
        <v>36</v>
      </c>
      <c r="C550" s="2978" t="s">
        <v>118</v>
      </c>
      <c r="D550" s="581">
        <f>D551</f>
        <v>42425218</v>
      </c>
      <c r="E550" s="580">
        <f t="shared" ref="E550:J550" si="604">E551</f>
        <v>0</v>
      </c>
      <c r="F550" s="580">
        <f t="shared" si="604"/>
        <v>0</v>
      </c>
      <c r="G550" s="580">
        <f t="shared" si="604"/>
        <v>0</v>
      </c>
      <c r="H550" s="580">
        <f t="shared" si="604"/>
        <v>0</v>
      </c>
      <c r="I550" s="580">
        <f t="shared" si="604"/>
        <v>0</v>
      </c>
      <c r="J550" s="580">
        <f t="shared" si="604"/>
        <v>0</v>
      </c>
      <c r="K550" s="582">
        <f>SUM(K551:K551)</f>
        <v>0</v>
      </c>
      <c r="L550" s="580">
        <f>SUM(L551:L551)</f>
        <v>0</v>
      </c>
      <c r="M550" s="1084">
        <f>SUM(M551:M551)</f>
        <v>0</v>
      </c>
      <c r="N550" s="580">
        <v>0</v>
      </c>
      <c r="O550" s="581">
        <f>O551</f>
        <v>2184218</v>
      </c>
      <c r="P550" s="580">
        <f>P551</f>
        <v>8741000</v>
      </c>
      <c r="Q550" s="580">
        <f>Q551</f>
        <v>17500000</v>
      </c>
      <c r="R550" s="580">
        <f>R551</f>
        <v>14000000</v>
      </c>
      <c r="S550" s="1101">
        <v>0</v>
      </c>
      <c r="T550" s="1101">
        <v>0</v>
      </c>
      <c r="U550" s="1101">
        <v>0</v>
      </c>
      <c r="V550" s="1101">
        <v>0</v>
      </c>
      <c r="W550" s="1101">
        <v>0</v>
      </c>
      <c r="X550" s="584">
        <f>+X551</f>
        <v>40241000</v>
      </c>
      <c r="Y550" s="3110"/>
    </row>
    <row r="551" spans="1:27" s="2345" customFormat="1" ht="12" customHeight="1" thickBot="1">
      <c r="A551" s="3003"/>
      <c r="B551" s="512" t="s">
        <v>24</v>
      </c>
      <c r="C551" s="3016"/>
      <c r="D551" s="2058">
        <f t="shared" ref="D551" si="605">M551+O551+P551+Q551+R551+S551+T551+U551+V551+W551</f>
        <v>42425218</v>
      </c>
      <c r="E551" s="1097"/>
      <c r="F551" s="1098"/>
      <c r="G551" s="1097"/>
      <c r="H551" s="1097"/>
      <c r="I551" s="1097"/>
      <c r="J551" s="1099">
        <v>0</v>
      </c>
      <c r="K551" s="1099"/>
      <c r="L551" s="706"/>
      <c r="M551" s="1227">
        <f>+E551+I551+J551+K551+L551+N551</f>
        <v>0</v>
      </c>
      <c r="N551" s="1097"/>
      <c r="O551" s="1099">
        <f>7380000-4740000-455500-282</f>
        <v>2184218</v>
      </c>
      <c r="P551" s="706">
        <f>17527500-7027500-1759000</f>
        <v>8741000</v>
      </c>
      <c r="Q551" s="706">
        <f>23370000-5870000</f>
        <v>17500000</v>
      </c>
      <c r="R551" s="706">
        <f>29212500-15212500</f>
        <v>14000000</v>
      </c>
      <c r="S551" s="1104">
        <v>0</v>
      </c>
      <c r="T551" s="1104">
        <v>0</v>
      </c>
      <c r="U551" s="1104">
        <v>0</v>
      </c>
      <c r="V551" s="1104">
        <v>0</v>
      </c>
      <c r="W551" s="1104">
        <v>0</v>
      </c>
      <c r="X551" s="409">
        <f>SUM(P551:T551)</f>
        <v>40241000</v>
      </c>
      <c r="Y551" s="3111"/>
      <c r="Z551" s="2349"/>
    </row>
    <row r="552" spans="1:27" s="2345" customFormat="1" ht="14.25" hidden="1" customHeight="1">
      <c r="A552" s="3002"/>
      <c r="B552" s="2358"/>
      <c r="C552" s="2359"/>
      <c r="D552" s="522"/>
      <c r="E552" s="523"/>
      <c r="F552" s="522"/>
      <c r="G552" s="523"/>
      <c r="H552" s="523"/>
      <c r="I552" s="524"/>
      <c r="J552" s="524"/>
      <c r="K552" s="524"/>
      <c r="L552" s="524"/>
      <c r="M552" s="982"/>
      <c r="N552" s="982"/>
      <c r="O552" s="982"/>
      <c r="P552" s="982"/>
      <c r="Q552" s="982"/>
      <c r="R552" s="982"/>
      <c r="S552" s="982"/>
      <c r="T552" s="982"/>
      <c r="U552" s="982"/>
      <c r="V552" s="982"/>
      <c r="W552" s="982"/>
      <c r="X552" s="983"/>
      <c r="Y552" s="3004"/>
    </row>
    <row r="553" spans="1:27" s="2345" customFormat="1" ht="13.5" hidden="1" customHeight="1">
      <c r="A553" s="3002"/>
      <c r="B553" s="399"/>
      <c r="C553" s="538"/>
      <c r="D553" s="784"/>
      <c r="E553" s="784"/>
      <c r="F553" s="784"/>
      <c r="G553" s="784"/>
      <c r="H553" s="784"/>
      <c r="I553" s="784"/>
      <c r="J553" s="784"/>
      <c r="K553" s="784"/>
      <c r="L553" s="784"/>
      <c r="M553" s="784"/>
      <c r="N553" s="784"/>
      <c r="O553" s="784"/>
      <c r="P553" s="784"/>
      <c r="Q553" s="784"/>
      <c r="R553" s="784"/>
      <c r="S553" s="930"/>
      <c r="T553" s="930"/>
      <c r="U553" s="930"/>
      <c r="V553" s="930"/>
      <c r="W553" s="930"/>
      <c r="X553" s="920"/>
      <c r="Y553" s="3005"/>
    </row>
    <row r="554" spans="1:27" s="2345" customFormat="1" ht="13.5" hidden="1" customHeight="1">
      <c r="A554" s="3002"/>
      <c r="B554" s="445"/>
      <c r="C554" s="2978"/>
      <c r="D554" s="501"/>
      <c r="E554" s="501"/>
      <c r="F554" s="501"/>
      <c r="G554" s="501"/>
      <c r="H554" s="501"/>
      <c r="I554" s="501"/>
      <c r="J554" s="501"/>
      <c r="K554" s="501"/>
      <c r="L554" s="501"/>
      <c r="M554" s="501"/>
      <c r="N554" s="501"/>
      <c r="O554" s="501"/>
      <c r="P554" s="501"/>
      <c r="Q554" s="501"/>
      <c r="R554" s="501"/>
      <c r="S554" s="925"/>
      <c r="T554" s="925"/>
      <c r="U554" s="925"/>
      <c r="V554" s="925"/>
      <c r="W554" s="925"/>
      <c r="X554" s="921"/>
      <c r="Y554" s="3005"/>
    </row>
    <row r="555" spans="1:27" s="2345" customFormat="1" ht="13.5" hidden="1" customHeight="1" thickBot="1">
      <c r="A555" s="3003"/>
      <c r="B555" s="575"/>
      <c r="C555" s="2995"/>
      <c r="D555" s="533"/>
      <c r="E555" s="491"/>
      <c r="F555" s="492"/>
      <c r="G555" s="491"/>
      <c r="H555" s="491"/>
      <c r="I555" s="491"/>
      <c r="J555" s="497"/>
      <c r="K555" s="497"/>
      <c r="L555" s="491"/>
      <c r="M555" s="492"/>
      <c r="N555" s="492"/>
      <c r="O555" s="492"/>
      <c r="P555" s="492"/>
      <c r="Q555" s="462"/>
      <c r="R555" s="462"/>
      <c r="S555" s="931"/>
      <c r="T555" s="931"/>
      <c r="U555" s="931"/>
      <c r="V555" s="931"/>
      <c r="W555" s="931"/>
      <c r="X555" s="922"/>
      <c r="Y555" s="3006"/>
      <c r="Z555" s="2349"/>
    </row>
    <row r="556" spans="1:27" s="2345" customFormat="1" ht="25.5" customHeight="1">
      <c r="A556" s="3007" t="s">
        <v>80</v>
      </c>
      <c r="B556" s="433" t="s">
        <v>368</v>
      </c>
      <c r="C556" s="434" t="s">
        <v>98</v>
      </c>
      <c r="D556" s="572"/>
      <c r="E556" s="547"/>
      <c r="F556" s="547"/>
      <c r="G556" s="546"/>
      <c r="H556" s="546"/>
      <c r="I556" s="546"/>
      <c r="J556" s="546"/>
      <c r="K556" s="546"/>
      <c r="L556" s="546"/>
      <c r="M556" s="548"/>
      <c r="N556" s="548"/>
      <c r="O556" s="548"/>
      <c r="P556" s="548"/>
      <c r="Q556" s="548"/>
      <c r="R556" s="548"/>
      <c r="S556" s="548"/>
      <c r="T556" s="548"/>
      <c r="U556" s="548"/>
      <c r="V556" s="548"/>
      <c r="W556" s="548"/>
      <c r="X556" s="439"/>
      <c r="Y556" s="2990" t="s">
        <v>122</v>
      </c>
    </row>
    <row r="557" spans="1:27" s="2345" customFormat="1" ht="13.5" customHeight="1">
      <c r="A557" s="3008"/>
      <c r="B557" s="505" t="s">
        <v>22</v>
      </c>
      <c r="C557" s="375"/>
      <c r="D557" s="479">
        <f>+D558</f>
        <v>4617201</v>
      </c>
      <c r="E557" s="479">
        <f t="shared" ref="E557:X557" si="606">+E558</f>
        <v>419680</v>
      </c>
      <c r="F557" s="479">
        <f t="shared" si="606"/>
        <v>0</v>
      </c>
      <c r="G557" s="479">
        <f t="shared" si="606"/>
        <v>0</v>
      </c>
      <c r="H557" s="479">
        <f t="shared" si="606"/>
        <v>419680</v>
      </c>
      <c r="I557" s="479">
        <f t="shared" si="606"/>
        <v>3741741</v>
      </c>
      <c r="J557" s="479">
        <f t="shared" si="606"/>
        <v>0</v>
      </c>
      <c r="K557" s="479">
        <f t="shared" si="606"/>
        <v>105780</v>
      </c>
      <c r="L557" s="478">
        <f t="shared" si="606"/>
        <v>0</v>
      </c>
      <c r="M557" s="478">
        <f t="shared" si="606"/>
        <v>4267201</v>
      </c>
      <c r="N557" s="478">
        <f t="shared" si="606"/>
        <v>0</v>
      </c>
      <c r="O557" s="478">
        <f t="shared" si="606"/>
        <v>216788</v>
      </c>
      <c r="P557" s="478">
        <f t="shared" si="606"/>
        <v>133212</v>
      </c>
      <c r="Q557" s="1100">
        <v>0</v>
      </c>
      <c r="R557" s="1100">
        <v>0</v>
      </c>
      <c r="S557" s="1100">
        <v>0</v>
      </c>
      <c r="T557" s="1100">
        <v>0</v>
      </c>
      <c r="U557" s="1100">
        <v>0</v>
      </c>
      <c r="V557" s="1100">
        <v>0</v>
      </c>
      <c r="W557" s="1100">
        <v>0</v>
      </c>
      <c r="X557" s="480">
        <f t="shared" si="606"/>
        <v>133212</v>
      </c>
      <c r="Y557" s="3011"/>
      <c r="Z557" s="2344">
        <f>+O557+P557+Q557+R557</f>
        <v>350000</v>
      </c>
    </row>
    <row r="558" spans="1:27" s="2345" customFormat="1" ht="13.5" customHeight="1">
      <c r="A558" s="3008"/>
      <c r="B558" s="528" t="s">
        <v>36</v>
      </c>
      <c r="C558" s="3013" t="s">
        <v>132</v>
      </c>
      <c r="D558" s="1253">
        <f>+D559+D560</f>
        <v>4617201</v>
      </c>
      <c r="E558" s="1253">
        <f>+E559+E560</f>
        <v>419680</v>
      </c>
      <c r="F558" s="1253">
        <f t="shared" ref="F558:P558" si="607">+F559+F560</f>
        <v>0</v>
      </c>
      <c r="G558" s="1253">
        <f t="shared" si="607"/>
        <v>0</v>
      </c>
      <c r="H558" s="1253">
        <f t="shared" si="607"/>
        <v>419680</v>
      </c>
      <c r="I558" s="1253">
        <f t="shared" si="607"/>
        <v>3741741</v>
      </c>
      <c r="J558" s="1253">
        <f t="shared" si="607"/>
        <v>0</v>
      </c>
      <c r="K558" s="1253">
        <f t="shared" si="607"/>
        <v>105780</v>
      </c>
      <c r="L558" s="1254">
        <f t="shared" si="607"/>
        <v>0</v>
      </c>
      <c r="M558" s="1254">
        <f t="shared" ref="M558" si="608">+M559+M560</f>
        <v>4267201</v>
      </c>
      <c r="N558" s="1254">
        <f t="shared" si="607"/>
        <v>0</v>
      </c>
      <c r="O558" s="1254">
        <f t="shared" si="607"/>
        <v>216788</v>
      </c>
      <c r="P558" s="1254">
        <f t="shared" si="607"/>
        <v>133212</v>
      </c>
      <c r="Q558" s="1255">
        <v>0</v>
      </c>
      <c r="R558" s="1255">
        <v>0</v>
      </c>
      <c r="S558" s="1255">
        <v>0</v>
      </c>
      <c r="T558" s="1255">
        <v>0</v>
      </c>
      <c r="U558" s="1255">
        <v>0</v>
      </c>
      <c r="V558" s="1255">
        <v>0</v>
      </c>
      <c r="W558" s="1255">
        <v>0</v>
      </c>
      <c r="X558" s="1256">
        <f>+X559+X560</f>
        <v>133212</v>
      </c>
      <c r="Y558" s="3011"/>
    </row>
    <row r="559" spans="1:27" s="2345" customFormat="1" ht="13.5" customHeight="1">
      <c r="A559" s="3008"/>
      <c r="B559" s="2360" t="s">
        <v>24</v>
      </c>
      <c r="C559" s="2994"/>
      <c r="D559" s="1257">
        <f t="shared" ref="D559:D560" si="609">M559+O559+P559+Q559+R559+S559+T559+U559+V559+W559</f>
        <v>1772974</v>
      </c>
      <c r="E559" s="1258">
        <f>+F559+G559+H559</f>
        <v>139894</v>
      </c>
      <c r="F559" s="1258">
        <v>0</v>
      </c>
      <c r="G559" s="1258">
        <v>0</v>
      </c>
      <c r="H559" s="1258">
        <v>139894</v>
      </c>
      <c r="I559" s="1258">
        <v>1247247</v>
      </c>
      <c r="J559" s="1258">
        <v>0</v>
      </c>
      <c r="K559" s="1258">
        <v>35833</v>
      </c>
      <c r="L559" s="1259">
        <v>0</v>
      </c>
      <c r="M559" s="1260">
        <f>+E559+I559+J559+K559+L559+N559</f>
        <v>1422974</v>
      </c>
      <c r="N559" s="1258">
        <f>50000-50000</f>
        <v>0</v>
      </c>
      <c r="O559" s="1258">
        <f>300000+50000-133212</f>
        <v>216788</v>
      </c>
      <c r="P559" s="1258">
        <v>133212</v>
      </c>
      <c r="Q559" s="1261">
        <v>0</v>
      </c>
      <c r="R559" s="1261">
        <v>0</v>
      </c>
      <c r="S559" s="1261">
        <v>0</v>
      </c>
      <c r="T559" s="1261">
        <v>0</v>
      </c>
      <c r="U559" s="1261">
        <v>0</v>
      </c>
      <c r="V559" s="1261">
        <v>0</v>
      </c>
      <c r="W559" s="1261">
        <v>0</v>
      </c>
      <c r="X559" s="1262">
        <f>SUM(P559:T559)</f>
        <v>133212</v>
      </c>
      <c r="Y559" s="3011"/>
    </row>
    <row r="560" spans="1:27" s="2345" customFormat="1" ht="13.5" customHeight="1">
      <c r="A560" s="3008"/>
      <c r="B560" s="503" t="s">
        <v>136</v>
      </c>
      <c r="C560" s="3014"/>
      <c r="D560" s="1257">
        <f t="shared" si="609"/>
        <v>2844227</v>
      </c>
      <c r="E560" s="1258">
        <f>+F560+G560+H560</f>
        <v>279786</v>
      </c>
      <c r="F560" s="1258">
        <v>0</v>
      </c>
      <c r="G560" s="1258">
        <v>0</v>
      </c>
      <c r="H560" s="1258">
        <v>279786</v>
      </c>
      <c r="I560" s="1258">
        <v>2494494</v>
      </c>
      <c r="J560" s="1258">
        <v>0</v>
      </c>
      <c r="K560" s="1258">
        <v>69947</v>
      </c>
      <c r="L560" s="1263">
        <v>0</v>
      </c>
      <c r="M560" s="1260">
        <f>+E560+I560+J560+K560+L560+N560</f>
        <v>2844227</v>
      </c>
      <c r="N560" s="1263">
        <v>0</v>
      </c>
      <c r="O560" s="1264">
        <v>0</v>
      </c>
      <c r="P560" s="1265">
        <v>0</v>
      </c>
      <c r="Q560" s="1261">
        <v>0</v>
      </c>
      <c r="R560" s="1261">
        <v>0</v>
      </c>
      <c r="S560" s="1261">
        <v>0</v>
      </c>
      <c r="T560" s="1261">
        <v>0</v>
      </c>
      <c r="U560" s="1261">
        <v>0</v>
      </c>
      <c r="V560" s="1261">
        <v>0</v>
      </c>
      <c r="W560" s="1261">
        <v>0</v>
      </c>
      <c r="X560" s="1262">
        <f>SUM(P560:T560)</f>
        <v>0</v>
      </c>
      <c r="Y560" s="3011"/>
    </row>
    <row r="561" spans="1:141" s="2361" customFormat="1" ht="12.75" customHeight="1">
      <c r="A561" s="3009"/>
      <c r="B561" s="374" t="s">
        <v>34</v>
      </c>
      <c r="C561" s="375"/>
      <c r="D561" s="479">
        <f>+D562</f>
        <v>2844227</v>
      </c>
      <c r="E561" s="479">
        <f t="shared" ref="E561:P562" si="610">+E562</f>
        <v>279786</v>
      </c>
      <c r="F561" s="479">
        <f t="shared" si="610"/>
        <v>0</v>
      </c>
      <c r="G561" s="479">
        <f t="shared" si="610"/>
        <v>0</v>
      </c>
      <c r="H561" s="479">
        <f t="shared" si="610"/>
        <v>279786</v>
      </c>
      <c r="I561" s="479">
        <f t="shared" si="610"/>
        <v>2494494</v>
      </c>
      <c r="J561" s="479">
        <f t="shared" si="610"/>
        <v>0</v>
      </c>
      <c r="K561" s="479">
        <f t="shared" si="610"/>
        <v>69947</v>
      </c>
      <c r="L561" s="479">
        <f t="shared" si="610"/>
        <v>0</v>
      </c>
      <c r="M561" s="479">
        <f t="shared" si="610"/>
        <v>2844227</v>
      </c>
      <c r="N561" s="1266">
        <f t="shared" si="610"/>
        <v>0</v>
      </c>
      <c r="O561" s="1267">
        <f t="shared" si="610"/>
        <v>0</v>
      </c>
      <c r="P561" s="1267">
        <f t="shared" si="610"/>
        <v>0</v>
      </c>
      <c r="Q561" s="1100">
        <v>0</v>
      </c>
      <c r="R561" s="1100">
        <v>0</v>
      </c>
      <c r="S561" s="1100">
        <v>0</v>
      </c>
      <c r="T561" s="1100">
        <v>0</v>
      </c>
      <c r="U561" s="1100">
        <v>0</v>
      </c>
      <c r="V561" s="1100">
        <v>0</v>
      </c>
      <c r="W561" s="1100">
        <v>0</v>
      </c>
      <c r="X561" s="3015" t="s">
        <v>35</v>
      </c>
      <c r="Y561" s="3011"/>
    </row>
    <row r="562" spans="1:141" s="2345" customFormat="1" ht="13.5" customHeight="1">
      <c r="A562" s="3009"/>
      <c r="B562" s="698" t="s">
        <v>36</v>
      </c>
      <c r="C562" s="3013" t="s">
        <v>132</v>
      </c>
      <c r="D562" s="1254">
        <f>+D563</f>
        <v>2844227</v>
      </c>
      <c r="E562" s="1258">
        <f t="shared" si="610"/>
        <v>279786</v>
      </c>
      <c r="F562" s="1258">
        <f t="shared" si="610"/>
        <v>0</v>
      </c>
      <c r="G562" s="1258">
        <f t="shared" si="610"/>
        <v>0</v>
      </c>
      <c r="H562" s="1258">
        <f t="shared" si="610"/>
        <v>279786</v>
      </c>
      <c r="I562" s="1258">
        <f t="shared" si="610"/>
        <v>2494494</v>
      </c>
      <c r="J562" s="1258">
        <f t="shared" si="610"/>
        <v>0</v>
      </c>
      <c r="K562" s="1254">
        <f t="shared" si="610"/>
        <v>69947</v>
      </c>
      <c r="L562" s="1254">
        <f t="shared" si="610"/>
        <v>0</v>
      </c>
      <c r="M562" s="1254">
        <f t="shared" si="610"/>
        <v>2844227</v>
      </c>
      <c r="N562" s="1254">
        <f t="shared" si="610"/>
        <v>0</v>
      </c>
      <c r="O562" s="1268">
        <f t="shared" si="610"/>
        <v>0</v>
      </c>
      <c r="P562" s="1269">
        <f t="shared" si="610"/>
        <v>0</v>
      </c>
      <c r="Q562" s="1255">
        <v>0</v>
      </c>
      <c r="R562" s="1255">
        <v>0</v>
      </c>
      <c r="S562" s="1255">
        <v>0</v>
      </c>
      <c r="T562" s="1255">
        <v>0</v>
      </c>
      <c r="U562" s="1255">
        <v>0</v>
      </c>
      <c r="V562" s="1255">
        <v>0</v>
      </c>
      <c r="W562" s="1255">
        <v>0</v>
      </c>
      <c r="X562" s="2949"/>
      <c r="Y562" s="3011"/>
    </row>
    <row r="563" spans="1:141" s="2345" customFormat="1" ht="13.5" customHeight="1" thickBot="1">
      <c r="A563" s="3010"/>
      <c r="B563" s="2065" t="s">
        <v>136</v>
      </c>
      <c r="C563" s="2995"/>
      <c r="D563" s="1221">
        <f t="shared" ref="D563" si="611">M563+O563+P563+Q563+R563+S563+T563+U563+V563+W563</f>
        <v>2844227</v>
      </c>
      <c r="E563" s="497">
        <f>+F563+G563+H563</f>
        <v>279786</v>
      </c>
      <c r="F563" s="497">
        <v>0</v>
      </c>
      <c r="G563" s="497">
        <v>0</v>
      </c>
      <c r="H563" s="497">
        <v>279786</v>
      </c>
      <c r="I563" s="497">
        <v>2494494</v>
      </c>
      <c r="J563" s="497">
        <v>0</v>
      </c>
      <c r="K563" s="497">
        <v>69947</v>
      </c>
      <c r="L563" s="491">
        <v>0</v>
      </c>
      <c r="M563" s="1221">
        <f>+E563+I563+J563+K563+L563+N563</f>
        <v>2844227</v>
      </c>
      <c r="N563" s="491">
        <v>0</v>
      </c>
      <c r="O563" s="1082">
        <v>0</v>
      </c>
      <c r="P563" s="1082">
        <v>0</v>
      </c>
      <c r="Q563" s="1244">
        <v>0</v>
      </c>
      <c r="R563" s="1244">
        <v>0</v>
      </c>
      <c r="S563" s="1244">
        <v>0</v>
      </c>
      <c r="T563" s="1244">
        <v>0</v>
      </c>
      <c r="U563" s="1244">
        <v>0</v>
      </c>
      <c r="V563" s="1244">
        <v>0</v>
      </c>
      <c r="W563" s="1244">
        <v>0</v>
      </c>
      <c r="X563" s="2950"/>
      <c r="Y563" s="3012"/>
    </row>
    <row r="564" spans="1:141" s="2362" customFormat="1" ht="14.25" customHeight="1">
      <c r="A564" s="2966" t="s">
        <v>81</v>
      </c>
      <c r="B564" s="493" t="s">
        <v>495</v>
      </c>
      <c r="C564" s="473" t="s">
        <v>98</v>
      </c>
      <c r="D564" s="2094"/>
      <c r="E564" s="476"/>
      <c r="F564" s="476"/>
      <c r="G564" s="476"/>
      <c r="H564" s="476"/>
      <c r="I564" s="476"/>
      <c r="J564" s="476"/>
      <c r="K564" s="476"/>
      <c r="L564" s="476"/>
      <c r="M564" s="2095"/>
      <c r="N564" s="2095"/>
      <c r="O564" s="2095"/>
      <c r="P564" s="2095"/>
      <c r="Q564" s="2095"/>
      <c r="R564" s="2095"/>
      <c r="S564" s="2095"/>
      <c r="T564" s="2095"/>
      <c r="U564" s="2095"/>
      <c r="V564" s="2095"/>
      <c r="W564" s="2095"/>
      <c r="X564" s="439"/>
      <c r="Y564" s="2969" t="s">
        <v>104</v>
      </c>
      <c r="Z564" s="1597"/>
      <c r="AA564" s="1597"/>
      <c r="AB564" s="1597"/>
      <c r="AC564" s="1597"/>
      <c r="AD564" s="1597"/>
      <c r="AE564" s="1597"/>
      <c r="AF564" s="1597"/>
      <c r="AG564" s="1597"/>
      <c r="AH564" s="1597"/>
      <c r="AI564" s="1597"/>
      <c r="AJ564" s="1597"/>
      <c r="AK564" s="1597"/>
      <c r="AL564" s="1597"/>
      <c r="AM564" s="1597"/>
      <c r="AN564" s="1597"/>
      <c r="AO564" s="1597"/>
      <c r="AP564" s="1597"/>
      <c r="AQ564" s="1597"/>
      <c r="AR564" s="1597"/>
      <c r="AS564" s="1597"/>
      <c r="AT564" s="1597"/>
      <c r="AU564" s="1597"/>
      <c r="AV564" s="1597"/>
      <c r="AW564" s="1597"/>
      <c r="AX564" s="1597"/>
      <c r="AY564" s="1597"/>
      <c r="AZ564" s="1597"/>
      <c r="BA564" s="1597"/>
      <c r="BB564" s="1597"/>
      <c r="BC564" s="1597"/>
      <c r="BD564" s="1597"/>
      <c r="BE564" s="1597"/>
      <c r="BF564" s="1597"/>
      <c r="BG564" s="1597"/>
      <c r="BH564" s="1597"/>
      <c r="BI564" s="1597"/>
      <c r="BJ564" s="1597"/>
      <c r="BK564" s="1597"/>
      <c r="BL564" s="1597"/>
      <c r="BM564" s="1597"/>
      <c r="BN564" s="1597"/>
      <c r="BO564" s="1597"/>
      <c r="BP564" s="1597"/>
      <c r="BQ564" s="1597"/>
      <c r="BR564" s="1597"/>
      <c r="BS564" s="1597"/>
      <c r="BT564" s="1597"/>
      <c r="BU564" s="1597"/>
      <c r="BV564" s="1597"/>
      <c r="BW564" s="1597"/>
      <c r="BX564" s="1597"/>
      <c r="BY564" s="1597"/>
      <c r="BZ564" s="1597"/>
      <c r="CA564" s="1597"/>
      <c r="CB564" s="1597"/>
      <c r="CC564" s="1597"/>
      <c r="CD564" s="1597"/>
      <c r="CE564" s="1597"/>
      <c r="CF564" s="1597"/>
      <c r="CG564" s="1597"/>
      <c r="CH564" s="1597"/>
      <c r="CI564" s="1597"/>
      <c r="CJ564" s="1597"/>
      <c r="CK564" s="1597"/>
      <c r="CL564" s="1597"/>
      <c r="CM564" s="1597"/>
      <c r="CN564" s="1597"/>
      <c r="CO564" s="1597"/>
      <c r="CP564" s="1597"/>
      <c r="CQ564" s="1597"/>
      <c r="CR564" s="1597"/>
      <c r="CS564" s="1597"/>
      <c r="CT564" s="1597"/>
      <c r="CU564" s="1597"/>
      <c r="CV564" s="1597"/>
      <c r="CW564" s="1597"/>
      <c r="CX564" s="1597"/>
      <c r="CY564" s="1597"/>
      <c r="CZ564" s="1597"/>
      <c r="DA564" s="1597"/>
      <c r="DB564" s="1597"/>
      <c r="DC564" s="1597"/>
      <c r="DD564" s="1597"/>
      <c r="DE564" s="1597"/>
      <c r="DF564" s="1597"/>
      <c r="DG564" s="1597"/>
      <c r="DH564" s="1597"/>
      <c r="DI564" s="1597"/>
      <c r="DJ564" s="1597"/>
      <c r="DK564" s="1597"/>
      <c r="DL564" s="1597"/>
      <c r="DM564" s="1597"/>
      <c r="DN564" s="1597"/>
      <c r="DO564" s="1597"/>
      <c r="DP564" s="1597"/>
      <c r="DQ564" s="1597"/>
      <c r="DR564" s="1597"/>
      <c r="DS564" s="1597"/>
      <c r="DT564" s="1597"/>
      <c r="DU564" s="1597"/>
      <c r="DV564" s="1597"/>
      <c r="DW564" s="1597"/>
      <c r="DX564" s="1597"/>
      <c r="DY564" s="1597"/>
      <c r="DZ564" s="1597"/>
      <c r="EA564" s="1597"/>
      <c r="EB564" s="1597"/>
      <c r="EC564" s="1597"/>
      <c r="ED564" s="1597"/>
      <c r="EE564" s="1597"/>
      <c r="EF564" s="1597"/>
      <c r="EG564" s="1597"/>
      <c r="EH564" s="1597"/>
      <c r="EI564" s="1597"/>
      <c r="EJ564" s="1597"/>
      <c r="EK564" s="1597"/>
    </row>
    <row r="565" spans="1:141" s="1597" customFormat="1" ht="12.75" customHeight="1">
      <c r="A565" s="2967"/>
      <c r="B565" s="505" t="s">
        <v>22</v>
      </c>
      <c r="C565" s="375"/>
      <c r="D565" s="624">
        <f>+D566</f>
        <v>7932581</v>
      </c>
      <c r="E565" s="612"/>
      <c r="F565" s="612"/>
      <c r="G565" s="612"/>
      <c r="H565" s="612"/>
      <c r="I565" s="612"/>
      <c r="J565" s="612">
        <f>+J566</f>
        <v>901733</v>
      </c>
      <c r="K565" s="612">
        <f t="shared" ref="K565:S566" si="612">+K566</f>
        <v>415162</v>
      </c>
      <c r="L565" s="612">
        <f t="shared" si="612"/>
        <v>438710</v>
      </c>
      <c r="M565" s="612">
        <f t="shared" si="612"/>
        <v>2038782</v>
      </c>
      <c r="N565" s="612">
        <f t="shared" si="612"/>
        <v>283177</v>
      </c>
      <c r="O565" s="612">
        <f t="shared" si="612"/>
        <v>179607</v>
      </c>
      <c r="P565" s="612">
        <f t="shared" si="612"/>
        <v>1847492</v>
      </c>
      <c r="Q565" s="612">
        <f t="shared" si="612"/>
        <v>725000</v>
      </c>
      <c r="R565" s="612">
        <f t="shared" si="612"/>
        <v>1121200</v>
      </c>
      <c r="S565" s="612">
        <f t="shared" si="612"/>
        <v>2020500</v>
      </c>
      <c r="T565" s="1100">
        <v>0</v>
      </c>
      <c r="U565" s="1100">
        <v>0</v>
      </c>
      <c r="V565" s="1100">
        <v>0</v>
      </c>
      <c r="W565" s="1100">
        <v>0</v>
      </c>
      <c r="X565" s="480">
        <f>+X566</f>
        <v>5714192</v>
      </c>
      <c r="Y565" s="2970"/>
      <c r="Z565" s="2344">
        <f>+O565+P565+Q565+R565</f>
        <v>3873299</v>
      </c>
    </row>
    <row r="566" spans="1:141" s="1597" customFormat="1" ht="14.25" customHeight="1">
      <c r="A566" s="2967"/>
      <c r="B566" s="815" t="s">
        <v>36</v>
      </c>
      <c r="C566" s="2978" t="s">
        <v>101</v>
      </c>
      <c r="D566" s="586">
        <f>+D567</f>
        <v>7932581</v>
      </c>
      <c r="E566" s="615"/>
      <c r="F566" s="615"/>
      <c r="G566" s="615"/>
      <c r="H566" s="615"/>
      <c r="I566" s="615"/>
      <c r="J566" s="615">
        <f>+J567</f>
        <v>901733</v>
      </c>
      <c r="K566" s="615">
        <f t="shared" si="612"/>
        <v>415162</v>
      </c>
      <c r="L566" s="615">
        <f t="shared" si="612"/>
        <v>438710</v>
      </c>
      <c r="M566" s="615">
        <f t="shared" si="612"/>
        <v>2038782</v>
      </c>
      <c r="N566" s="615">
        <f t="shared" si="612"/>
        <v>283177</v>
      </c>
      <c r="O566" s="615">
        <f t="shared" si="612"/>
        <v>179607</v>
      </c>
      <c r="P566" s="615">
        <f t="shared" si="612"/>
        <v>1847492</v>
      </c>
      <c r="Q566" s="615">
        <f t="shared" si="612"/>
        <v>725000</v>
      </c>
      <c r="R566" s="615">
        <f t="shared" si="612"/>
        <v>1121200</v>
      </c>
      <c r="S566" s="615">
        <f t="shared" si="612"/>
        <v>2020500</v>
      </c>
      <c r="T566" s="1101">
        <v>0</v>
      </c>
      <c r="U566" s="1101">
        <v>0</v>
      </c>
      <c r="V566" s="1101">
        <v>0</v>
      </c>
      <c r="W566" s="1101">
        <v>0</v>
      </c>
      <c r="X566" s="502">
        <f>+X567</f>
        <v>5714192</v>
      </c>
      <c r="Y566" s="2970"/>
    </row>
    <row r="567" spans="1:141" s="1597" customFormat="1" ht="13.5" customHeight="1" thickBot="1">
      <c r="A567" s="2968"/>
      <c r="B567" s="575" t="s">
        <v>24</v>
      </c>
      <c r="C567" s="2995"/>
      <c r="D567" s="449">
        <f t="shared" ref="D567" si="613">M567+O567+P567+Q567+R567+S567+T567+U567+V567+W567</f>
        <v>7932581</v>
      </c>
      <c r="E567" s="491"/>
      <c r="F567" s="491"/>
      <c r="G567" s="491"/>
      <c r="H567" s="491"/>
      <c r="I567" s="491"/>
      <c r="J567" s="783">
        <v>901733</v>
      </c>
      <c r="K567" s="497">
        <v>415162</v>
      </c>
      <c r="L567" s="491">
        <v>438710</v>
      </c>
      <c r="M567" s="450">
        <f>+E567+I567+J567+K567+L567+N567</f>
        <v>2038782</v>
      </c>
      <c r="N567" s="491">
        <f>559146-55736-156764-63469</f>
        <v>283177</v>
      </c>
      <c r="O567" s="491">
        <f>1368555-500000-428903-11000-249045</f>
        <v>179607</v>
      </c>
      <c r="P567" s="491">
        <f>3469876-2050000+555736+68465+63469-260054</f>
        <v>1847492</v>
      </c>
      <c r="Q567" s="491">
        <f>1925000+100000-1300000</f>
        <v>725000</v>
      </c>
      <c r="R567" s="491">
        <f>1971200-850000</f>
        <v>1121200</v>
      </c>
      <c r="S567" s="491">
        <v>2020500</v>
      </c>
      <c r="T567" s="1104">
        <v>0</v>
      </c>
      <c r="U567" s="1104">
        <v>0</v>
      </c>
      <c r="V567" s="1104">
        <v>0</v>
      </c>
      <c r="W567" s="1104">
        <v>0</v>
      </c>
      <c r="X567" s="409">
        <f>SUM(P567:T567)</f>
        <v>5714192</v>
      </c>
      <c r="Y567" s="2971"/>
      <c r="Z567" s="1573"/>
    </row>
    <row r="568" spans="1:141" s="2345" customFormat="1" ht="23.25" customHeight="1">
      <c r="A568" s="2996" t="s">
        <v>82</v>
      </c>
      <c r="B568" s="2363" t="s">
        <v>299</v>
      </c>
      <c r="C568" s="434" t="s">
        <v>98</v>
      </c>
      <c r="D568" s="576"/>
      <c r="E568" s="577"/>
      <c r="F568" s="2096"/>
      <c r="G568" s="577"/>
      <c r="H568" s="577"/>
      <c r="I568" s="577"/>
      <c r="J568" s="577"/>
      <c r="K568" s="577"/>
      <c r="L568" s="577"/>
      <c r="M568" s="923"/>
      <c r="N568" s="923"/>
      <c r="O568" s="923"/>
      <c r="P568" s="923"/>
      <c r="Q568" s="923"/>
      <c r="R568" s="923"/>
      <c r="S568" s="923"/>
      <c r="T568" s="923"/>
      <c r="U568" s="923"/>
      <c r="V568" s="923"/>
      <c r="W568" s="923"/>
      <c r="X568" s="439"/>
      <c r="Y568" s="2999" t="s">
        <v>316</v>
      </c>
    </row>
    <row r="569" spans="1:141" s="2345" customFormat="1" ht="12">
      <c r="A569" s="2997"/>
      <c r="B569" s="505" t="s">
        <v>22</v>
      </c>
      <c r="C569" s="375"/>
      <c r="D569" s="624">
        <f>+D570</f>
        <v>45603289</v>
      </c>
      <c r="E569" s="579">
        <f>+E570</f>
        <v>7100000</v>
      </c>
      <c r="F569" s="579">
        <f t="shared" ref="F569:X570" si="614">+F570</f>
        <v>0</v>
      </c>
      <c r="G569" s="579">
        <f t="shared" si="614"/>
        <v>5300000</v>
      </c>
      <c r="H569" s="579">
        <f t="shared" si="614"/>
        <v>1800000</v>
      </c>
      <c r="I569" s="579">
        <f t="shared" si="614"/>
        <v>0</v>
      </c>
      <c r="J569" s="579">
        <f t="shared" si="614"/>
        <v>1800000</v>
      </c>
      <c r="K569" s="579">
        <f t="shared" si="614"/>
        <v>3301289</v>
      </c>
      <c r="L569" s="579">
        <f t="shared" si="614"/>
        <v>4200000</v>
      </c>
      <c r="M569" s="579">
        <f t="shared" si="614"/>
        <v>21401289</v>
      </c>
      <c r="N569" s="579">
        <f t="shared" si="614"/>
        <v>5000000</v>
      </c>
      <c r="O569" s="579">
        <f t="shared" si="614"/>
        <v>5000000</v>
      </c>
      <c r="P569" s="579">
        <f t="shared" si="614"/>
        <v>5002000</v>
      </c>
      <c r="Q569" s="579">
        <f t="shared" si="614"/>
        <v>5000000</v>
      </c>
      <c r="R569" s="579">
        <f t="shared" si="614"/>
        <v>5000000</v>
      </c>
      <c r="S569" s="579">
        <f t="shared" si="614"/>
        <v>2700000</v>
      </c>
      <c r="T569" s="579">
        <f t="shared" si="614"/>
        <v>1500000</v>
      </c>
      <c r="U569" s="579"/>
      <c r="V569" s="579"/>
      <c r="W569" s="579"/>
      <c r="X569" s="401">
        <f t="shared" si="614"/>
        <v>19202000</v>
      </c>
      <c r="Y569" s="3000"/>
      <c r="Z569" s="2344">
        <f>+O569+P569+Q569+R569+4200000</f>
        <v>24202000</v>
      </c>
    </row>
    <row r="570" spans="1:141" s="2345" customFormat="1" ht="12">
      <c r="A570" s="2997"/>
      <c r="B570" s="528" t="s">
        <v>36</v>
      </c>
      <c r="C570" s="2978" t="s">
        <v>132</v>
      </c>
      <c r="D570" s="586">
        <f>+D571</f>
        <v>45603289</v>
      </c>
      <c r="E570" s="580">
        <f>+E571</f>
        <v>7100000</v>
      </c>
      <c r="F570" s="580">
        <f t="shared" si="614"/>
        <v>0</v>
      </c>
      <c r="G570" s="580">
        <f t="shared" si="614"/>
        <v>5300000</v>
      </c>
      <c r="H570" s="580">
        <f t="shared" si="614"/>
        <v>1800000</v>
      </c>
      <c r="I570" s="580">
        <f t="shared" si="614"/>
        <v>0</v>
      </c>
      <c r="J570" s="580">
        <f t="shared" si="614"/>
        <v>1800000</v>
      </c>
      <c r="K570" s="581">
        <f t="shared" si="614"/>
        <v>3301289</v>
      </c>
      <c r="L570" s="581">
        <f t="shared" si="614"/>
        <v>4200000</v>
      </c>
      <c r="M570" s="581">
        <f t="shared" si="614"/>
        <v>21401289</v>
      </c>
      <c r="N570" s="581">
        <f t="shared" si="614"/>
        <v>5000000</v>
      </c>
      <c r="O570" s="581">
        <f t="shared" si="614"/>
        <v>5000000</v>
      </c>
      <c r="P570" s="581">
        <f t="shared" si="614"/>
        <v>5002000</v>
      </c>
      <c r="Q570" s="581">
        <f t="shared" si="614"/>
        <v>5000000</v>
      </c>
      <c r="R570" s="581">
        <f t="shared" si="614"/>
        <v>5000000</v>
      </c>
      <c r="S570" s="581">
        <f t="shared" si="614"/>
        <v>2700000</v>
      </c>
      <c r="T570" s="581">
        <f t="shared" si="614"/>
        <v>1500000</v>
      </c>
      <c r="U570" s="2097"/>
      <c r="V570" s="2097"/>
      <c r="W570" s="2097"/>
      <c r="X570" s="584">
        <f>+X571</f>
        <v>19202000</v>
      </c>
      <c r="Y570" s="3000"/>
    </row>
    <row r="571" spans="1:141" s="2345" customFormat="1" thickBot="1">
      <c r="A571" s="2998"/>
      <c r="B571" s="1162" t="s">
        <v>24</v>
      </c>
      <c r="C571" s="2979"/>
      <c r="D571" s="449">
        <f t="shared" ref="D571" si="615">M571+O571+P571+Q571+R571+S571+T571+U571+V571+W571</f>
        <v>45603289</v>
      </c>
      <c r="E571" s="491">
        <f>+F571+G571+H571</f>
        <v>7100000</v>
      </c>
      <c r="F571" s="2098">
        <v>0</v>
      </c>
      <c r="G571" s="706">
        <v>5300000</v>
      </c>
      <c r="H571" s="1099">
        <v>1800000</v>
      </c>
      <c r="I571" s="1099">
        <v>0</v>
      </c>
      <c r="J571" s="706">
        <v>1800000</v>
      </c>
      <c r="K571" s="1099">
        <f>1502000+1800000-711</f>
        <v>3301289</v>
      </c>
      <c r="L571" s="1099">
        <f>1502000+2700000-2000</f>
        <v>4200000</v>
      </c>
      <c r="M571" s="450">
        <f>+E571+I571+J571+K571+L571+N571</f>
        <v>21401289</v>
      </c>
      <c r="N571" s="2099">
        <f>5002000-2000</f>
        <v>5000000</v>
      </c>
      <c r="O571" s="2099">
        <f>5002000-2000</f>
        <v>5000000</v>
      </c>
      <c r="P571" s="2099">
        <v>5002000</v>
      </c>
      <c r="Q571" s="2099">
        <v>5000000</v>
      </c>
      <c r="R571" s="2099">
        <v>5000000</v>
      </c>
      <c r="S571" s="2099">
        <v>2700000</v>
      </c>
      <c r="T571" s="2099">
        <v>1500000</v>
      </c>
      <c r="U571" s="2100"/>
      <c r="V571" s="2100"/>
      <c r="W571" s="2100"/>
      <c r="X571" s="409">
        <f>SUM(P571:T571)</f>
        <v>19202000</v>
      </c>
      <c r="Y571" s="3001"/>
      <c r="Z571" s="2349"/>
    </row>
    <row r="572" spans="1:141" s="2345" customFormat="1" ht="24" hidden="1" customHeight="1">
      <c r="A572" s="2966" t="s">
        <v>83</v>
      </c>
      <c r="B572" s="1073" t="s">
        <v>137</v>
      </c>
      <c r="C572" s="434" t="s">
        <v>98</v>
      </c>
      <c r="D572" s="617"/>
      <c r="E572" s="436"/>
      <c r="F572" s="437"/>
      <c r="G572" s="437"/>
      <c r="H572" s="436"/>
      <c r="I572" s="436"/>
      <c r="J572" s="436"/>
      <c r="K572" s="436"/>
      <c r="L572" s="436"/>
      <c r="M572" s="438"/>
      <c r="N572" s="438"/>
      <c r="O572" s="438"/>
      <c r="P572" s="438"/>
      <c r="Q572" s="438"/>
      <c r="R572" s="438"/>
      <c r="S572" s="438"/>
      <c r="T572" s="438"/>
      <c r="U572" s="438"/>
      <c r="V572" s="438"/>
      <c r="W572" s="438"/>
      <c r="X572" s="439"/>
      <c r="Y572" s="2969" t="s">
        <v>104</v>
      </c>
    </row>
    <row r="573" spans="1:141" s="2345" customFormat="1" ht="12" hidden="1" customHeight="1">
      <c r="A573" s="2967"/>
      <c r="B573" s="374" t="s">
        <v>22</v>
      </c>
      <c r="C573" s="375"/>
      <c r="D573" s="612"/>
      <c r="E573" s="612"/>
      <c r="F573" s="612"/>
      <c r="G573" s="612"/>
      <c r="H573" s="612"/>
      <c r="I573" s="612"/>
      <c r="J573" s="612"/>
      <c r="K573" s="612"/>
      <c r="L573" s="612"/>
      <c r="M573" s="612"/>
      <c r="N573" s="612"/>
      <c r="O573" s="612"/>
      <c r="P573" s="612"/>
      <c r="Q573" s="612"/>
      <c r="R573" s="612"/>
      <c r="S573" s="612"/>
      <c r="T573" s="612"/>
      <c r="U573" s="1175"/>
      <c r="V573" s="1175"/>
      <c r="W573" s="1175"/>
      <c r="X573" s="541"/>
      <c r="Y573" s="2970"/>
    </row>
    <row r="574" spans="1:141" s="2345" customFormat="1" ht="11.25" hidden="1" customHeight="1">
      <c r="A574" s="2967"/>
      <c r="B574" s="526" t="s">
        <v>36</v>
      </c>
      <c r="C574" s="2978" t="s">
        <v>101</v>
      </c>
      <c r="D574" s="615"/>
      <c r="E574" s="615"/>
      <c r="F574" s="615"/>
      <c r="G574" s="615"/>
      <c r="H574" s="615"/>
      <c r="I574" s="615"/>
      <c r="J574" s="615"/>
      <c r="K574" s="615"/>
      <c r="L574" s="615"/>
      <c r="M574" s="615"/>
      <c r="N574" s="615"/>
      <c r="O574" s="615"/>
      <c r="P574" s="615"/>
      <c r="Q574" s="615"/>
      <c r="R574" s="615"/>
      <c r="S574" s="615"/>
      <c r="T574" s="615"/>
      <c r="U574" s="1174"/>
      <c r="V574" s="1174"/>
      <c r="W574" s="1174"/>
      <c r="X574" s="483"/>
      <c r="Y574" s="2970"/>
    </row>
    <row r="575" spans="1:141" s="2345" customFormat="1" hidden="1" thickBot="1">
      <c r="A575" s="2968"/>
      <c r="B575" s="2364" t="s">
        <v>24</v>
      </c>
      <c r="C575" s="2979"/>
      <c r="D575" s="533"/>
      <c r="E575" s="491"/>
      <c r="F575" s="917"/>
      <c r="G575" s="917"/>
      <c r="H575" s="917"/>
      <c r="I575" s="918"/>
      <c r="J575" s="918"/>
      <c r="K575" s="918"/>
      <c r="L575" s="917"/>
      <c r="M575" s="917"/>
      <c r="N575" s="917"/>
      <c r="O575" s="917"/>
      <c r="P575" s="917"/>
      <c r="Q575" s="917"/>
      <c r="R575" s="917"/>
      <c r="S575" s="917"/>
      <c r="T575" s="917"/>
      <c r="U575" s="2365"/>
      <c r="V575" s="2365"/>
      <c r="W575" s="2365"/>
      <c r="X575" s="2366"/>
      <c r="Y575" s="2971"/>
    </row>
    <row r="576" spans="1:141" s="2345" customFormat="1" ht="14.25" hidden="1" customHeight="1">
      <c r="A576" s="2966" t="s">
        <v>83</v>
      </c>
      <c r="B576" s="1073"/>
      <c r="C576" s="434" t="s">
        <v>98</v>
      </c>
      <c r="D576" s="617"/>
      <c r="E576" s="436"/>
      <c r="F576" s="437"/>
      <c r="G576" s="437"/>
      <c r="H576" s="436"/>
      <c r="I576" s="436"/>
      <c r="J576" s="436"/>
      <c r="K576" s="436"/>
      <c r="L576" s="436"/>
      <c r="M576" s="438"/>
      <c r="N576" s="438"/>
      <c r="O576" s="438"/>
      <c r="P576" s="438"/>
      <c r="Q576" s="2066"/>
      <c r="R576" s="2066"/>
      <c r="S576" s="2066"/>
      <c r="T576" s="2066"/>
      <c r="U576" s="438"/>
      <c r="V576" s="438"/>
      <c r="W576" s="438"/>
      <c r="X576" s="439"/>
      <c r="Y576" s="2969" t="s">
        <v>104</v>
      </c>
    </row>
    <row r="577" spans="1:26" s="2345" customFormat="1" ht="13.5" hidden="1" customHeight="1">
      <c r="A577" s="2967"/>
      <c r="B577" s="374" t="s">
        <v>22</v>
      </c>
      <c r="C577" s="375"/>
      <c r="D577" s="612">
        <f>+D578</f>
        <v>0</v>
      </c>
      <c r="E577" s="612">
        <f t="shared" ref="E577:O577" si="616">+E578</f>
        <v>0</v>
      </c>
      <c r="F577" s="612">
        <f t="shared" si="616"/>
        <v>0</v>
      </c>
      <c r="G577" s="612">
        <f t="shared" si="616"/>
        <v>0</v>
      </c>
      <c r="H577" s="612">
        <f t="shared" si="616"/>
        <v>0</v>
      </c>
      <c r="I577" s="612">
        <f t="shared" si="616"/>
        <v>0</v>
      </c>
      <c r="J577" s="612">
        <f t="shared" si="616"/>
        <v>0</v>
      </c>
      <c r="K577" s="612">
        <f t="shared" si="616"/>
        <v>0</v>
      </c>
      <c r="L577" s="612">
        <f>+L578</f>
        <v>0</v>
      </c>
      <c r="M577" s="612">
        <f t="shared" si="616"/>
        <v>0</v>
      </c>
      <c r="N577" s="612">
        <f t="shared" si="616"/>
        <v>0</v>
      </c>
      <c r="O577" s="612">
        <f t="shared" si="616"/>
        <v>0</v>
      </c>
      <c r="P577" s="1100">
        <v>0</v>
      </c>
      <c r="Q577" s="1100">
        <v>0</v>
      </c>
      <c r="R577" s="1100">
        <v>0</v>
      </c>
      <c r="S577" s="1100">
        <v>0</v>
      </c>
      <c r="T577" s="1100">
        <v>0</v>
      </c>
      <c r="U577" s="1100">
        <v>0</v>
      </c>
      <c r="V577" s="1100">
        <v>0</v>
      </c>
      <c r="W577" s="1100">
        <v>0</v>
      </c>
      <c r="X577" s="480">
        <f>+X578</f>
        <v>0</v>
      </c>
      <c r="Y577" s="2970"/>
      <c r="Z577" s="2344">
        <f>+O577+P577+Q577+R577</f>
        <v>0</v>
      </c>
    </row>
    <row r="578" spans="1:26" s="2345" customFormat="1" ht="12.75" hidden="1" customHeight="1">
      <c r="A578" s="2967"/>
      <c r="B578" s="526" t="s">
        <v>36</v>
      </c>
      <c r="C578" s="2978" t="s">
        <v>101</v>
      </c>
      <c r="D578" s="615">
        <f>+D579+D580</f>
        <v>0</v>
      </c>
      <c r="E578" s="615">
        <f t="shared" ref="E578:M578" si="617">+E579+E580</f>
        <v>0</v>
      </c>
      <c r="F578" s="615">
        <f t="shared" si="617"/>
        <v>0</v>
      </c>
      <c r="G578" s="615">
        <f t="shared" si="617"/>
        <v>0</v>
      </c>
      <c r="H578" s="615">
        <f t="shared" si="617"/>
        <v>0</v>
      </c>
      <c r="I578" s="615">
        <f t="shared" si="617"/>
        <v>0</v>
      </c>
      <c r="J578" s="615">
        <f t="shared" si="617"/>
        <v>0</v>
      </c>
      <c r="K578" s="615">
        <f t="shared" si="617"/>
        <v>0</v>
      </c>
      <c r="L578" s="615">
        <f>+L579+L580</f>
        <v>0</v>
      </c>
      <c r="M578" s="615">
        <f t="shared" si="617"/>
        <v>0</v>
      </c>
      <c r="N578" s="615">
        <f t="shared" ref="N578:O578" si="618">+N579+N580</f>
        <v>0</v>
      </c>
      <c r="O578" s="615">
        <f t="shared" si="618"/>
        <v>0</v>
      </c>
      <c r="P578" s="1101">
        <v>0</v>
      </c>
      <c r="Q578" s="1101">
        <v>0</v>
      </c>
      <c r="R578" s="1101">
        <v>0</v>
      </c>
      <c r="S578" s="1101">
        <v>0</v>
      </c>
      <c r="T578" s="1101">
        <v>0</v>
      </c>
      <c r="U578" s="1101">
        <v>0</v>
      </c>
      <c r="V578" s="1101">
        <v>0</v>
      </c>
      <c r="W578" s="1101">
        <v>0</v>
      </c>
      <c r="X578" s="502">
        <f>+X579+X580</f>
        <v>0</v>
      </c>
      <c r="Y578" s="2970"/>
      <c r="Z578" s="2345" t="s">
        <v>353</v>
      </c>
    </row>
    <row r="579" spans="1:26" s="2345" customFormat="1" ht="12" hidden="1">
      <c r="A579" s="2967"/>
      <c r="B579" s="2367" t="s">
        <v>24</v>
      </c>
      <c r="C579" s="2980"/>
      <c r="D579" s="466">
        <f>+M579+O579</f>
        <v>0</v>
      </c>
      <c r="E579" s="456">
        <f>+F579+G579+H579</f>
        <v>0</v>
      </c>
      <c r="F579" s="530">
        <v>0</v>
      </c>
      <c r="G579" s="530"/>
      <c r="H579" s="530">
        <v>0</v>
      </c>
      <c r="I579" s="529">
        <f>9525-9525</f>
        <v>0</v>
      </c>
      <c r="J579" s="529"/>
      <c r="K579" s="529"/>
      <c r="L579" s="530"/>
      <c r="M579" s="530">
        <f>+J579+K579+L579+N579</f>
        <v>0</v>
      </c>
      <c r="N579" s="530"/>
      <c r="O579" s="530"/>
      <c r="P579" s="1104">
        <v>0</v>
      </c>
      <c r="Q579" s="1104">
        <v>0</v>
      </c>
      <c r="R579" s="1104">
        <v>0</v>
      </c>
      <c r="S579" s="1104">
        <v>0</v>
      </c>
      <c r="T579" s="1104">
        <v>0</v>
      </c>
      <c r="U579" s="1104">
        <v>0</v>
      </c>
      <c r="V579" s="1104">
        <v>0</v>
      </c>
      <c r="W579" s="1104">
        <v>0</v>
      </c>
      <c r="X579" s="409">
        <f>SUM(P579:T579)</f>
        <v>0</v>
      </c>
      <c r="Y579" s="2970"/>
    </row>
    <row r="580" spans="1:26" s="2345" customFormat="1" ht="12" hidden="1">
      <c r="A580" s="2967"/>
      <c r="B580" s="2368" t="s">
        <v>27</v>
      </c>
      <c r="C580" s="2981"/>
      <c r="D580" s="466">
        <f>+M580+O580</f>
        <v>0</v>
      </c>
      <c r="E580" s="775"/>
      <c r="F580" s="857"/>
      <c r="G580" s="857"/>
      <c r="H580" s="857"/>
      <c r="I580" s="915"/>
      <c r="J580" s="915"/>
      <c r="K580" s="915"/>
      <c r="L580" s="857"/>
      <c r="M580" s="530">
        <f>+J580+K580+L580+N580</f>
        <v>0</v>
      </c>
      <c r="N580" s="857"/>
      <c r="O580" s="857"/>
      <c r="P580" s="1104">
        <v>0</v>
      </c>
      <c r="Q580" s="1104">
        <v>0</v>
      </c>
      <c r="R580" s="1104">
        <v>0</v>
      </c>
      <c r="S580" s="1104">
        <v>0</v>
      </c>
      <c r="T580" s="1104">
        <v>0</v>
      </c>
      <c r="U580" s="1104">
        <v>0</v>
      </c>
      <c r="V580" s="1104">
        <v>0</v>
      </c>
      <c r="W580" s="1104">
        <v>0</v>
      </c>
      <c r="X580" s="409">
        <f>SUM(P580:T580)</f>
        <v>0</v>
      </c>
      <c r="Y580" s="2650"/>
    </row>
    <row r="581" spans="1:26" s="2345" customFormat="1" ht="10.5" hidden="1" customHeight="1">
      <c r="A581" s="2967"/>
      <c r="B581" s="374" t="s">
        <v>34</v>
      </c>
      <c r="C581" s="375"/>
      <c r="D581" s="612">
        <f>+D582</f>
        <v>0</v>
      </c>
      <c r="E581" s="612">
        <f t="shared" ref="E581:O582" si="619">+E582</f>
        <v>0</v>
      </c>
      <c r="F581" s="612">
        <f t="shared" si="619"/>
        <v>0</v>
      </c>
      <c r="G581" s="612">
        <f t="shared" si="619"/>
        <v>0</v>
      </c>
      <c r="H581" s="612">
        <f t="shared" si="619"/>
        <v>0</v>
      </c>
      <c r="I581" s="612">
        <f t="shared" si="619"/>
        <v>0</v>
      </c>
      <c r="J581" s="612">
        <f t="shared" si="619"/>
        <v>0</v>
      </c>
      <c r="K581" s="612">
        <f t="shared" si="619"/>
        <v>0</v>
      </c>
      <c r="L581" s="612">
        <f t="shared" si="619"/>
        <v>0</v>
      </c>
      <c r="M581" s="612">
        <f t="shared" si="619"/>
        <v>0</v>
      </c>
      <c r="N581" s="612">
        <f t="shared" si="619"/>
        <v>0</v>
      </c>
      <c r="O581" s="612">
        <f t="shared" si="619"/>
        <v>0</v>
      </c>
      <c r="P581" s="1100">
        <v>0</v>
      </c>
      <c r="Q581" s="1100">
        <v>0</v>
      </c>
      <c r="R581" s="1100">
        <v>0</v>
      </c>
      <c r="S581" s="1100">
        <v>0</v>
      </c>
      <c r="T581" s="1100">
        <v>0</v>
      </c>
      <c r="U581" s="1100">
        <v>0</v>
      </c>
      <c r="V581" s="1100">
        <v>0</v>
      </c>
      <c r="W581" s="1100">
        <v>0</v>
      </c>
      <c r="X581" s="2960" t="s">
        <v>35</v>
      </c>
      <c r="Y581" s="2982" t="s">
        <v>122</v>
      </c>
    </row>
    <row r="582" spans="1:26" s="2345" customFormat="1" ht="12.75" hidden="1" customHeight="1">
      <c r="A582" s="2967"/>
      <c r="B582" s="526" t="s">
        <v>36</v>
      </c>
      <c r="C582" s="2972" t="s">
        <v>101</v>
      </c>
      <c r="D582" s="615">
        <f>+D583</f>
        <v>0</v>
      </c>
      <c r="E582" s="615">
        <f t="shared" si="619"/>
        <v>0</v>
      </c>
      <c r="F582" s="615">
        <f t="shared" si="619"/>
        <v>0</v>
      </c>
      <c r="G582" s="615">
        <f t="shared" si="619"/>
        <v>0</v>
      </c>
      <c r="H582" s="615">
        <f t="shared" si="619"/>
        <v>0</v>
      </c>
      <c r="I582" s="615">
        <f t="shared" si="619"/>
        <v>0</v>
      </c>
      <c r="J582" s="615">
        <f t="shared" si="619"/>
        <v>0</v>
      </c>
      <c r="K582" s="615">
        <f t="shared" si="619"/>
        <v>0</v>
      </c>
      <c r="L582" s="615">
        <f t="shared" si="619"/>
        <v>0</v>
      </c>
      <c r="M582" s="615">
        <f t="shared" si="619"/>
        <v>0</v>
      </c>
      <c r="N582" s="615">
        <f t="shared" si="619"/>
        <v>0</v>
      </c>
      <c r="O582" s="615">
        <f t="shared" si="619"/>
        <v>0</v>
      </c>
      <c r="P582" s="1101">
        <v>0</v>
      </c>
      <c r="Q582" s="1101">
        <v>0</v>
      </c>
      <c r="R582" s="1101">
        <v>0</v>
      </c>
      <c r="S582" s="1101">
        <v>0</v>
      </c>
      <c r="T582" s="1101">
        <v>0</v>
      </c>
      <c r="U582" s="1101">
        <v>0</v>
      </c>
      <c r="V582" s="1101">
        <v>0</v>
      </c>
      <c r="W582" s="1101">
        <v>0</v>
      </c>
      <c r="X582" s="2946"/>
      <c r="Y582" s="2970"/>
    </row>
    <row r="583" spans="1:26" s="2345" customFormat="1" ht="13.5" hidden="1" customHeight="1" thickBot="1">
      <c r="A583" s="2968"/>
      <c r="B583" s="2364" t="s">
        <v>27</v>
      </c>
      <c r="C583" s="2973"/>
      <c r="D583" s="533">
        <f>+M583+O583</f>
        <v>0</v>
      </c>
      <c r="E583" s="470"/>
      <c r="F583" s="2101"/>
      <c r="G583" s="2101"/>
      <c r="H583" s="2101"/>
      <c r="I583" s="2102"/>
      <c r="J583" s="2102"/>
      <c r="K583" s="2102"/>
      <c r="L583" s="497"/>
      <c r="M583" s="497">
        <f>+L583+N583</f>
        <v>0</v>
      </c>
      <c r="N583" s="497"/>
      <c r="O583" s="497"/>
      <c r="P583" s="1104">
        <v>0</v>
      </c>
      <c r="Q583" s="1104">
        <v>0</v>
      </c>
      <c r="R583" s="1104">
        <v>0</v>
      </c>
      <c r="S583" s="1104">
        <v>0</v>
      </c>
      <c r="T583" s="1104">
        <v>0</v>
      </c>
      <c r="U583" s="1104">
        <v>0</v>
      </c>
      <c r="V583" s="1104">
        <v>0</v>
      </c>
      <c r="W583" s="1104">
        <v>0</v>
      </c>
      <c r="X583" s="2947"/>
      <c r="Y583" s="2971"/>
    </row>
    <row r="584" spans="1:26" s="2345" customFormat="1" ht="25.5" customHeight="1">
      <c r="A584" s="2966" t="s">
        <v>138</v>
      </c>
      <c r="B584" s="1073" t="s">
        <v>501</v>
      </c>
      <c r="C584" s="434" t="s">
        <v>98</v>
      </c>
      <c r="D584" s="436"/>
      <c r="E584" s="436"/>
      <c r="F584" s="437"/>
      <c r="G584" s="437"/>
      <c r="H584" s="436"/>
      <c r="I584" s="436"/>
      <c r="J584" s="436"/>
      <c r="K584" s="436"/>
      <c r="L584" s="436"/>
      <c r="M584" s="436"/>
      <c r="N584" s="436"/>
      <c r="O584" s="436"/>
      <c r="P584" s="438"/>
      <c r="Q584" s="438"/>
      <c r="R584" s="438"/>
      <c r="S584" s="438"/>
      <c r="T584" s="438"/>
      <c r="U584" s="438"/>
      <c r="V584" s="438"/>
      <c r="W584" s="438"/>
      <c r="X584" s="439"/>
      <c r="Y584" s="2969" t="s">
        <v>104</v>
      </c>
    </row>
    <row r="585" spans="1:26" s="2345" customFormat="1" ht="12">
      <c r="A585" s="2967"/>
      <c r="B585" s="374" t="s">
        <v>22</v>
      </c>
      <c r="C585" s="375"/>
      <c r="D585" s="612">
        <f>+D586</f>
        <v>1743306</v>
      </c>
      <c r="E585" s="612">
        <f t="shared" ref="E585:P586" si="620">+E586</f>
        <v>0</v>
      </c>
      <c r="F585" s="612">
        <f t="shared" si="620"/>
        <v>0</v>
      </c>
      <c r="G585" s="612">
        <f t="shared" si="620"/>
        <v>0</v>
      </c>
      <c r="H585" s="612">
        <f t="shared" si="620"/>
        <v>0</v>
      </c>
      <c r="I585" s="612">
        <f t="shared" si="620"/>
        <v>0</v>
      </c>
      <c r="J585" s="612">
        <f t="shared" si="620"/>
        <v>0</v>
      </c>
      <c r="K585" s="612">
        <f t="shared" si="620"/>
        <v>354120</v>
      </c>
      <c r="L585" s="612">
        <f t="shared" si="620"/>
        <v>0</v>
      </c>
      <c r="M585" s="612">
        <f t="shared" si="620"/>
        <v>354120</v>
      </c>
      <c r="N585" s="612">
        <f t="shared" si="620"/>
        <v>0</v>
      </c>
      <c r="O585" s="612">
        <f t="shared" si="620"/>
        <v>149500</v>
      </c>
      <c r="P585" s="612">
        <f t="shared" si="620"/>
        <v>1239686</v>
      </c>
      <c r="Q585" s="1100">
        <v>0</v>
      </c>
      <c r="R585" s="1100">
        <v>0</v>
      </c>
      <c r="S585" s="1100">
        <v>0</v>
      </c>
      <c r="T585" s="1100">
        <v>0</v>
      </c>
      <c r="U585" s="1100">
        <v>0</v>
      </c>
      <c r="V585" s="1100">
        <v>0</v>
      </c>
      <c r="W585" s="1100">
        <v>0</v>
      </c>
      <c r="X585" s="480">
        <f>+X586</f>
        <v>1239686</v>
      </c>
      <c r="Y585" s="2970"/>
      <c r="Z585" s="2344">
        <f>+O585+P585+Q585+R585</f>
        <v>1389186</v>
      </c>
    </row>
    <row r="586" spans="1:26" s="2345" customFormat="1" ht="12">
      <c r="A586" s="2967"/>
      <c r="B586" s="526" t="s">
        <v>36</v>
      </c>
      <c r="C586" s="2978" t="s">
        <v>101</v>
      </c>
      <c r="D586" s="615">
        <f>+D587</f>
        <v>1743306</v>
      </c>
      <c r="E586" s="615">
        <f t="shared" si="620"/>
        <v>0</v>
      </c>
      <c r="F586" s="615">
        <f t="shared" si="620"/>
        <v>0</v>
      </c>
      <c r="G586" s="615">
        <f t="shared" si="620"/>
        <v>0</v>
      </c>
      <c r="H586" s="615">
        <f t="shared" si="620"/>
        <v>0</v>
      </c>
      <c r="I586" s="615">
        <f t="shared" si="620"/>
        <v>0</v>
      </c>
      <c r="J586" s="615">
        <f t="shared" si="620"/>
        <v>0</v>
      </c>
      <c r="K586" s="615">
        <f t="shared" si="620"/>
        <v>354120</v>
      </c>
      <c r="L586" s="615">
        <f t="shared" si="620"/>
        <v>0</v>
      </c>
      <c r="M586" s="615">
        <f t="shared" si="620"/>
        <v>354120</v>
      </c>
      <c r="N586" s="615">
        <f t="shared" si="620"/>
        <v>0</v>
      </c>
      <c r="O586" s="615">
        <f t="shared" si="620"/>
        <v>149500</v>
      </c>
      <c r="P586" s="615">
        <f t="shared" si="620"/>
        <v>1239686</v>
      </c>
      <c r="Q586" s="1101">
        <v>0</v>
      </c>
      <c r="R586" s="1101">
        <v>0</v>
      </c>
      <c r="S586" s="1101">
        <v>0</v>
      </c>
      <c r="T586" s="1101">
        <v>0</v>
      </c>
      <c r="U586" s="1101">
        <v>0</v>
      </c>
      <c r="V586" s="1101">
        <v>0</v>
      </c>
      <c r="W586" s="1101">
        <v>0</v>
      </c>
      <c r="X586" s="502">
        <f>+X587</f>
        <v>1239686</v>
      </c>
      <c r="Y586" s="2970"/>
    </row>
    <row r="587" spans="1:26" s="2345" customFormat="1" thickBot="1">
      <c r="A587" s="2968"/>
      <c r="B587" s="2364" t="s">
        <v>24</v>
      </c>
      <c r="C587" s="2983"/>
      <c r="D587" s="449">
        <f t="shared" ref="D587" si="621">M587+O587+P587+Q587+R587+S587+T587+U587+V587+W587</f>
        <v>1743306</v>
      </c>
      <c r="E587" s="456">
        <f>+F587+G587+H587</f>
        <v>0</v>
      </c>
      <c r="F587" s="530">
        <v>0</v>
      </c>
      <c r="G587" s="530"/>
      <c r="H587" s="530">
        <v>0</v>
      </c>
      <c r="I587" s="529">
        <f>9525-9525</f>
        <v>0</v>
      </c>
      <c r="J587" s="529"/>
      <c r="K587" s="529">
        <v>354120</v>
      </c>
      <c r="L587" s="530">
        <f>1389186-1389186</f>
        <v>0</v>
      </c>
      <c r="M587" s="450">
        <f>+E587+I587+J587+K587+L587+N587</f>
        <v>354120</v>
      </c>
      <c r="N587" s="530">
        <f>149500-149500</f>
        <v>0</v>
      </c>
      <c r="O587" s="530">
        <f>1200000+39686+149500-1239686</f>
        <v>149500</v>
      </c>
      <c r="P587" s="530">
        <v>1239686</v>
      </c>
      <c r="Q587" s="1104">
        <v>0</v>
      </c>
      <c r="R587" s="1104">
        <v>0</v>
      </c>
      <c r="S587" s="1104">
        <v>0</v>
      </c>
      <c r="T587" s="1104">
        <v>0</v>
      </c>
      <c r="U587" s="1104">
        <v>0</v>
      </c>
      <c r="V587" s="1104">
        <v>0</v>
      </c>
      <c r="W587" s="1104">
        <v>0</v>
      </c>
      <c r="X587" s="409">
        <f>SUM(P587:T587)</f>
        <v>1239686</v>
      </c>
      <c r="Y587" s="2970"/>
    </row>
    <row r="588" spans="1:26" s="2345" customFormat="1" ht="22.5" hidden="1" customHeight="1">
      <c r="A588" s="2966" t="s">
        <v>105</v>
      </c>
      <c r="B588" s="1073"/>
      <c r="C588" s="473" t="s">
        <v>98</v>
      </c>
      <c r="D588" s="617"/>
      <c r="E588" s="436"/>
      <c r="F588" s="437"/>
      <c r="G588" s="437"/>
      <c r="H588" s="436"/>
      <c r="I588" s="436"/>
      <c r="J588" s="436"/>
      <c r="K588" s="436"/>
      <c r="L588" s="436"/>
      <c r="M588" s="438"/>
      <c r="N588" s="438"/>
      <c r="O588" s="438"/>
      <c r="P588" s="438"/>
      <c r="Q588" s="438"/>
      <c r="R588" s="438"/>
      <c r="S588" s="916"/>
      <c r="T588" s="558"/>
      <c r="U588" s="916"/>
      <c r="V588" s="916"/>
      <c r="W588" s="916"/>
      <c r="X588" s="439"/>
      <c r="Y588" s="2969" t="s">
        <v>104</v>
      </c>
    </row>
    <row r="589" spans="1:26" s="2345" customFormat="1" ht="12.75" hidden="1" customHeight="1">
      <c r="A589" s="2967"/>
      <c r="B589" s="374" t="s">
        <v>22</v>
      </c>
      <c r="C589" s="375"/>
      <c r="D589" s="612">
        <f>+D590</f>
        <v>0</v>
      </c>
      <c r="E589" s="612">
        <f t="shared" ref="E589:N589" si="622">+E590</f>
        <v>0</v>
      </c>
      <c r="F589" s="612">
        <f t="shared" si="622"/>
        <v>0</v>
      </c>
      <c r="G589" s="612">
        <f t="shared" si="622"/>
        <v>0</v>
      </c>
      <c r="H589" s="612">
        <f t="shared" si="622"/>
        <v>0</v>
      </c>
      <c r="I589" s="612">
        <f t="shared" si="622"/>
        <v>0</v>
      </c>
      <c r="J589" s="612">
        <f t="shared" si="622"/>
        <v>0</v>
      </c>
      <c r="K589" s="612">
        <f t="shared" si="622"/>
        <v>0</v>
      </c>
      <c r="L589" s="612">
        <f t="shared" si="622"/>
        <v>0</v>
      </c>
      <c r="M589" s="612">
        <f t="shared" si="622"/>
        <v>0</v>
      </c>
      <c r="N589" s="612">
        <f t="shared" si="622"/>
        <v>0</v>
      </c>
      <c r="O589" s="1100">
        <v>0</v>
      </c>
      <c r="P589" s="1100">
        <v>0</v>
      </c>
      <c r="Q589" s="1100">
        <v>0</v>
      </c>
      <c r="R589" s="1100">
        <v>0</v>
      </c>
      <c r="S589" s="1100">
        <v>0</v>
      </c>
      <c r="T589" s="1100">
        <v>0</v>
      </c>
      <c r="U589" s="1100">
        <v>0</v>
      </c>
      <c r="V589" s="1100">
        <v>0</v>
      </c>
      <c r="W589" s="1100">
        <v>0</v>
      </c>
      <c r="X589" s="780">
        <f>+X590</f>
        <v>0</v>
      </c>
      <c r="Y589" s="2970"/>
      <c r="Z589" s="2344">
        <f>+O589+P589+Q589+R589</f>
        <v>0</v>
      </c>
    </row>
    <row r="590" spans="1:26" s="2345" customFormat="1" ht="12.75" hidden="1" customHeight="1">
      <c r="A590" s="2967"/>
      <c r="B590" s="526" t="s">
        <v>36</v>
      </c>
      <c r="C590" s="2978" t="s">
        <v>101</v>
      </c>
      <c r="D590" s="615">
        <f>+D591+D592</f>
        <v>0</v>
      </c>
      <c r="E590" s="615">
        <f t="shared" ref="E590:N590" si="623">+E591+E592</f>
        <v>0</v>
      </c>
      <c r="F590" s="615">
        <f t="shared" si="623"/>
        <v>0</v>
      </c>
      <c r="G590" s="615">
        <f t="shared" si="623"/>
        <v>0</v>
      </c>
      <c r="H590" s="615">
        <f t="shared" si="623"/>
        <v>0</v>
      </c>
      <c r="I590" s="615">
        <f t="shared" si="623"/>
        <v>0</v>
      </c>
      <c r="J590" s="615">
        <f t="shared" si="623"/>
        <v>0</v>
      </c>
      <c r="K590" s="615">
        <f t="shared" si="623"/>
        <v>0</v>
      </c>
      <c r="L590" s="615">
        <f t="shared" si="623"/>
        <v>0</v>
      </c>
      <c r="M590" s="615">
        <f t="shared" ref="M590" si="624">+M591+M592</f>
        <v>0</v>
      </c>
      <c r="N590" s="615">
        <f t="shared" si="623"/>
        <v>0</v>
      </c>
      <c r="O590" s="1101">
        <v>0</v>
      </c>
      <c r="P590" s="1101">
        <v>0</v>
      </c>
      <c r="Q590" s="1101">
        <v>0</v>
      </c>
      <c r="R590" s="1101">
        <v>0</v>
      </c>
      <c r="S590" s="1101">
        <v>0</v>
      </c>
      <c r="T590" s="1101">
        <v>0</v>
      </c>
      <c r="U590" s="1101">
        <v>0</v>
      </c>
      <c r="V590" s="1101">
        <v>0</v>
      </c>
      <c r="W590" s="1101">
        <v>0</v>
      </c>
      <c r="X590" s="502">
        <f>+X591</f>
        <v>0</v>
      </c>
      <c r="Y590" s="2970"/>
    </row>
    <row r="591" spans="1:26" s="2345" customFormat="1" ht="12.75" hidden="1" customHeight="1">
      <c r="A591" s="2967"/>
      <c r="B591" s="2367" t="s">
        <v>24</v>
      </c>
      <c r="C591" s="2980"/>
      <c r="D591" s="449">
        <f>M591+O591+P591+Q591+R591+S591+T591+U591+V591+W591</f>
        <v>0</v>
      </c>
      <c r="E591" s="456">
        <f>+F591+G591+H591</f>
        <v>0</v>
      </c>
      <c r="F591" s="530">
        <v>0</v>
      </c>
      <c r="G591" s="530"/>
      <c r="H591" s="530">
        <v>0</v>
      </c>
      <c r="I591" s="616"/>
      <c r="J591" s="494"/>
      <c r="K591" s="529"/>
      <c r="L591" s="530"/>
      <c r="M591" s="450">
        <f>+E591+I591+J591+K591+L591+N591</f>
        <v>0</v>
      </c>
      <c r="N591" s="530"/>
      <c r="O591" s="1104">
        <v>0</v>
      </c>
      <c r="P591" s="1104">
        <v>0</v>
      </c>
      <c r="Q591" s="1104">
        <v>0</v>
      </c>
      <c r="R591" s="1104">
        <v>0</v>
      </c>
      <c r="S591" s="1104">
        <v>0</v>
      </c>
      <c r="T591" s="1104">
        <v>0</v>
      </c>
      <c r="U591" s="1104">
        <v>0</v>
      </c>
      <c r="V591" s="1104">
        <v>0</v>
      </c>
      <c r="W591" s="1104">
        <v>0</v>
      </c>
      <c r="X591" s="409">
        <f>SUM(P591:T591)</f>
        <v>0</v>
      </c>
      <c r="Y591" s="2970"/>
    </row>
    <row r="592" spans="1:26" s="2345" customFormat="1" ht="12.75" hidden="1" customHeight="1">
      <c r="A592" s="2967"/>
      <c r="B592" s="2368" t="s">
        <v>27</v>
      </c>
      <c r="C592" s="2981"/>
      <c r="D592" s="449">
        <f t="shared" ref="D592" si="625">M592+O592+P592+Q592+R592+S592+T592+U592+V592+W592</f>
        <v>0</v>
      </c>
      <c r="E592" s="775"/>
      <c r="F592" s="857"/>
      <c r="G592" s="857"/>
      <c r="H592" s="857"/>
      <c r="I592" s="915"/>
      <c r="J592" s="915"/>
      <c r="K592" s="915"/>
      <c r="L592" s="857"/>
      <c r="M592" s="450">
        <f>+E592+I592+J592+K592+L592+N592</f>
        <v>0</v>
      </c>
      <c r="N592" s="857"/>
      <c r="O592" s="1104">
        <v>0</v>
      </c>
      <c r="P592" s="1104">
        <v>0</v>
      </c>
      <c r="Q592" s="1104">
        <v>0</v>
      </c>
      <c r="R592" s="1104">
        <v>0</v>
      </c>
      <c r="S592" s="1104">
        <v>0</v>
      </c>
      <c r="T592" s="1104">
        <v>0</v>
      </c>
      <c r="U592" s="1104">
        <v>0</v>
      </c>
      <c r="V592" s="1104">
        <v>0</v>
      </c>
      <c r="W592" s="1104">
        <v>0</v>
      </c>
      <c r="X592" s="409">
        <f>SUM(P592:T592)</f>
        <v>0</v>
      </c>
      <c r="Y592" s="2650"/>
    </row>
    <row r="593" spans="1:26" s="2345" customFormat="1" ht="12.75" hidden="1" customHeight="1">
      <c r="A593" s="2967"/>
      <c r="B593" s="374" t="s">
        <v>34</v>
      </c>
      <c r="C593" s="375"/>
      <c r="D593" s="612">
        <f>+D594</f>
        <v>0</v>
      </c>
      <c r="E593" s="612">
        <f t="shared" ref="E593:N594" si="626">+E594</f>
        <v>0</v>
      </c>
      <c r="F593" s="612">
        <f t="shared" si="626"/>
        <v>0</v>
      </c>
      <c r="G593" s="612">
        <f t="shared" si="626"/>
        <v>0</v>
      </c>
      <c r="H593" s="612">
        <f t="shared" si="626"/>
        <v>0</v>
      </c>
      <c r="I593" s="612">
        <f t="shared" si="626"/>
        <v>0</v>
      </c>
      <c r="J593" s="612">
        <f t="shared" si="626"/>
        <v>0</v>
      </c>
      <c r="K593" s="612">
        <f t="shared" si="626"/>
        <v>0</v>
      </c>
      <c r="L593" s="612">
        <f t="shared" si="626"/>
        <v>0</v>
      </c>
      <c r="M593" s="612">
        <f t="shared" si="626"/>
        <v>0</v>
      </c>
      <c r="N593" s="612">
        <f t="shared" si="626"/>
        <v>0</v>
      </c>
      <c r="O593" s="1100">
        <v>0</v>
      </c>
      <c r="P593" s="1100">
        <v>0</v>
      </c>
      <c r="Q593" s="1100">
        <v>0</v>
      </c>
      <c r="R593" s="1100">
        <v>0</v>
      </c>
      <c r="S593" s="1100">
        <v>0</v>
      </c>
      <c r="T593" s="1100">
        <v>0</v>
      </c>
      <c r="U593" s="1100">
        <v>0</v>
      </c>
      <c r="V593" s="1100">
        <v>0</v>
      </c>
      <c r="W593" s="1100">
        <v>0</v>
      </c>
      <c r="X593" s="2961" t="s">
        <v>35</v>
      </c>
      <c r="Y593" s="2982" t="s">
        <v>122</v>
      </c>
    </row>
    <row r="594" spans="1:26" s="2345" customFormat="1" ht="12.75" hidden="1" customHeight="1">
      <c r="A594" s="2967"/>
      <c r="B594" s="526" t="s">
        <v>36</v>
      </c>
      <c r="C594" s="2972" t="s">
        <v>101</v>
      </c>
      <c r="D594" s="615">
        <f>+D595</f>
        <v>0</v>
      </c>
      <c r="E594" s="615">
        <f t="shared" si="626"/>
        <v>0</v>
      </c>
      <c r="F594" s="615">
        <f t="shared" si="626"/>
        <v>0</v>
      </c>
      <c r="G594" s="615">
        <f t="shared" si="626"/>
        <v>0</v>
      </c>
      <c r="H594" s="615">
        <f t="shared" si="626"/>
        <v>0</v>
      </c>
      <c r="I594" s="615">
        <f t="shared" si="626"/>
        <v>0</v>
      </c>
      <c r="J594" s="615">
        <f t="shared" si="626"/>
        <v>0</v>
      </c>
      <c r="K594" s="615">
        <f t="shared" si="626"/>
        <v>0</v>
      </c>
      <c r="L594" s="615">
        <f t="shared" si="626"/>
        <v>0</v>
      </c>
      <c r="M594" s="615">
        <f t="shared" si="626"/>
        <v>0</v>
      </c>
      <c r="N594" s="615">
        <f t="shared" si="626"/>
        <v>0</v>
      </c>
      <c r="O594" s="1101">
        <v>0</v>
      </c>
      <c r="P594" s="1101">
        <v>0</v>
      </c>
      <c r="Q594" s="1101">
        <v>0</v>
      </c>
      <c r="R594" s="1101">
        <v>0</v>
      </c>
      <c r="S594" s="1101">
        <v>0</v>
      </c>
      <c r="T594" s="1101">
        <v>0</v>
      </c>
      <c r="U594" s="1101">
        <v>0</v>
      </c>
      <c r="V594" s="1101">
        <v>0</v>
      </c>
      <c r="W594" s="1101">
        <v>0</v>
      </c>
      <c r="X594" s="2962"/>
      <c r="Y594" s="2970"/>
    </row>
    <row r="595" spans="1:26" s="2345" customFormat="1" ht="13.5" hidden="1" customHeight="1" thickBot="1">
      <c r="A595" s="2968"/>
      <c r="B595" s="2364" t="s">
        <v>27</v>
      </c>
      <c r="C595" s="2973"/>
      <c r="D595" s="449">
        <f t="shared" ref="D595" si="627">M595+O595+P595+Q595+R595+S595+T595+U595+V595+W595</f>
        <v>0</v>
      </c>
      <c r="E595" s="491"/>
      <c r="F595" s="917"/>
      <c r="G595" s="917"/>
      <c r="H595" s="917"/>
      <c r="I595" s="918"/>
      <c r="J595" s="918"/>
      <c r="K595" s="918"/>
      <c r="L595" s="497"/>
      <c r="M595" s="450"/>
      <c r="N595" s="497"/>
      <c r="O595" s="1104">
        <v>0</v>
      </c>
      <c r="P595" s="1104">
        <v>0</v>
      </c>
      <c r="Q595" s="1104">
        <v>0</v>
      </c>
      <c r="R595" s="1104">
        <v>0</v>
      </c>
      <c r="S595" s="1104">
        <v>0</v>
      </c>
      <c r="T595" s="1104">
        <v>0</v>
      </c>
      <c r="U595" s="1104">
        <v>0</v>
      </c>
      <c r="V595" s="1104">
        <v>0</v>
      </c>
      <c r="W595" s="1104">
        <v>0</v>
      </c>
      <c r="X595" s="2963"/>
      <c r="Y595" s="2971"/>
    </row>
    <row r="596" spans="1:26" s="2345" customFormat="1" ht="26.25" customHeight="1">
      <c r="A596" s="2966" t="s">
        <v>105</v>
      </c>
      <c r="B596" s="1073" t="s">
        <v>342</v>
      </c>
      <c r="C596" s="473" t="s">
        <v>98</v>
      </c>
      <c r="D596" s="617"/>
      <c r="E596" s="436"/>
      <c r="F596" s="437"/>
      <c r="G596" s="437"/>
      <c r="H596" s="436"/>
      <c r="I596" s="436"/>
      <c r="J596" s="436"/>
      <c r="K596" s="436"/>
      <c r="L596" s="436"/>
      <c r="M596" s="438"/>
      <c r="N596" s="438"/>
      <c r="O596" s="438"/>
      <c r="P596" s="438"/>
      <c r="Q596" s="438"/>
      <c r="R596" s="438"/>
      <c r="S596" s="438"/>
      <c r="T596" s="559"/>
      <c r="U596" s="916"/>
      <c r="V596" s="916"/>
      <c r="W596" s="916"/>
      <c r="X596" s="916"/>
      <c r="Y596" s="2969" t="s">
        <v>104</v>
      </c>
    </row>
    <row r="597" spans="1:26" s="2345" customFormat="1" ht="12">
      <c r="A597" s="2967"/>
      <c r="B597" s="374" t="s">
        <v>22</v>
      </c>
      <c r="C597" s="2381"/>
      <c r="D597" s="2330">
        <f>+D598</f>
        <v>4410000</v>
      </c>
      <c r="E597" s="2330"/>
      <c r="F597" s="2330"/>
      <c r="G597" s="2330"/>
      <c r="H597" s="2330"/>
      <c r="I597" s="2330"/>
      <c r="J597" s="2330">
        <f>+J598</f>
        <v>0</v>
      </c>
      <c r="K597" s="2330">
        <f t="shared" ref="K597:P598" si="628">+K598</f>
        <v>0</v>
      </c>
      <c r="L597" s="2330">
        <f t="shared" si="628"/>
        <v>0</v>
      </c>
      <c r="M597" s="2331">
        <f t="shared" si="628"/>
        <v>0</v>
      </c>
      <c r="N597" s="2331">
        <f t="shared" si="628"/>
        <v>0</v>
      </c>
      <c r="O597" s="2331">
        <f t="shared" si="628"/>
        <v>0</v>
      </c>
      <c r="P597" s="2330">
        <f t="shared" si="628"/>
        <v>4410000</v>
      </c>
      <c r="Q597" s="2331">
        <v>0</v>
      </c>
      <c r="R597" s="2331">
        <v>0</v>
      </c>
      <c r="S597" s="2331">
        <v>0</v>
      </c>
      <c r="T597" s="2331">
        <v>0</v>
      </c>
      <c r="U597" s="2331">
        <v>0</v>
      </c>
      <c r="V597" s="2331">
        <v>0</v>
      </c>
      <c r="W597" s="2331">
        <v>0</v>
      </c>
      <c r="X597" s="2415">
        <f>+X598</f>
        <v>4410000</v>
      </c>
      <c r="Y597" s="2970"/>
    </row>
    <row r="598" spans="1:26" s="2345" customFormat="1" ht="12">
      <c r="A598" s="2967"/>
      <c r="B598" s="526" t="s">
        <v>36</v>
      </c>
      <c r="C598" s="2974" t="s">
        <v>101</v>
      </c>
      <c r="D598" s="2414">
        <f>+D599</f>
        <v>4410000</v>
      </c>
      <c r="E598" s="2414"/>
      <c r="F598" s="2414"/>
      <c r="G598" s="2414"/>
      <c r="H598" s="2414"/>
      <c r="I598" s="2414"/>
      <c r="J598" s="2414">
        <f>+J599</f>
        <v>0</v>
      </c>
      <c r="K598" s="2414">
        <f t="shared" si="628"/>
        <v>0</v>
      </c>
      <c r="L598" s="2414">
        <f t="shared" si="628"/>
        <v>0</v>
      </c>
      <c r="M598" s="2416">
        <f t="shared" si="628"/>
        <v>0</v>
      </c>
      <c r="N598" s="2416">
        <f t="shared" si="628"/>
        <v>0</v>
      </c>
      <c r="O598" s="2416">
        <f t="shared" si="628"/>
        <v>0</v>
      </c>
      <c r="P598" s="2414">
        <f t="shared" si="628"/>
        <v>4410000</v>
      </c>
      <c r="Q598" s="2416">
        <v>0</v>
      </c>
      <c r="R598" s="2416">
        <v>0</v>
      </c>
      <c r="S598" s="2416">
        <v>0</v>
      </c>
      <c r="T598" s="2416">
        <v>0</v>
      </c>
      <c r="U598" s="2416">
        <v>0</v>
      </c>
      <c r="V598" s="2416">
        <v>0</v>
      </c>
      <c r="W598" s="2416">
        <v>0</v>
      </c>
      <c r="X598" s="2417">
        <f>+X599</f>
        <v>4410000</v>
      </c>
      <c r="Y598" s="2970"/>
    </row>
    <row r="599" spans="1:26" s="2345" customFormat="1" ht="12">
      <c r="A599" s="2967"/>
      <c r="B599" s="2369" t="s">
        <v>24</v>
      </c>
      <c r="C599" s="2975"/>
      <c r="D599" s="1930">
        <f>M599+O599+P599+Q599+R599+S599+T599+U599+V599+W599</f>
        <v>4410000</v>
      </c>
      <c r="E599" s="2325"/>
      <c r="F599" s="1945"/>
      <c r="G599" s="1945"/>
      <c r="H599" s="1945"/>
      <c r="I599" s="2326"/>
      <c r="J599" s="2327"/>
      <c r="K599" s="2328"/>
      <c r="L599" s="1945"/>
      <c r="M599" s="2329">
        <f>+E599+I599+J599+K599+L599+N599</f>
        <v>0</v>
      </c>
      <c r="N599" s="2087">
        <v>0</v>
      </c>
      <c r="O599" s="2087">
        <v>0</v>
      </c>
      <c r="P599" s="1945">
        <v>4410000</v>
      </c>
      <c r="Q599" s="2087">
        <v>0</v>
      </c>
      <c r="R599" s="2087">
        <v>0</v>
      </c>
      <c r="S599" s="2087">
        <v>0</v>
      </c>
      <c r="T599" s="2087">
        <v>0</v>
      </c>
      <c r="U599" s="2087">
        <v>0</v>
      </c>
      <c r="V599" s="2087">
        <v>0</v>
      </c>
      <c r="W599" s="2087">
        <v>0</v>
      </c>
      <c r="X599" s="2389">
        <f>SUM(P599:T599)</f>
        <v>4410000</v>
      </c>
      <c r="Y599" s="2970"/>
    </row>
    <row r="600" spans="1:26" s="2345" customFormat="1" ht="12">
      <c r="A600" s="2967"/>
      <c r="B600" s="374" t="s">
        <v>34</v>
      </c>
      <c r="C600" s="2381"/>
      <c r="D600" s="2330">
        <f>+D601</f>
        <v>2153370</v>
      </c>
      <c r="E600" s="2330">
        <f t="shared" ref="E600:N601" si="629">+E601</f>
        <v>0</v>
      </c>
      <c r="F600" s="2330">
        <f t="shared" si="629"/>
        <v>0</v>
      </c>
      <c r="G600" s="2330">
        <f t="shared" si="629"/>
        <v>0</v>
      </c>
      <c r="H600" s="2330">
        <f t="shared" si="629"/>
        <v>0</v>
      </c>
      <c r="I600" s="2330">
        <f t="shared" si="629"/>
        <v>0</v>
      </c>
      <c r="J600" s="2330">
        <f t="shared" si="629"/>
        <v>0</v>
      </c>
      <c r="K600" s="2330">
        <f t="shared" si="629"/>
        <v>0</v>
      </c>
      <c r="L600" s="2330">
        <f t="shared" si="629"/>
        <v>0</v>
      </c>
      <c r="M600" s="2330">
        <f t="shared" si="629"/>
        <v>0</v>
      </c>
      <c r="N600" s="2330">
        <f t="shared" si="629"/>
        <v>0</v>
      </c>
      <c r="O600" s="2331">
        <v>0</v>
      </c>
      <c r="P600" s="2330">
        <f>+P601</f>
        <v>2153370</v>
      </c>
      <c r="Q600" s="2331">
        <v>0</v>
      </c>
      <c r="R600" s="2331">
        <v>0</v>
      </c>
      <c r="S600" s="2331">
        <v>0</v>
      </c>
      <c r="T600" s="2331">
        <v>0</v>
      </c>
      <c r="U600" s="2331">
        <v>0</v>
      </c>
      <c r="V600" s="2331">
        <v>0</v>
      </c>
      <c r="W600" s="2331">
        <v>0</v>
      </c>
      <c r="X600" s="2984" t="s">
        <v>35</v>
      </c>
      <c r="Y600" s="2985" t="s">
        <v>122</v>
      </c>
    </row>
    <row r="601" spans="1:26" s="2345" customFormat="1" ht="12">
      <c r="A601" s="2967"/>
      <c r="B601" s="526" t="s">
        <v>36</v>
      </c>
      <c r="C601" s="2974">
        <v>75802</v>
      </c>
      <c r="D601" s="2414">
        <f>+D602</f>
        <v>2153370</v>
      </c>
      <c r="E601" s="2414">
        <f t="shared" si="629"/>
        <v>0</v>
      </c>
      <c r="F601" s="2414">
        <f t="shared" si="629"/>
        <v>0</v>
      </c>
      <c r="G601" s="2414">
        <f t="shared" si="629"/>
        <v>0</v>
      </c>
      <c r="H601" s="2414">
        <f t="shared" si="629"/>
        <v>0</v>
      </c>
      <c r="I601" s="2414">
        <f t="shared" si="629"/>
        <v>0</v>
      </c>
      <c r="J601" s="2414">
        <f t="shared" si="629"/>
        <v>0</v>
      </c>
      <c r="K601" s="2414">
        <f t="shared" si="629"/>
        <v>0</v>
      </c>
      <c r="L601" s="2414">
        <f t="shared" si="629"/>
        <v>0</v>
      </c>
      <c r="M601" s="2414">
        <f t="shared" si="629"/>
        <v>0</v>
      </c>
      <c r="N601" s="2414">
        <f t="shared" si="629"/>
        <v>0</v>
      </c>
      <c r="O601" s="2416">
        <v>0</v>
      </c>
      <c r="P601" s="2414">
        <f>+P602</f>
        <v>2153370</v>
      </c>
      <c r="Q601" s="2416">
        <v>0</v>
      </c>
      <c r="R601" s="2416">
        <v>0</v>
      </c>
      <c r="S601" s="2416">
        <v>0</v>
      </c>
      <c r="T601" s="2416">
        <v>0</v>
      </c>
      <c r="U601" s="2416">
        <v>0</v>
      </c>
      <c r="V601" s="2416">
        <v>0</v>
      </c>
      <c r="W601" s="2416">
        <v>0</v>
      </c>
      <c r="X601" s="2962"/>
      <c r="Y601" s="2970"/>
    </row>
    <row r="602" spans="1:26" s="2345" customFormat="1" thickBot="1">
      <c r="A602" s="2968"/>
      <c r="B602" s="2364" t="s">
        <v>475</v>
      </c>
      <c r="C602" s="2973"/>
      <c r="D602" s="1221">
        <f t="shared" ref="D602" si="630">M602+O602+P602+Q602+R602+S602+T602+U602+V602+W602</f>
        <v>2153370</v>
      </c>
      <c r="E602" s="491"/>
      <c r="F602" s="917"/>
      <c r="G602" s="917"/>
      <c r="H602" s="917"/>
      <c r="I602" s="918"/>
      <c r="J602" s="918"/>
      <c r="K602" s="918"/>
      <c r="L602" s="497"/>
      <c r="M602" s="1221">
        <f>+E602+I602+J602+K602+L602+N602</f>
        <v>0</v>
      </c>
      <c r="N602" s="497"/>
      <c r="O602" s="1244">
        <v>0</v>
      </c>
      <c r="P602" s="917">
        <v>2153370</v>
      </c>
      <c r="Q602" s="1244">
        <v>0</v>
      </c>
      <c r="R602" s="1244">
        <v>0</v>
      </c>
      <c r="S602" s="1244">
        <v>0</v>
      </c>
      <c r="T602" s="1244">
        <v>0</v>
      </c>
      <c r="U602" s="1244">
        <v>0</v>
      </c>
      <c r="V602" s="1244">
        <v>0</v>
      </c>
      <c r="W602" s="1244">
        <v>0</v>
      </c>
      <c r="X602" s="2963"/>
      <c r="Y602" s="2971"/>
    </row>
    <row r="603" spans="1:26" s="2345" customFormat="1" ht="15" customHeight="1">
      <c r="A603" s="2966" t="s">
        <v>106</v>
      </c>
      <c r="B603" s="1073" t="s">
        <v>525</v>
      </c>
      <c r="C603" s="473" t="s">
        <v>130</v>
      </c>
      <c r="D603" s="617"/>
      <c r="E603" s="436"/>
      <c r="F603" s="437"/>
      <c r="G603" s="437"/>
      <c r="H603" s="436"/>
      <c r="I603" s="436"/>
      <c r="J603" s="436"/>
      <c r="K603" s="436"/>
      <c r="L603" s="436"/>
      <c r="M603" s="438"/>
      <c r="N603" s="438"/>
      <c r="O603" s="438"/>
      <c r="P603" s="438"/>
      <c r="Q603" s="438"/>
      <c r="R603" s="438"/>
      <c r="S603" s="438"/>
      <c r="T603" s="559"/>
      <c r="U603" s="438"/>
      <c r="V603" s="438"/>
      <c r="W603" s="438"/>
      <c r="X603" s="439"/>
      <c r="Y603" s="2969" t="s">
        <v>122</v>
      </c>
    </row>
    <row r="604" spans="1:26" s="2345" customFormat="1" ht="12">
      <c r="A604" s="2967"/>
      <c r="B604" s="374" t="s">
        <v>22</v>
      </c>
      <c r="C604" s="375"/>
      <c r="D604" s="612">
        <f>+D605</f>
        <v>16924812</v>
      </c>
      <c r="E604" s="612"/>
      <c r="F604" s="612"/>
      <c r="G604" s="612"/>
      <c r="H604" s="612"/>
      <c r="I604" s="612"/>
      <c r="J604" s="612">
        <f>+J605</f>
        <v>951324</v>
      </c>
      <c r="K604" s="612">
        <f t="shared" ref="K604:S605" si="631">+K605</f>
        <v>919494</v>
      </c>
      <c r="L604" s="612">
        <f t="shared" si="631"/>
        <v>925672</v>
      </c>
      <c r="M604" s="612">
        <f t="shared" si="631"/>
        <v>3974490</v>
      </c>
      <c r="N604" s="612">
        <f t="shared" si="631"/>
        <v>1178000</v>
      </c>
      <c r="O604" s="612">
        <f t="shared" si="631"/>
        <v>1100322</v>
      </c>
      <c r="P604" s="612">
        <f t="shared" si="631"/>
        <v>1350000</v>
      </c>
      <c r="Q604" s="612">
        <f t="shared" si="631"/>
        <v>3500000</v>
      </c>
      <c r="R604" s="612">
        <f t="shared" si="631"/>
        <v>3500000</v>
      </c>
      <c r="S604" s="612">
        <f t="shared" si="631"/>
        <v>3500000</v>
      </c>
      <c r="T604" s="1100">
        <v>0</v>
      </c>
      <c r="U604" s="1100">
        <v>0</v>
      </c>
      <c r="V604" s="1100">
        <v>0</v>
      </c>
      <c r="W604" s="1100">
        <v>0</v>
      </c>
      <c r="X604" s="934">
        <f>+X605</f>
        <v>11850000</v>
      </c>
      <c r="Y604" s="2970"/>
      <c r="Z604" s="2344">
        <f>+O604+P604+Q604+R604</f>
        <v>9450322</v>
      </c>
    </row>
    <row r="605" spans="1:26" s="2345" customFormat="1" ht="12">
      <c r="A605" s="2967"/>
      <c r="B605" s="526" t="s">
        <v>36</v>
      </c>
      <c r="C605" s="2972" t="s">
        <v>118</v>
      </c>
      <c r="D605" s="615">
        <f>+D606</f>
        <v>16924812</v>
      </c>
      <c r="E605" s="615"/>
      <c r="F605" s="615"/>
      <c r="G605" s="615"/>
      <c r="H605" s="615"/>
      <c r="I605" s="615"/>
      <c r="J605" s="615">
        <f>+J606</f>
        <v>951324</v>
      </c>
      <c r="K605" s="615">
        <f t="shared" si="631"/>
        <v>919494</v>
      </c>
      <c r="L605" s="615">
        <f t="shared" si="631"/>
        <v>925672</v>
      </c>
      <c r="M605" s="615">
        <f t="shared" si="631"/>
        <v>3974490</v>
      </c>
      <c r="N605" s="615">
        <f t="shared" si="631"/>
        <v>1178000</v>
      </c>
      <c r="O605" s="615">
        <f t="shared" si="631"/>
        <v>1100322</v>
      </c>
      <c r="P605" s="615">
        <f t="shared" si="631"/>
        <v>1350000</v>
      </c>
      <c r="Q605" s="615">
        <f t="shared" si="631"/>
        <v>3500000</v>
      </c>
      <c r="R605" s="615">
        <f t="shared" si="631"/>
        <v>3500000</v>
      </c>
      <c r="S605" s="615">
        <f t="shared" si="631"/>
        <v>3500000</v>
      </c>
      <c r="T605" s="1101">
        <v>0</v>
      </c>
      <c r="U605" s="1101">
        <v>0</v>
      </c>
      <c r="V605" s="1101">
        <v>0</v>
      </c>
      <c r="W605" s="1101">
        <v>0</v>
      </c>
      <c r="X605" s="584">
        <f>+X606</f>
        <v>11850000</v>
      </c>
      <c r="Y605" s="2970"/>
    </row>
    <row r="606" spans="1:26" s="2345" customFormat="1" thickBot="1">
      <c r="A606" s="2968"/>
      <c r="B606" s="2370" t="s">
        <v>24</v>
      </c>
      <c r="C606" s="2973"/>
      <c r="D606" s="449">
        <f t="shared" ref="D606" si="632">M606+O606+P606+Q606+R606+S606+T606+U606+V606+W606</f>
        <v>16924812</v>
      </c>
      <c r="E606" s="491"/>
      <c r="F606" s="917"/>
      <c r="G606" s="917"/>
      <c r="H606" s="917"/>
      <c r="I606" s="919"/>
      <c r="J606" s="497">
        <f>969812-18488</f>
        <v>951324</v>
      </c>
      <c r="K606" s="918">
        <f>1150000-230506</f>
        <v>919494</v>
      </c>
      <c r="L606" s="917">
        <f>2150000-700000-500000-24328</f>
        <v>925672</v>
      </c>
      <c r="M606" s="450">
        <f>+E606+I606+J606+K606+L606+N606</f>
        <v>3974490</v>
      </c>
      <c r="N606" s="917">
        <v>1178000</v>
      </c>
      <c r="O606" s="917">
        <f>3000000-440000-1450000-9678</f>
        <v>1100322</v>
      </c>
      <c r="P606" s="917">
        <f>3000000-250000-1400000</f>
        <v>1350000</v>
      </c>
      <c r="Q606" s="917">
        <f>3000000+500000</f>
        <v>3500000</v>
      </c>
      <c r="R606" s="917">
        <f>3000000+500000</f>
        <v>3500000</v>
      </c>
      <c r="S606" s="917">
        <f>3000000+500000</f>
        <v>3500000</v>
      </c>
      <c r="T606" s="1104">
        <v>0</v>
      </c>
      <c r="U606" s="1104">
        <v>0</v>
      </c>
      <c r="V606" s="1104">
        <v>0</v>
      </c>
      <c r="W606" s="1104">
        <v>0</v>
      </c>
      <c r="X606" s="409">
        <f>SUM(P606:T606)</f>
        <v>11850000</v>
      </c>
      <c r="Y606" s="2971"/>
    </row>
    <row r="607" spans="1:26" s="2345" customFormat="1" ht="15.75" customHeight="1">
      <c r="A607" s="2966" t="s">
        <v>107</v>
      </c>
      <c r="B607" s="1073" t="s">
        <v>297</v>
      </c>
      <c r="C607" s="473" t="s">
        <v>130</v>
      </c>
      <c r="D607" s="617"/>
      <c r="E607" s="436"/>
      <c r="F607" s="437"/>
      <c r="G607" s="437"/>
      <c r="H607" s="436"/>
      <c r="I607" s="436"/>
      <c r="J607" s="436"/>
      <c r="K607" s="436"/>
      <c r="L607" s="436"/>
      <c r="M607" s="438"/>
      <c r="N607" s="438"/>
      <c r="O607" s="438"/>
      <c r="P607" s="438"/>
      <c r="Q607" s="438"/>
      <c r="R607" s="438"/>
      <c r="S607" s="438"/>
      <c r="T607" s="559"/>
      <c r="U607" s="2727"/>
      <c r="V607" s="2727"/>
      <c r="W607" s="2727"/>
      <c r="X607" s="439"/>
      <c r="Y607" s="2969" t="s">
        <v>122</v>
      </c>
    </row>
    <row r="608" spans="1:26" s="2345" customFormat="1" ht="12">
      <c r="A608" s="2967"/>
      <c r="B608" s="374" t="s">
        <v>22</v>
      </c>
      <c r="C608" s="375"/>
      <c r="D608" s="2728">
        <f>+D609</f>
        <v>644082749</v>
      </c>
      <c r="E608" s="2728"/>
      <c r="F608" s="2728"/>
      <c r="G608" s="2728"/>
      <c r="H608" s="2728"/>
      <c r="I608" s="2728"/>
      <c r="J608" s="2728"/>
      <c r="K608" s="2728"/>
      <c r="L608" s="2728">
        <f t="shared" ref="L608:X608" si="633">+L609</f>
        <v>77246948</v>
      </c>
      <c r="M608" s="2728">
        <f t="shared" si="633"/>
        <v>157023229</v>
      </c>
      <c r="N608" s="2728">
        <f t="shared" si="633"/>
        <v>79776281</v>
      </c>
      <c r="O608" s="2728">
        <f>+O609</f>
        <v>80672106</v>
      </c>
      <c r="P608" s="2728">
        <f>+P609</f>
        <v>82387414</v>
      </c>
      <c r="Q608" s="2728">
        <f t="shared" si="633"/>
        <v>81000000</v>
      </c>
      <c r="R608" s="2728">
        <f t="shared" si="633"/>
        <v>81000000</v>
      </c>
      <c r="S608" s="2728">
        <f t="shared" si="633"/>
        <v>81000000</v>
      </c>
      <c r="T608" s="2728">
        <f t="shared" si="633"/>
        <v>81000000</v>
      </c>
      <c r="U608" s="2729">
        <v>0</v>
      </c>
      <c r="V608" s="2729">
        <v>0</v>
      </c>
      <c r="W608" s="2729">
        <v>0</v>
      </c>
      <c r="X608" s="2730">
        <f t="shared" si="633"/>
        <v>406387414</v>
      </c>
      <c r="Y608" s="2970"/>
      <c r="Z608" s="2344">
        <f>+O608+P608+Q608+R608+158000000</f>
        <v>483059520</v>
      </c>
    </row>
    <row r="609" spans="1:26" s="2345" customFormat="1" ht="12">
      <c r="A609" s="2967"/>
      <c r="B609" s="526" t="s">
        <v>36</v>
      </c>
      <c r="C609" s="2976" t="s">
        <v>118</v>
      </c>
      <c r="D609" s="2731">
        <f>+D610+D611</f>
        <v>644082749</v>
      </c>
      <c r="E609" s="2731"/>
      <c r="F609" s="2731"/>
      <c r="G609" s="2731"/>
      <c r="H609" s="2731"/>
      <c r="I609" s="2731"/>
      <c r="J609" s="2731"/>
      <c r="K609" s="2731"/>
      <c r="L609" s="2731">
        <f t="shared" ref="L609:R609" si="634">+L610+L611</f>
        <v>77246948</v>
      </c>
      <c r="M609" s="2731">
        <f t="shared" ref="M609" si="635">+M610+M611</f>
        <v>157023229</v>
      </c>
      <c r="N609" s="2731">
        <f t="shared" si="634"/>
        <v>79776281</v>
      </c>
      <c r="O609" s="2731">
        <f>+O610+O611</f>
        <v>80672106</v>
      </c>
      <c r="P609" s="2731">
        <f>+P610+P611</f>
        <v>82387414</v>
      </c>
      <c r="Q609" s="2731">
        <f t="shared" si="634"/>
        <v>81000000</v>
      </c>
      <c r="R609" s="2731">
        <f t="shared" si="634"/>
        <v>81000000</v>
      </c>
      <c r="S609" s="2731">
        <f t="shared" ref="S609:T609" si="636">+S610+S611</f>
        <v>81000000</v>
      </c>
      <c r="T609" s="2731">
        <f t="shared" si="636"/>
        <v>81000000</v>
      </c>
      <c r="U609" s="1255">
        <v>0</v>
      </c>
      <c r="V609" s="1255">
        <v>0</v>
      </c>
      <c r="W609" s="1255">
        <v>0</v>
      </c>
      <c r="X609" s="1256">
        <f>+X610+X611</f>
        <v>406387414</v>
      </c>
      <c r="Y609" s="2970"/>
    </row>
    <row r="610" spans="1:26" s="2345" customFormat="1" ht="12">
      <c r="A610" s="2967"/>
      <c r="B610" s="2371" t="s">
        <v>24</v>
      </c>
      <c r="C610" s="2977"/>
      <c r="D610" s="1257">
        <f t="shared" ref="D610:D611" si="637">M610+O610+P610+Q610+R610+S610+T610+U610+V610+W610</f>
        <v>639387771</v>
      </c>
      <c r="E610" s="1259"/>
      <c r="F610" s="1270"/>
      <c r="G610" s="1270"/>
      <c r="H610" s="1270"/>
      <c r="I610" s="2732"/>
      <c r="J610" s="1258"/>
      <c r="K610" s="2733"/>
      <c r="L610" s="1270">
        <f>77000000+700000-658679</f>
        <v>77041321</v>
      </c>
      <c r="M610" s="1260">
        <f>+E610+I610+J610+K610+L610+N610</f>
        <v>155607978</v>
      </c>
      <c r="N610" s="1270">
        <v>78566657</v>
      </c>
      <c r="O610" s="1270">
        <f>77000000+2000000+40000-19207</f>
        <v>79020793</v>
      </c>
      <c r="P610" s="1270">
        <v>80759000</v>
      </c>
      <c r="Q610" s="1270">
        <f>79000000+2000000</f>
        <v>81000000</v>
      </c>
      <c r="R610" s="1270">
        <f>79000000+2000000</f>
        <v>81000000</v>
      </c>
      <c r="S610" s="1270">
        <f>79000000+2000000</f>
        <v>81000000</v>
      </c>
      <c r="T610" s="1270">
        <f>79000000+2000000</f>
        <v>81000000</v>
      </c>
      <c r="U610" s="2734">
        <v>0</v>
      </c>
      <c r="V610" s="2734">
        <v>0</v>
      </c>
      <c r="W610" s="2734">
        <v>0</v>
      </c>
      <c r="X610" s="1262">
        <f>SUM(P610:T610)</f>
        <v>404759000</v>
      </c>
      <c r="Y610" s="2970"/>
    </row>
    <row r="611" spans="1:26" s="2345" customFormat="1" ht="12">
      <c r="A611" s="2967"/>
      <c r="B611" s="2060" t="s">
        <v>27</v>
      </c>
      <c r="C611" s="2657"/>
      <c r="D611" s="1257">
        <f t="shared" si="637"/>
        <v>4694978</v>
      </c>
      <c r="E611" s="775"/>
      <c r="F611" s="857"/>
      <c r="G611" s="857"/>
      <c r="H611" s="857"/>
      <c r="I611" s="915"/>
      <c r="J611" s="915"/>
      <c r="K611" s="915"/>
      <c r="L611" s="857">
        <f>220000-14373</f>
        <v>205627</v>
      </c>
      <c r="M611" s="1260">
        <f>+E611+I611+J611+K611+L611+N611</f>
        <v>1415251</v>
      </c>
      <c r="N611" s="857">
        <v>1209624</v>
      </c>
      <c r="O611" s="857">
        <f>1447218+230000-25905</f>
        <v>1651313</v>
      </c>
      <c r="P611" s="857">
        <f>1398414+230000</f>
        <v>1628414</v>
      </c>
      <c r="Q611" s="2735">
        <v>0</v>
      </c>
      <c r="R611" s="2735">
        <v>0</v>
      </c>
      <c r="S611" s="2736">
        <v>0</v>
      </c>
      <c r="T611" s="2736">
        <v>0</v>
      </c>
      <c r="U611" s="2737">
        <v>0</v>
      </c>
      <c r="V611" s="2737">
        <v>0</v>
      </c>
      <c r="W611" s="2737">
        <v>0</v>
      </c>
      <c r="X611" s="1262">
        <f>SUM(P611:T611)</f>
        <v>1628414</v>
      </c>
      <c r="Y611" s="2970"/>
    </row>
    <row r="612" spans="1:26" s="2345" customFormat="1" ht="12">
      <c r="A612" s="2967"/>
      <c r="B612" s="374" t="s">
        <v>34</v>
      </c>
      <c r="C612" s="375"/>
      <c r="D612" s="2728">
        <f>+D613</f>
        <v>73788511</v>
      </c>
      <c r="E612" s="2728"/>
      <c r="F612" s="2728">
        <f t="shared" ref="F612:T612" si="638">+F613</f>
        <v>0</v>
      </c>
      <c r="G612" s="2728">
        <f t="shared" si="638"/>
        <v>0</v>
      </c>
      <c r="H612" s="2728">
        <f t="shared" si="638"/>
        <v>0</v>
      </c>
      <c r="I612" s="2728"/>
      <c r="J612" s="2728"/>
      <c r="K612" s="2728"/>
      <c r="L612" s="2728">
        <f t="shared" si="638"/>
        <v>205627</v>
      </c>
      <c r="M612" s="2728">
        <f t="shared" si="638"/>
        <v>1415251</v>
      </c>
      <c r="N612" s="2728">
        <f t="shared" si="638"/>
        <v>1209624</v>
      </c>
      <c r="O612" s="2728">
        <f t="shared" si="638"/>
        <v>12244846</v>
      </c>
      <c r="P612" s="2728">
        <f t="shared" si="638"/>
        <v>12128414</v>
      </c>
      <c r="Q612" s="2738">
        <f t="shared" si="638"/>
        <v>12000000</v>
      </c>
      <c r="R612" s="2738">
        <f t="shared" si="638"/>
        <v>12000000</v>
      </c>
      <c r="S612" s="2738">
        <f t="shared" si="638"/>
        <v>12000000</v>
      </c>
      <c r="T612" s="2738">
        <f t="shared" si="638"/>
        <v>12000000</v>
      </c>
      <c r="U612" s="2739">
        <v>0</v>
      </c>
      <c r="V612" s="2739">
        <v>0</v>
      </c>
      <c r="W612" s="2739">
        <v>0</v>
      </c>
      <c r="X612" s="2945" t="s">
        <v>35</v>
      </c>
      <c r="Y612" s="2970"/>
    </row>
    <row r="613" spans="1:26" s="2345" customFormat="1" ht="12">
      <c r="A613" s="2967"/>
      <c r="B613" s="526" t="s">
        <v>36</v>
      </c>
      <c r="C613" s="2976" t="s">
        <v>118</v>
      </c>
      <c r="D613" s="2731">
        <f>+D614+D615</f>
        <v>73788511</v>
      </c>
      <c r="E613" s="2731">
        <f t="shared" ref="E613:R613" si="639">+E614+E615</f>
        <v>0</v>
      </c>
      <c r="F613" s="2731">
        <f t="shared" si="639"/>
        <v>0</v>
      </c>
      <c r="G613" s="2731">
        <f t="shared" si="639"/>
        <v>0</v>
      </c>
      <c r="H613" s="2731">
        <f t="shared" si="639"/>
        <v>0</v>
      </c>
      <c r="I613" s="2731">
        <f t="shared" si="639"/>
        <v>0</v>
      </c>
      <c r="J613" s="2731">
        <f t="shared" si="639"/>
        <v>0</v>
      </c>
      <c r="K613" s="2731">
        <f t="shared" si="639"/>
        <v>0</v>
      </c>
      <c r="L613" s="2731">
        <f t="shared" si="639"/>
        <v>205627</v>
      </c>
      <c r="M613" s="2731">
        <f t="shared" si="639"/>
        <v>1415251</v>
      </c>
      <c r="N613" s="2731">
        <f t="shared" si="639"/>
        <v>1209624</v>
      </c>
      <c r="O613" s="2731">
        <f t="shared" si="639"/>
        <v>12244846</v>
      </c>
      <c r="P613" s="2731">
        <f t="shared" si="639"/>
        <v>12128414</v>
      </c>
      <c r="Q613" s="2731">
        <f t="shared" si="639"/>
        <v>12000000</v>
      </c>
      <c r="R613" s="2731">
        <f t="shared" si="639"/>
        <v>12000000</v>
      </c>
      <c r="S613" s="2731">
        <f t="shared" ref="S613:T613" si="640">+S614+S615</f>
        <v>12000000</v>
      </c>
      <c r="T613" s="2731">
        <f t="shared" si="640"/>
        <v>12000000</v>
      </c>
      <c r="U613" s="1255">
        <v>0</v>
      </c>
      <c r="V613" s="1255">
        <v>0</v>
      </c>
      <c r="W613" s="1255">
        <v>0</v>
      </c>
      <c r="X613" s="2946"/>
      <c r="Y613" s="2970"/>
    </row>
    <row r="614" spans="1:26" s="2345" customFormat="1" ht="12">
      <c r="A614" s="2967"/>
      <c r="B614" s="2740" t="s">
        <v>302</v>
      </c>
      <c r="C614" s="2975"/>
      <c r="D614" s="1257">
        <f>M614+O614+P614+Q614+R614+S614+T614+U614+V614+W614</f>
        <v>69093533</v>
      </c>
      <c r="E614" s="2741"/>
      <c r="F614" s="2741"/>
      <c r="G614" s="2741"/>
      <c r="H614" s="2741"/>
      <c r="I614" s="2741"/>
      <c r="J614" s="2741"/>
      <c r="K614" s="2741"/>
      <c r="L614" s="2741"/>
      <c r="M614" s="1260">
        <f>+E614+I614+J614+K614+L614+N614</f>
        <v>0</v>
      </c>
      <c r="N614" s="2741"/>
      <c r="O614" s="1271">
        <f>8500000+40000+1960000+93533</f>
        <v>10593533</v>
      </c>
      <c r="P614" s="1271">
        <f>10500000</f>
        <v>10500000</v>
      </c>
      <c r="Q614" s="1271">
        <f>10500000+1500000</f>
        <v>12000000</v>
      </c>
      <c r="R614" s="1271">
        <f>10500000+1500000</f>
        <v>12000000</v>
      </c>
      <c r="S614" s="1271">
        <f t="shared" ref="S614:T614" si="641">10500000+1500000</f>
        <v>12000000</v>
      </c>
      <c r="T614" s="1271">
        <f t="shared" si="641"/>
        <v>12000000</v>
      </c>
      <c r="U614" s="2742">
        <v>0</v>
      </c>
      <c r="V614" s="2742">
        <v>0</v>
      </c>
      <c r="W614" s="2742">
        <v>0</v>
      </c>
      <c r="X614" s="2946"/>
      <c r="Y614" s="2970"/>
    </row>
    <row r="615" spans="1:26" s="2345" customFormat="1" ht="12" customHeight="1" thickBot="1">
      <c r="A615" s="2968"/>
      <c r="B615" s="2364" t="s">
        <v>27</v>
      </c>
      <c r="C615" s="2973"/>
      <c r="D615" s="1221">
        <f t="shared" ref="D615" si="642">M615+O615+P615+Q615+R615+S615+T615+U615+V615+W615</f>
        <v>4694978</v>
      </c>
      <c r="E615" s="491"/>
      <c r="F615" s="917"/>
      <c r="G615" s="917"/>
      <c r="H615" s="917"/>
      <c r="I615" s="918"/>
      <c r="J615" s="918"/>
      <c r="K615" s="918"/>
      <c r="L615" s="497">
        <f>220000-14373</f>
        <v>205627</v>
      </c>
      <c r="M615" s="1221">
        <f>+E615+I615+J615+K615+L615+N615</f>
        <v>1415251</v>
      </c>
      <c r="N615" s="497">
        <v>1209624</v>
      </c>
      <c r="O615" s="497">
        <f>1447218+230000-25905</f>
        <v>1651313</v>
      </c>
      <c r="P615" s="497">
        <f>1398414+230000</f>
        <v>1628414</v>
      </c>
      <c r="Q615" s="497">
        <v>0</v>
      </c>
      <c r="R615" s="497">
        <v>0</v>
      </c>
      <c r="S615" s="1107">
        <v>0</v>
      </c>
      <c r="T615" s="1107">
        <v>0</v>
      </c>
      <c r="U615" s="1107">
        <v>0</v>
      </c>
      <c r="V615" s="1107">
        <v>0</v>
      </c>
      <c r="W615" s="1107">
        <v>0</v>
      </c>
      <c r="X615" s="2947"/>
      <c r="Y615" s="2971"/>
    </row>
    <row r="616" spans="1:26" s="2345" customFormat="1" hidden="1" thickBot="1">
      <c r="A616" s="2966"/>
      <c r="B616" s="1073"/>
      <c r="C616" s="473" t="s">
        <v>130</v>
      </c>
      <c r="D616" s="617"/>
      <c r="E616" s="436"/>
      <c r="F616" s="437"/>
      <c r="G616" s="437"/>
      <c r="H616" s="436"/>
      <c r="I616" s="436"/>
      <c r="J616" s="436"/>
      <c r="K616" s="436"/>
      <c r="L616" s="436"/>
      <c r="M616" s="438"/>
      <c r="N616" s="438"/>
      <c r="O616" s="438"/>
      <c r="P616" s="438"/>
      <c r="Q616" s="438"/>
      <c r="R616" s="438"/>
      <c r="S616" s="438"/>
      <c r="T616" s="438"/>
      <c r="U616" s="438"/>
      <c r="V616" s="438"/>
      <c r="W616" s="438"/>
      <c r="X616" s="439"/>
      <c r="Y616" s="2969" t="s">
        <v>122</v>
      </c>
    </row>
    <row r="617" spans="1:26" s="2345" customFormat="1" hidden="1" thickBot="1">
      <c r="A617" s="2967"/>
      <c r="B617" s="374" t="s">
        <v>22</v>
      </c>
      <c r="C617" s="375"/>
      <c r="D617" s="612">
        <f>+D618</f>
        <v>0</v>
      </c>
      <c r="E617" s="612"/>
      <c r="F617" s="612"/>
      <c r="G617" s="612"/>
      <c r="H617" s="612"/>
      <c r="I617" s="612"/>
      <c r="J617" s="612"/>
      <c r="K617" s="612"/>
      <c r="L617" s="612">
        <f t="shared" ref="L617:N618" si="643">+L618</f>
        <v>0</v>
      </c>
      <c r="M617" s="612">
        <f t="shared" si="643"/>
        <v>0</v>
      </c>
      <c r="N617" s="612">
        <f t="shared" si="643"/>
        <v>0</v>
      </c>
      <c r="O617" s="612"/>
      <c r="P617" s="612"/>
      <c r="Q617" s="612"/>
      <c r="R617" s="612"/>
      <c r="S617" s="612"/>
      <c r="T617" s="612"/>
      <c r="U617" s="1175"/>
      <c r="V617" s="1175"/>
      <c r="W617" s="1175"/>
      <c r="X617" s="541"/>
      <c r="Y617" s="2970"/>
      <c r="Z617" s="2344">
        <f>+O617+P617+Q617+R617</f>
        <v>0</v>
      </c>
    </row>
    <row r="618" spans="1:26" s="2345" customFormat="1" hidden="1" thickBot="1">
      <c r="A618" s="2967"/>
      <c r="B618" s="526" t="s">
        <v>36</v>
      </c>
      <c r="C618" s="2372" t="s">
        <v>118</v>
      </c>
      <c r="D618" s="615">
        <f>+D619</f>
        <v>0</v>
      </c>
      <c r="E618" s="615"/>
      <c r="F618" s="615"/>
      <c r="G618" s="615"/>
      <c r="H618" s="615"/>
      <c r="I618" s="615"/>
      <c r="J618" s="615"/>
      <c r="K618" s="615"/>
      <c r="L618" s="615">
        <f t="shared" si="643"/>
        <v>0</v>
      </c>
      <c r="M618" s="615">
        <f t="shared" si="643"/>
        <v>0</v>
      </c>
      <c r="N618" s="615">
        <f t="shared" si="643"/>
        <v>0</v>
      </c>
      <c r="O618" s="615"/>
      <c r="P618" s="615"/>
      <c r="Q618" s="615"/>
      <c r="R618" s="615"/>
      <c r="S618" s="615"/>
      <c r="T618" s="615"/>
      <c r="U618" s="1174"/>
      <c r="V618" s="1174"/>
      <c r="W618" s="1174"/>
      <c r="X618" s="483"/>
      <c r="Y618" s="2970"/>
    </row>
    <row r="619" spans="1:26" s="2345" customFormat="1" hidden="1" thickBot="1">
      <c r="A619" s="2967"/>
      <c r="B619" s="2367" t="s">
        <v>24</v>
      </c>
      <c r="C619" s="2373"/>
      <c r="D619" s="466">
        <f>SUM(M619:T619)</f>
        <v>0</v>
      </c>
      <c r="E619" s="456"/>
      <c r="F619" s="530"/>
      <c r="G619" s="530"/>
      <c r="H619" s="530"/>
      <c r="I619" s="616"/>
      <c r="J619" s="494"/>
      <c r="K619" s="529"/>
      <c r="L619" s="530"/>
      <c r="M619" s="775">
        <f>L619+E619+I619+J619+K619</f>
        <v>0</v>
      </c>
      <c r="N619" s="530"/>
      <c r="O619" s="530"/>
      <c r="P619" s="530"/>
      <c r="Q619" s="530"/>
      <c r="R619" s="530"/>
      <c r="S619" s="530"/>
      <c r="T619" s="530"/>
      <c r="U619" s="926"/>
      <c r="V619" s="926"/>
      <c r="W619" s="926"/>
      <c r="X619" s="486"/>
      <c r="Y619" s="2970"/>
    </row>
    <row r="620" spans="1:26" s="2345" customFormat="1" ht="14.25" customHeight="1">
      <c r="A620" s="2966" t="s">
        <v>108</v>
      </c>
      <c r="B620" s="1073" t="s">
        <v>496</v>
      </c>
      <c r="C620" s="473" t="s">
        <v>130</v>
      </c>
      <c r="D620" s="436"/>
      <c r="E620" s="436"/>
      <c r="F620" s="437"/>
      <c r="G620" s="437"/>
      <c r="H620" s="436"/>
      <c r="I620" s="436"/>
      <c r="J620" s="436"/>
      <c r="K620" s="436"/>
      <c r="L620" s="436"/>
      <c r="M620" s="438"/>
      <c r="N620" s="438"/>
      <c r="O620" s="438"/>
      <c r="P620" s="438"/>
      <c r="Q620" s="438"/>
      <c r="R620" s="438"/>
      <c r="S620" s="438"/>
      <c r="T620" s="438"/>
      <c r="U620" s="438"/>
      <c r="V620" s="438"/>
      <c r="W620" s="438"/>
      <c r="X620" s="439"/>
      <c r="Y620" s="2969" t="s">
        <v>104</v>
      </c>
    </row>
    <row r="621" spans="1:26" s="2345" customFormat="1" ht="12">
      <c r="A621" s="2967"/>
      <c r="B621" s="374" t="s">
        <v>22</v>
      </c>
      <c r="C621" s="375"/>
      <c r="D621" s="612">
        <f>+D622</f>
        <v>105963421</v>
      </c>
      <c r="E621" s="612"/>
      <c r="F621" s="612"/>
      <c r="G621" s="612"/>
      <c r="H621" s="612"/>
      <c r="I621" s="612"/>
      <c r="J621" s="612">
        <f t="shared" ref="J621:S621" si="644">+J622</f>
        <v>13756407</v>
      </c>
      <c r="K621" s="612">
        <f t="shared" si="644"/>
        <v>10539236</v>
      </c>
      <c r="L621" s="612">
        <f t="shared" si="644"/>
        <v>18766825</v>
      </c>
      <c r="M621" s="612">
        <f t="shared" si="644"/>
        <v>49581805</v>
      </c>
      <c r="N621" s="612">
        <f t="shared" si="644"/>
        <v>6519337</v>
      </c>
      <c r="O621" s="612">
        <f t="shared" si="644"/>
        <v>6532090</v>
      </c>
      <c r="P621" s="612">
        <f t="shared" si="644"/>
        <v>10548671</v>
      </c>
      <c r="Q621" s="612">
        <f t="shared" si="644"/>
        <v>14300855</v>
      </c>
      <c r="R621" s="612">
        <f t="shared" si="644"/>
        <v>13000000</v>
      </c>
      <c r="S621" s="612">
        <f t="shared" si="644"/>
        <v>12000000</v>
      </c>
      <c r="T621" s="1100">
        <v>0</v>
      </c>
      <c r="U621" s="1100">
        <v>0</v>
      </c>
      <c r="V621" s="1100">
        <v>0</v>
      </c>
      <c r="W621" s="1100">
        <v>0</v>
      </c>
      <c r="X621" s="480">
        <f>+X622</f>
        <v>49849526</v>
      </c>
      <c r="Y621" s="2970"/>
      <c r="Z621" s="2344">
        <f>+O621+P621+Q621+R621</f>
        <v>44381616</v>
      </c>
    </row>
    <row r="622" spans="1:26" s="2345" customFormat="1" ht="12">
      <c r="A622" s="2967"/>
      <c r="B622" s="526" t="s">
        <v>36</v>
      </c>
      <c r="C622" s="2972" t="s">
        <v>101</v>
      </c>
      <c r="D622" s="615">
        <f>+D623+D624</f>
        <v>105963421</v>
      </c>
      <c r="E622" s="615">
        <f t="shared" ref="E622:R622" si="645">+E623+E624</f>
        <v>0</v>
      </c>
      <c r="F622" s="615">
        <f t="shared" si="645"/>
        <v>0</v>
      </c>
      <c r="G622" s="615">
        <f t="shared" si="645"/>
        <v>0</v>
      </c>
      <c r="H622" s="615">
        <f t="shared" si="645"/>
        <v>0</v>
      </c>
      <c r="I622" s="615">
        <f t="shared" si="645"/>
        <v>0</v>
      </c>
      <c r="J622" s="615">
        <f t="shared" si="645"/>
        <v>13756407</v>
      </c>
      <c r="K622" s="615">
        <f t="shared" si="645"/>
        <v>10539236</v>
      </c>
      <c r="L622" s="615">
        <f t="shared" si="645"/>
        <v>18766825</v>
      </c>
      <c r="M622" s="615">
        <f t="shared" si="645"/>
        <v>49581805</v>
      </c>
      <c r="N622" s="615">
        <f t="shared" si="645"/>
        <v>6519337</v>
      </c>
      <c r="O622" s="615">
        <f t="shared" si="645"/>
        <v>6532090</v>
      </c>
      <c r="P622" s="615">
        <f t="shared" si="645"/>
        <v>10548671</v>
      </c>
      <c r="Q622" s="615">
        <f t="shared" si="645"/>
        <v>14300855</v>
      </c>
      <c r="R622" s="615">
        <f t="shared" si="645"/>
        <v>13000000</v>
      </c>
      <c r="S622" s="615">
        <f t="shared" ref="S622" si="646">+S623+S624</f>
        <v>12000000</v>
      </c>
      <c r="T622" s="1101">
        <v>0</v>
      </c>
      <c r="U622" s="1101">
        <v>0</v>
      </c>
      <c r="V622" s="1101">
        <v>0</v>
      </c>
      <c r="W622" s="1101">
        <v>0</v>
      </c>
      <c r="X622" s="502">
        <f>+X623+X624</f>
        <v>49849526</v>
      </c>
      <c r="Y622" s="2970"/>
    </row>
    <row r="623" spans="1:26" s="2345" customFormat="1" ht="12">
      <c r="A623" s="2967"/>
      <c r="B623" s="2371" t="s">
        <v>24</v>
      </c>
      <c r="C623" s="2975"/>
      <c r="D623" s="449">
        <f t="shared" ref="D623:D624" si="647">M623+O623+P623+Q623+R623+S623+T623+U623+V623+W623</f>
        <v>100009303</v>
      </c>
      <c r="E623" s="454"/>
      <c r="F623" s="485"/>
      <c r="G623" s="485"/>
      <c r="H623" s="485"/>
      <c r="I623" s="1102"/>
      <c r="J623" s="487">
        <f>16277106-2520699</f>
        <v>13756407</v>
      </c>
      <c r="K623" s="1103">
        <f>10500000+40350-1114</f>
        <v>10539236</v>
      </c>
      <c r="L623" s="485">
        <f>13364000+3000000+120000+3000000-717175</f>
        <v>18766825</v>
      </c>
      <c r="M623" s="450">
        <f>+E623+I623+J623+K623+L623+N623</f>
        <v>49581805</v>
      </c>
      <c r="N623" s="487">
        <f>13738192-18000-6500000-700855</f>
        <v>6519337</v>
      </c>
      <c r="O623" s="487">
        <f>14122861+717175-2801143+961107-1000000-2000000-7051000-2371028</f>
        <v>577972</v>
      </c>
      <c r="P623" s="487">
        <f>14518301-1518301+1400000-3851329</f>
        <v>10548671</v>
      </c>
      <c r="Q623" s="487">
        <f>15244216-2244216+1300855</f>
        <v>14300855</v>
      </c>
      <c r="R623" s="487">
        <f>11286227+1713773</f>
        <v>13000000</v>
      </c>
      <c r="S623" s="487">
        <v>12000000</v>
      </c>
      <c r="T623" s="1104">
        <v>0</v>
      </c>
      <c r="U623" s="1104">
        <v>0</v>
      </c>
      <c r="V623" s="1104">
        <v>0</v>
      </c>
      <c r="W623" s="1104">
        <v>0</v>
      </c>
      <c r="X623" s="409">
        <f>SUM(P623:T623)</f>
        <v>49849526</v>
      </c>
      <c r="Y623" s="2970"/>
    </row>
    <row r="624" spans="1:26" s="2345" customFormat="1" ht="12">
      <c r="A624" s="2967"/>
      <c r="B624" s="641" t="s">
        <v>127</v>
      </c>
      <c r="C624" s="2977"/>
      <c r="D624" s="449">
        <f t="shared" si="647"/>
        <v>5954118</v>
      </c>
      <c r="E624" s="456"/>
      <c r="F624" s="494"/>
      <c r="G624" s="494"/>
      <c r="H624" s="494"/>
      <c r="I624" s="494"/>
      <c r="J624" s="494"/>
      <c r="K624" s="532"/>
      <c r="L624" s="494"/>
      <c r="M624" s="1227">
        <f>+E624+I624+J624+K624+L624+N624</f>
        <v>0</v>
      </c>
      <c r="N624" s="1105">
        <v>0</v>
      </c>
      <c r="O624" s="494">
        <f>7051000-1096882</f>
        <v>5954118</v>
      </c>
      <c r="P624" s="1105">
        <v>0</v>
      </c>
      <c r="Q624" s="1105">
        <v>0</v>
      </c>
      <c r="R624" s="1105">
        <v>0</v>
      </c>
      <c r="S624" s="1105">
        <v>0</v>
      </c>
      <c r="T624" s="1105">
        <v>0</v>
      </c>
      <c r="U624" s="1076">
        <v>0</v>
      </c>
      <c r="V624" s="1076">
        <v>0</v>
      </c>
      <c r="W624" s="1076">
        <v>0</v>
      </c>
      <c r="X624" s="409">
        <f>SUM(P624:T624)</f>
        <v>0</v>
      </c>
      <c r="Y624" s="2970"/>
    </row>
    <row r="625" spans="1:26" s="2345" customFormat="1" ht="12">
      <c r="A625" s="2967"/>
      <c r="B625" s="505" t="s">
        <v>34</v>
      </c>
      <c r="C625" s="375"/>
      <c r="D625" s="612">
        <f>+D626</f>
        <v>5954118</v>
      </c>
      <c r="E625" s="612"/>
      <c r="F625" s="612"/>
      <c r="G625" s="612"/>
      <c r="H625" s="612"/>
      <c r="I625" s="612"/>
      <c r="J625" s="612"/>
      <c r="K625" s="612"/>
      <c r="L625" s="612"/>
      <c r="M625" s="1100">
        <v>0</v>
      </c>
      <c r="N625" s="1100">
        <v>0</v>
      </c>
      <c r="O625" s="612">
        <f>+O626</f>
        <v>5954118</v>
      </c>
      <c r="P625" s="1100">
        <v>0</v>
      </c>
      <c r="Q625" s="1100">
        <v>0</v>
      </c>
      <c r="R625" s="1100">
        <v>0</v>
      </c>
      <c r="S625" s="1100">
        <v>0</v>
      </c>
      <c r="T625" s="1100">
        <v>0</v>
      </c>
      <c r="U625" s="1100">
        <v>0</v>
      </c>
      <c r="V625" s="1100">
        <v>0</v>
      </c>
      <c r="W625" s="1100">
        <v>0</v>
      </c>
      <c r="X625" s="2948" t="s">
        <v>35</v>
      </c>
      <c r="Y625" s="2970"/>
    </row>
    <row r="626" spans="1:26" s="2345" customFormat="1" ht="12">
      <c r="A626" s="2967"/>
      <c r="B626" s="526" t="s">
        <v>36</v>
      </c>
      <c r="C626" s="2972" t="s">
        <v>101</v>
      </c>
      <c r="D626" s="460">
        <f>+D627</f>
        <v>5954118</v>
      </c>
      <c r="E626" s="552"/>
      <c r="F626" s="481"/>
      <c r="G626" s="481"/>
      <c r="H626" s="551"/>
      <c r="I626" s="551"/>
      <c r="J626" s="551"/>
      <c r="K626" s="759"/>
      <c r="L626" s="551"/>
      <c r="M626" s="853"/>
      <c r="N626" s="1084">
        <v>0</v>
      </c>
      <c r="O626" s="551">
        <f>+O627</f>
        <v>5954118</v>
      </c>
      <c r="P626" s="1084">
        <v>0</v>
      </c>
      <c r="Q626" s="1084">
        <v>0</v>
      </c>
      <c r="R626" s="1084">
        <v>0</v>
      </c>
      <c r="S626" s="1106">
        <v>0</v>
      </c>
      <c r="T626" s="1084">
        <v>0</v>
      </c>
      <c r="U626" s="1084">
        <v>0</v>
      </c>
      <c r="V626" s="1084">
        <v>0</v>
      </c>
      <c r="W626" s="1084">
        <v>0</v>
      </c>
      <c r="X626" s="2949"/>
      <c r="Y626" s="2970"/>
    </row>
    <row r="627" spans="1:26" s="2345" customFormat="1" thickBot="1">
      <c r="A627" s="2968"/>
      <c r="B627" s="1162" t="s">
        <v>25</v>
      </c>
      <c r="C627" s="2973"/>
      <c r="D627" s="1221">
        <f t="shared" ref="D627" si="648">M627+O627+P627+Q627+R627+S627+T627+U627+V627+W627</f>
        <v>5954118</v>
      </c>
      <c r="E627" s="491"/>
      <c r="F627" s="917"/>
      <c r="G627" s="917"/>
      <c r="H627" s="497"/>
      <c r="I627" s="497"/>
      <c r="J627" s="497"/>
      <c r="K627" s="783"/>
      <c r="L627" s="497"/>
      <c r="M627" s="1228">
        <f>+E627+I627+J627+K627+L627+N627</f>
        <v>0</v>
      </c>
      <c r="N627" s="1107">
        <v>0</v>
      </c>
      <c r="O627" s="497">
        <f>7051000-1096882</f>
        <v>5954118</v>
      </c>
      <c r="P627" s="1107">
        <v>0</v>
      </c>
      <c r="Q627" s="1107">
        <v>0</v>
      </c>
      <c r="R627" s="1107">
        <v>0</v>
      </c>
      <c r="S627" s="1108">
        <v>0</v>
      </c>
      <c r="T627" s="1107">
        <v>0</v>
      </c>
      <c r="U627" s="1107">
        <v>0</v>
      </c>
      <c r="V627" s="1107">
        <v>0</v>
      </c>
      <c r="W627" s="1107">
        <v>0</v>
      </c>
      <c r="X627" s="2950"/>
      <c r="Y627" s="2971"/>
    </row>
    <row r="628" spans="1:26" s="2345" customFormat="1" ht="24.75" customHeight="1">
      <c r="A628" s="2966" t="s">
        <v>109</v>
      </c>
      <c r="B628" s="1073" t="s">
        <v>497</v>
      </c>
      <c r="C628" s="473" t="s">
        <v>130</v>
      </c>
      <c r="D628" s="436"/>
      <c r="E628" s="436"/>
      <c r="F628" s="437"/>
      <c r="G628" s="437"/>
      <c r="H628" s="436"/>
      <c r="I628" s="436"/>
      <c r="J628" s="436"/>
      <c r="K628" s="436"/>
      <c r="L628" s="436"/>
      <c r="M628" s="436"/>
      <c r="N628" s="436"/>
      <c r="O628" s="436"/>
      <c r="P628" s="436"/>
      <c r="Q628" s="436"/>
      <c r="R628" s="436"/>
      <c r="S628" s="438"/>
      <c r="T628" s="438"/>
      <c r="U628" s="438"/>
      <c r="V628" s="438"/>
      <c r="W628" s="438"/>
      <c r="X628" s="439"/>
      <c r="Y628" s="2969" t="s">
        <v>104</v>
      </c>
    </row>
    <row r="629" spans="1:26" s="2345" customFormat="1" ht="12">
      <c r="A629" s="2967"/>
      <c r="B629" s="374" t="s">
        <v>22</v>
      </c>
      <c r="C629" s="375"/>
      <c r="D629" s="612">
        <f>+D630</f>
        <v>9023106</v>
      </c>
      <c r="E629" s="612"/>
      <c r="F629" s="612"/>
      <c r="G629" s="612"/>
      <c r="H629" s="612"/>
      <c r="I629" s="612"/>
      <c r="J629" s="612">
        <f t="shared" ref="J629:S629" si="649">+J630</f>
        <v>806409</v>
      </c>
      <c r="K629" s="612">
        <f t="shared" si="649"/>
        <v>831715</v>
      </c>
      <c r="L629" s="612">
        <f t="shared" si="649"/>
        <v>908119</v>
      </c>
      <c r="M629" s="612">
        <f t="shared" si="649"/>
        <v>3481428</v>
      </c>
      <c r="N629" s="612">
        <f t="shared" si="649"/>
        <v>935185</v>
      </c>
      <c r="O629" s="612">
        <f t="shared" si="649"/>
        <v>1081746</v>
      </c>
      <c r="P629" s="612">
        <f t="shared" si="649"/>
        <v>1091205</v>
      </c>
      <c r="Q629" s="612">
        <f t="shared" si="649"/>
        <v>1097126</v>
      </c>
      <c r="R629" s="612">
        <f t="shared" si="649"/>
        <v>1106601</v>
      </c>
      <c r="S629" s="612">
        <f t="shared" si="649"/>
        <v>1165000</v>
      </c>
      <c r="T629" s="1100">
        <v>0</v>
      </c>
      <c r="U629" s="1100">
        <v>0</v>
      </c>
      <c r="V629" s="1100">
        <v>0</v>
      </c>
      <c r="W629" s="1100">
        <v>0</v>
      </c>
      <c r="X629" s="480">
        <f>+X630</f>
        <v>4459932</v>
      </c>
      <c r="Y629" s="2970"/>
      <c r="Z629" s="2344">
        <f>+O629+P629+Q629+R629</f>
        <v>4376678</v>
      </c>
    </row>
    <row r="630" spans="1:26" s="2345" customFormat="1" ht="12">
      <c r="A630" s="2967"/>
      <c r="B630" s="526" t="s">
        <v>36</v>
      </c>
      <c r="C630" s="2972" t="s">
        <v>101</v>
      </c>
      <c r="D630" s="615">
        <f>+D631+D632</f>
        <v>9023106</v>
      </c>
      <c r="E630" s="615">
        <f t="shared" ref="E630:R630" si="650">+E631+E632</f>
        <v>0</v>
      </c>
      <c r="F630" s="615">
        <f t="shared" si="650"/>
        <v>0</v>
      </c>
      <c r="G630" s="615">
        <f t="shared" si="650"/>
        <v>0</v>
      </c>
      <c r="H630" s="615">
        <f t="shared" si="650"/>
        <v>0</v>
      </c>
      <c r="I630" s="615">
        <f t="shared" si="650"/>
        <v>0</v>
      </c>
      <c r="J630" s="615">
        <f t="shared" si="650"/>
        <v>806409</v>
      </c>
      <c r="K630" s="615">
        <f t="shared" si="650"/>
        <v>831715</v>
      </c>
      <c r="L630" s="615">
        <f t="shared" si="650"/>
        <v>908119</v>
      </c>
      <c r="M630" s="615">
        <f t="shared" si="650"/>
        <v>3481428</v>
      </c>
      <c r="N630" s="615">
        <f t="shared" si="650"/>
        <v>935185</v>
      </c>
      <c r="O630" s="615">
        <f t="shared" si="650"/>
        <v>1081746</v>
      </c>
      <c r="P630" s="615">
        <f t="shared" si="650"/>
        <v>1091205</v>
      </c>
      <c r="Q630" s="615">
        <f t="shared" si="650"/>
        <v>1097126</v>
      </c>
      <c r="R630" s="615">
        <f t="shared" si="650"/>
        <v>1106601</v>
      </c>
      <c r="S630" s="615">
        <f t="shared" ref="S630" si="651">+S631+S632</f>
        <v>1165000</v>
      </c>
      <c r="T630" s="1105">
        <v>0</v>
      </c>
      <c r="U630" s="1076">
        <v>0</v>
      </c>
      <c r="V630" s="1076">
        <v>0</v>
      </c>
      <c r="W630" s="1076">
        <v>0</v>
      </c>
      <c r="X630" s="502">
        <f>+X631+X632</f>
        <v>4459932</v>
      </c>
      <c r="Y630" s="2970"/>
    </row>
    <row r="631" spans="1:26" s="2345" customFormat="1" ht="12">
      <c r="A631" s="2967"/>
      <c r="B631" s="2371" t="s">
        <v>24</v>
      </c>
      <c r="C631" s="2975"/>
      <c r="D631" s="449">
        <f t="shared" ref="D631:D632" si="652">M631+O631+P631+Q631+R631+S631+T631+U631+V631+W631</f>
        <v>7962995</v>
      </c>
      <c r="E631" s="456"/>
      <c r="F631" s="530"/>
      <c r="G631" s="530"/>
      <c r="H631" s="530"/>
      <c r="I631" s="616"/>
      <c r="J631" s="494">
        <v>806409</v>
      </c>
      <c r="K631" s="529">
        <f>846730-15015</f>
        <v>831715</v>
      </c>
      <c r="L631" s="530">
        <f>889066+20000-947</f>
        <v>908119</v>
      </c>
      <c r="M631" s="450">
        <f>+E631+I631+J631+K631+L631+N631</f>
        <v>3481428</v>
      </c>
      <c r="N631" s="494">
        <f>933520+18000-16335</f>
        <v>935185</v>
      </c>
      <c r="O631" s="494">
        <f>980196+947+110000-1064047-5461</f>
        <v>21635</v>
      </c>
      <c r="P631" s="494">
        <f>1029205+62000</f>
        <v>1091205</v>
      </c>
      <c r="Q631" s="494">
        <f>1080665+11000+5461</f>
        <v>1097126</v>
      </c>
      <c r="R631" s="494">
        <f>1106601</f>
        <v>1106601</v>
      </c>
      <c r="S631" s="494">
        <v>1165000</v>
      </c>
      <c r="T631" s="1105">
        <v>0</v>
      </c>
      <c r="U631" s="1076">
        <v>0</v>
      </c>
      <c r="V631" s="1076">
        <v>0</v>
      </c>
      <c r="W631" s="1076">
        <v>0</v>
      </c>
      <c r="X631" s="409">
        <f>SUM(P631:T631)</f>
        <v>4459932</v>
      </c>
      <c r="Y631" s="2970"/>
    </row>
    <row r="632" spans="1:26" s="2345" customFormat="1" ht="12">
      <c r="A632" s="2967"/>
      <c r="B632" s="641" t="s">
        <v>127</v>
      </c>
      <c r="C632" s="2977"/>
      <c r="D632" s="449">
        <f t="shared" si="652"/>
        <v>1060111</v>
      </c>
      <c r="E632" s="456"/>
      <c r="F632" s="494"/>
      <c r="G632" s="494"/>
      <c r="H632" s="494"/>
      <c r="I632" s="494"/>
      <c r="J632" s="494"/>
      <c r="K632" s="532"/>
      <c r="L632" s="494"/>
      <c r="M632" s="1227">
        <f>+E632+I632+J632+K632+L632+N632</f>
        <v>0</v>
      </c>
      <c r="N632" s="494"/>
      <c r="O632" s="494">
        <f>1064047-3936</f>
        <v>1060111</v>
      </c>
      <c r="P632" s="494">
        <v>0</v>
      </c>
      <c r="Q632" s="494">
        <v>0</v>
      </c>
      <c r="R632" s="494">
        <v>0</v>
      </c>
      <c r="S632" s="1105">
        <v>0</v>
      </c>
      <c r="T632" s="1105">
        <v>0</v>
      </c>
      <c r="U632" s="1076">
        <v>0</v>
      </c>
      <c r="V632" s="1076">
        <v>0</v>
      </c>
      <c r="W632" s="1076">
        <v>0</v>
      </c>
      <c r="X632" s="409">
        <f>SUM(P632:T632)</f>
        <v>0</v>
      </c>
      <c r="Y632" s="2970"/>
    </row>
    <row r="633" spans="1:26" s="2345" customFormat="1" ht="12">
      <c r="A633" s="2967"/>
      <c r="B633" s="505" t="s">
        <v>34</v>
      </c>
      <c r="C633" s="375"/>
      <c r="D633" s="612">
        <f>D634</f>
        <v>1060111</v>
      </c>
      <c r="E633" s="612"/>
      <c r="F633" s="612"/>
      <c r="G633" s="612"/>
      <c r="H633" s="612"/>
      <c r="I633" s="612"/>
      <c r="J633" s="612"/>
      <c r="K633" s="612"/>
      <c r="L633" s="612"/>
      <c r="M633" s="1100">
        <v>0</v>
      </c>
      <c r="N633" s="1100">
        <v>0</v>
      </c>
      <c r="O633" s="612">
        <f>+O634</f>
        <v>1060111</v>
      </c>
      <c r="P633" s="1100">
        <v>0</v>
      </c>
      <c r="Q633" s="1100">
        <v>0</v>
      </c>
      <c r="R633" s="1100">
        <v>0</v>
      </c>
      <c r="S633" s="1100">
        <v>0</v>
      </c>
      <c r="T633" s="1100">
        <v>0</v>
      </c>
      <c r="U633" s="1100">
        <v>0</v>
      </c>
      <c r="V633" s="1100">
        <v>0</v>
      </c>
      <c r="W633" s="1100">
        <v>0</v>
      </c>
      <c r="X633" s="2948" t="s">
        <v>35</v>
      </c>
      <c r="Y633" s="2970"/>
    </row>
    <row r="634" spans="1:26" s="2345" customFormat="1" ht="12">
      <c r="A634" s="2967"/>
      <c r="B634" s="526" t="s">
        <v>36</v>
      </c>
      <c r="C634" s="2972" t="s">
        <v>101</v>
      </c>
      <c r="D634" s="2103">
        <f>+D635</f>
        <v>1060111</v>
      </c>
      <c r="E634" s="552"/>
      <c r="F634" s="481"/>
      <c r="G634" s="481"/>
      <c r="H634" s="551"/>
      <c r="I634" s="551"/>
      <c r="J634" s="551"/>
      <c r="K634" s="759"/>
      <c r="L634" s="551"/>
      <c r="M634" s="2104">
        <v>0</v>
      </c>
      <c r="N634" s="1106">
        <v>0</v>
      </c>
      <c r="O634" s="2105">
        <f>+O635</f>
        <v>1060111</v>
      </c>
      <c r="P634" s="1106">
        <v>0</v>
      </c>
      <c r="Q634" s="1106">
        <v>0</v>
      </c>
      <c r="R634" s="1106">
        <v>0</v>
      </c>
      <c r="S634" s="1106">
        <v>0</v>
      </c>
      <c r="T634" s="1084">
        <v>0</v>
      </c>
      <c r="U634" s="1084">
        <v>0</v>
      </c>
      <c r="V634" s="1084">
        <v>0</v>
      </c>
      <c r="W634" s="1084">
        <v>0</v>
      </c>
      <c r="X634" s="2949"/>
      <c r="Y634" s="2970"/>
    </row>
    <row r="635" spans="1:26" s="2345" customFormat="1" thickBot="1">
      <c r="A635" s="2968"/>
      <c r="B635" s="641" t="s">
        <v>25</v>
      </c>
      <c r="C635" s="2973"/>
      <c r="D635" s="449">
        <f t="shared" ref="D635" si="653">M635+O635+P635+Q635+R635+S635+T635+U635+V635+W635</f>
        <v>1060111</v>
      </c>
      <c r="E635" s="491"/>
      <c r="F635" s="917"/>
      <c r="G635" s="917"/>
      <c r="H635" s="497"/>
      <c r="I635" s="497"/>
      <c r="J635" s="497"/>
      <c r="K635" s="783"/>
      <c r="L635" s="497"/>
      <c r="M635" s="1227">
        <f>+E635+I635+J635+K635+L635+N635</f>
        <v>0</v>
      </c>
      <c r="N635" s="1108">
        <v>0</v>
      </c>
      <c r="O635" s="2106">
        <f>1064047-3936</f>
        <v>1060111</v>
      </c>
      <c r="P635" s="1108">
        <v>0</v>
      </c>
      <c r="Q635" s="1108">
        <v>0</v>
      </c>
      <c r="R635" s="1108">
        <v>0</v>
      </c>
      <c r="S635" s="1108">
        <v>0</v>
      </c>
      <c r="T635" s="1107">
        <v>0</v>
      </c>
      <c r="U635" s="1107">
        <v>0</v>
      </c>
      <c r="V635" s="1107">
        <v>0</v>
      </c>
      <c r="W635" s="1107">
        <v>0</v>
      </c>
      <c r="X635" s="2950"/>
      <c r="Y635" s="2971"/>
    </row>
    <row r="636" spans="1:26" s="2345" customFormat="1" ht="14.25" customHeight="1">
      <c r="A636" s="2966" t="s">
        <v>110</v>
      </c>
      <c r="B636" s="1073" t="s">
        <v>494</v>
      </c>
      <c r="C636" s="473" t="s">
        <v>98</v>
      </c>
      <c r="D636" s="617"/>
      <c r="E636" s="436"/>
      <c r="F636" s="437"/>
      <c r="G636" s="437"/>
      <c r="H636" s="436"/>
      <c r="I636" s="436"/>
      <c r="J636" s="436"/>
      <c r="K636" s="436"/>
      <c r="L636" s="436"/>
      <c r="M636" s="438"/>
      <c r="N636" s="438"/>
      <c r="O636" s="438"/>
      <c r="P636" s="438"/>
      <c r="Q636" s="438"/>
      <c r="R636" s="438"/>
      <c r="S636" s="438"/>
      <c r="T636" s="438"/>
      <c r="U636" s="438"/>
      <c r="V636" s="438"/>
      <c r="W636" s="438"/>
      <c r="X636" s="439"/>
      <c r="Y636" s="2969" t="s">
        <v>104</v>
      </c>
    </row>
    <row r="637" spans="1:26" s="2345" customFormat="1" ht="12">
      <c r="A637" s="2967"/>
      <c r="B637" s="374" t="s">
        <v>22</v>
      </c>
      <c r="C637" s="375"/>
      <c r="D637" s="612">
        <f>+D638</f>
        <v>376011</v>
      </c>
      <c r="E637" s="612"/>
      <c r="F637" s="612"/>
      <c r="G637" s="612"/>
      <c r="H637" s="612"/>
      <c r="I637" s="612"/>
      <c r="J637" s="612"/>
      <c r="K637" s="612"/>
      <c r="L637" s="612">
        <f t="shared" ref="L637:R638" si="654">+L638</f>
        <v>128194</v>
      </c>
      <c r="M637" s="612">
        <f t="shared" si="654"/>
        <v>275669</v>
      </c>
      <c r="N637" s="612">
        <f t="shared" si="654"/>
        <v>147475</v>
      </c>
      <c r="O637" s="612">
        <f t="shared" si="654"/>
        <v>65342</v>
      </c>
      <c r="P637" s="612">
        <f t="shared" si="654"/>
        <v>35000</v>
      </c>
      <c r="Q637" s="612">
        <f t="shared" si="654"/>
        <v>0</v>
      </c>
      <c r="R637" s="612">
        <f t="shared" si="654"/>
        <v>0</v>
      </c>
      <c r="S637" s="1100">
        <v>0</v>
      </c>
      <c r="T637" s="1100">
        <v>0</v>
      </c>
      <c r="U637" s="1100">
        <v>0</v>
      </c>
      <c r="V637" s="1100">
        <v>0</v>
      </c>
      <c r="W637" s="1100">
        <v>0</v>
      </c>
      <c r="X637" s="480">
        <f>+X638</f>
        <v>35000</v>
      </c>
      <c r="Y637" s="2970"/>
      <c r="Z637" s="2344">
        <f>+O637+P637+Q637+R637</f>
        <v>100342</v>
      </c>
    </row>
    <row r="638" spans="1:26" s="2345" customFormat="1" ht="12">
      <c r="A638" s="2967"/>
      <c r="B638" s="526" t="s">
        <v>36</v>
      </c>
      <c r="C638" s="2972" t="s">
        <v>101</v>
      </c>
      <c r="D638" s="615">
        <f>+D639</f>
        <v>376011</v>
      </c>
      <c r="E638" s="615"/>
      <c r="F638" s="615"/>
      <c r="G638" s="615"/>
      <c r="H638" s="615"/>
      <c r="I638" s="615"/>
      <c r="J638" s="615"/>
      <c r="K638" s="615"/>
      <c r="L638" s="615">
        <f t="shared" si="654"/>
        <v>128194</v>
      </c>
      <c r="M638" s="615">
        <f t="shared" si="654"/>
        <v>275669</v>
      </c>
      <c r="N638" s="615">
        <f t="shared" si="654"/>
        <v>147475</v>
      </c>
      <c r="O638" s="615">
        <f t="shared" si="654"/>
        <v>65342</v>
      </c>
      <c r="P638" s="615">
        <f t="shared" si="654"/>
        <v>35000</v>
      </c>
      <c r="Q638" s="615">
        <f t="shared" si="654"/>
        <v>0</v>
      </c>
      <c r="R638" s="615">
        <f t="shared" si="654"/>
        <v>0</v>
      </c>
      <c r="S638" s="1101">
        <v>0</v>
      </c>
      <c r="T638" s="1101">
        <v>0</v>
      </c>
      <c r="U638" s="1101">
        <v>0</v>
      </c>
      <c r="V638" s="1101">
        <v>0</v>
      </c>
      <c r="W638" s="1101">
        <v>0</v>
      </c>
      <c r="X638" s="502">
        <f>+X639</f>
        <v>35000</v>
      </c>
      <c r="Y638" s="2970"/>
    </row>
    <row r="639" spans="1:26" s="2345" customFormat="1" thickBot="1">
      <c r="A639" s="2968"/>
      <c r="B639" s="2370" t="s">
        <v>24</v>
      </c>
      <c r="C639" s="2973"/>
      <c r="D639" s="449">
        <f t="shared" ref="D639" si="655">M639+O639+P639+Q639+R639+S639+T639+U639+V639+W639</f>
        <v>376011</v>
      </c>
      <c r="E639" s="491"/>
      <c r="F639" s="917"/>
      <c r="G639" s="917"/>
      <c r="H639" s="917"/>
      <c r="I639" s="919"/>
      <c r="J639" s="497"/>
      <c r="K639" s="918"/>
      <c r="L639" s="917">
        <f>250000+80000-150160-51646</f>
        <v>128194</v>
      </c>
      <c r="M639" s="450">
        <f>+E639+I639+J639+K639+L639+N639</f>
        <v>275669</v>
      </c>
      <c r="N639" s="917">
        <f>150000+150160+51646-147600-5283-50000-1448</f>
        <v>147475</v>
      </c>
      <c r="O639" s="917">
        <f>150000+147600-127600-104576-82</f>
        <v>65342</v>
      </c>
      <c r="P639" s="917">
        <f>150000-115000</f>
        <v>35000</v>
      </c>
      <c r="Q639" s="917">
        <f>165000-165000</f>
        <v>0</v>
      </c>
      <c r="R639" s="917">
        <f>168960-168960</f>
        <v>0</v>
      </c>
      <c r="S639" s="1244">
        <v>0</v>
      </c>
      <c r="T639" s="1244">
        <v>0</v>
      </c>
      <c r="U639" s="1104">
        <v>0</v>
      </c>
      <c r="V639" s="1104">
        <v>0</v>
      </c>
      <c r="W639" s="1104">
        <v>0</v>
      </c>
      <c r="X639" s="409">
        <f>SUM(P639:W639)</f>
        <v>35000</v>
      </c>
      <c r="Y639" s="2971"/>
    </row>
    <row r="640" spans="1:26" s="2345" customFormat="1" ht="14.25" customHeight="1">
      <c r="A640" s="2966" t="s">
        <v>111</v>
      </c>
      <c r="B640" s="1073" t="s">
        <v>498</v>
      </c>
      <c r="C640" s="473" t="s">
        <v>130</v>
      </c>
      <c r="D640" s="617"/>
      <c r="E640" s="436"/>
      <c r="F640" s="437"/>
      <c r="G640" s="437"/>
      <c r="H640" s="436"/>
      <c r="I640" s="436"/>
      <c r="J640" s="436"/>
      <c r="K640" s="436"/>
      <c r="L640" s="436"/>
      <c r="M640" s="438"/>
      <c r="N640" s="438"/>
      <c r="O640" s="438"/>
      <c r="P640" s="438"/>
      <c r="Q640" s="438"/>
      <c r="R640" s="438"/>
      <c r="S640" s="438"/>
      <c r="T640" s="438"/>
      <c r="U640" s="438"/>
      <c r="V640" s="438"/>
      <c r="W640" s="438"/>
      <c r="X640" s="439"/>
      <c r="Y640" s="2969" t="s">
        <v>104</v>
      </c>
    </row>
    <row r="641" spans="1:26" s="2345" customFormat="1" ht="12">
      <c r="A641" s="2967"/>
      <c r="B641" s="374" t="s">
        <v>22</v>
      </c>
      <c r="C641" s="375"/>
      <c r="D641" s="612">
        <f>+D642</f>
        <v>565000</v>
      </c>
      <c r="E641" s="612"/>
      <c r="F641" s="612"/>
      <c r="G641" s="612"/>
      <c r="H641" s="612"/>
      <c r="I641" s="612"/>
      <c r="J641" s="612"/>
      <c r="K641" s="612"/>
      <c r="L641" s="612">
        <f t="shared" ref="L641:S642" si="656">+L642</f>
        <v>0</v>
      </c>
      <c r="M641" s="612">
        <f t="shared" si="656"/>
        <v>0</v>
      </c>
      <c r="N641" s="612">
        <f t="shared" si="656"/>
        <v>0</v>
      </c>
      <c r="O641" s="612">
        <f t="shared" si="656"/>
        <v>0</v>
      </c>
      <c r="P641" s="612">
        <f t="shared" si="656"/>
        <v>115000</v>
      </c>
      <c r="Q641" s="612">
        <f t="shared" si="656"/>
        <v>150000</v>
      </c>
      <c r="R641" s="612">
        <f t="shared" si="656"/>
        <v>150000</v>
      </c>
      <c r="S641" s="612">
        <f t="shared" si="656"/>
        <v>150000</v>
      </c>
      <c r="T641" s="1100">
        <v>0</v>
      </c>
      <c r="U641" s="1100">
        <v>0</v>
      </c>
      <c r="V641" s="1100">
        <v>0</v>
      </c>
      <c r="W641" s="1100">
        <v>0</v>
      </c>
      <c r="X641" s="480">
        <f>+X642</f>
        <v>565000</v>
      </c>
      <c r="Y641" s="2970"/>
      <c r="Z641" s="2344">
        <f>+O641+P641+Q641+R641</f>
        <v>415000</v>
      </c>
    </row>
    <row r="642" spans="1:26" s="2345" customFormat="1" ht="12">
      <c r="A642" s="2967"/>
      <c r="B642" s="526" t="s">
        <v>36</v>
      </c>
      <c r="C642" s="2972" t="s">
        <v>101</v>
      </c>
      <c r="D642" s="615">
        <f>+D643</f>
        <v>565000</v>
      </c>
      <c r="E642" s="615"/>
      <c r="F642" s="615"/>
      <c r="G642" s="615"/>
      <c r="H642" s="615"/>
      <c r="I642" s="615"/>
      <c r="J642" s="615"/>
      <c r="K642" s="615"/>
      <c r="L642" s="615">
        <f t="shared" si="656"/>
        <v>0</v>
      </c>
      <c r="M642" s="615">
        <f t="shared" si="656"/>
        <v>0</v>
      </c>
      <c r="N642" s="615">
        <f t="shared" si="656"/>
        <v>0</v>
      </c>
      <c r="O642" s="615">
        <f t="shared" si="656"/>
        <v>0</v>
      </c>
      <c r="P642" s="615">
        <f t="shared" si="656"/>
        <v>115000</v>
      </c>
      <c r="Q642" s="615">
        <f t="shared" si="656"/>
        <v>150000</v>
      </c>
      <c r="R642" s="615">
        <f t="shared" si="656"/>
        <v>150000</v>
      </c>
      <c r="S642" s="615">
        <f t="shared" si="656"/>
        <v>150000</v>
      </c>
      <c r="T642" s="1101">
        <v>0</v>
      </c>
      <c r="U642" s="1101">
        <v>0</v>
      </c>
      <c r="V642" s="1101">
        <v>0</v>
      </c>
      <c r="W642" s="1101">
        <v>0</v>
      </c>
      <c r="X642" s="502">
        <f>+X643</f>
        <v>565000</v>
      </c>
      <c r="Y642" s="2970"/>
    </row>
    <row r="643" spans="1:26" s="2345" customFormat="1" thickBot="1">
      <c r="A643" s="2968"/>
      <c r="B643" s="2370" t="s">
        <v>24</v>
      </c>
      <c r="C643" s="2973"/>
      <c r="D643" s="449">
        <f t="shared" ref="D643" si="657">M643+O643+P643+Q643+R643+S643+T643+U643+V643+W643</f>
        <v>565000</v>
      </c>
      <c r="E643" s="491"/>
      <c r="F643" s="917"/>
      <c r="G643" s="917"/>
      <c r="H643" s="917"/>
      <c r="I643" s="919"/>
      <c r="J643" s="497"/>
      <c r="K643" s="918"/>
      <c r="L643" s="917">
        <v>0</v>
      </c>
      <c r="M643" s="450">
        <v>0</v>
      </c>
      <c r="N643" s="917">
        <v>0</v>
      </c>
      <c r="O643" s="917">
        <v>0</v>
      </c>
      <c r="P643" s="917">
        <v>115000</v>
      </c>
      <c r="Q643" s="917">
        <v>150000</v>
      </c>
      <c r="R643" s="917">
        <v>150000</v>
      </c>
      <c r="S643" s="917">
        <v>150000</v>
      </c>
      <c r="T643" s="1244">
        <v>0</v>
      </c>
      <c r="U643" s="1104">
        <v>0</v>
      </c>
      <c r="V643" s="1104">
        <v>0</v>
      </c>
      <c r="W643" s="1104">
        <v>0</v>
      </c>
      <c r="X643" s="409">
        <f>SUM(P643:W643)</f>
        <v>565000</v>
      </c>
      <c r="Y643" s="2971"/>
    </row>
    <row r="644" spans="1:26" s="2345" customFormat="1" ht="30.75" customHeight="1">
      <c r="A644" s="2966" t="s">
        <v>112</v>
      </c>
      <c r="B644" s="1073" t="s">
        <v>298</v>
      </c>
      <c r="C644" s="473" t="s">
        <v>130</v>
      </c>
      <c r="D644" s="617"/>
      <c r="E644" s="436"/>
      <c r="F644" s="437"/>
      <c r="G644" s="437"/>
      <c r="H644" s="436"/>
      <c r="I644" s="436"/>
      <c r="J644" s="436"/>
      <c r="K644" s="436"/>
      <c r="L644" s="436"/>
      <c r="M644" s="438"/>
      <c r="N644" s="438"/>
      <c r="O644" s="438"/>
      <c r="P644" s="438"/>
      <c r="Q644" s="438"/>
      <c r="R644" s="438"/>
      <c r="S644" s="438"/>
      <c r="T644" s="438"/>
      <c r="U644" s="438"/>
      <c r="V644" s="438"/>
      <c r="W644" s="438"/>
      <c r="X644" s="439"/>
      <c r="Y644" s="2969" t="s">
        <v>122</v>
      </c>
    </row>
    <row r="645" spans="1:26" s="2345" customFormat="1" ht="12">
      <c r="A645" s="2967"/>
      <c r="B645" s="374" t="s">
        <v>22</v>
      </c>
      <c r="C645" s="375"/>
      <c r="D645" s="612">
        <f>+D646</f>
        <v>737069</v>
      </c>
      <c r="E645" s="612"/>
      <c r="F645" s="612"/>
      <c r="G645" s="612"/>
      <c r="H645" s="612"/>
      <c r="I645" s="612"/>
      <c r="J645" s="612"/>
      <c r="K645" s="612"/>
      <c r="L645" s="612">
        <f t="shared" ref="L645:T646" si="658">+L646</f>
        <v>0</v>
      </c>
      <c r="M645" s="1100">
        <f t="shared" si="658"/>
        <v>0</v>
      </c>
      <c r="N645" s="612">
        <f t="shared" si="658"/>
        <v>0</v>
      </c>
      <c r="O645" s="612">
        <f t="shared" si="658"/>
        <v>62069</v>
      </c>
      <c r="P645" s="612">
        <f t="shared" si="658"/>
        <v>135000</v>
      </c>
      <c r="Q645" s="612">
        <f t="shared" si="658"/>
        <v>135000</v>
      </c>
      <c r="R645" s="612">
        <f t="shared" si="658"/>
        <v>135000</v>
      </c>
      <c r="S645" s="612">
        <f t="shared" si="658"/>
        <v>135000</v>
      </c>
      <c r="T645" s="612">
        <f t="shared" si="658"/>
        <v>135000</v>
      </c>
      <c r="U645" s="1100">
        <v>0</v>
      </c>
      <c r="V645" s="1100">
        <v>0</v>
      </c>
      <c r="W645" s="1100">
        <v>0</v>
      </c>
      <c r="X645" s="480">
        <f>+X646</f>
        <v>675000</v>
      </c>
      <c r="Y645" s="2970"/>
      <c r="Z645" s="2344">
        <f>+O645+P645+Q645+R645</f>
        <v>467069</v>
      </c>
    </row>
    <row r="646" spans="1:26" s="2345" customFormat="1" ht="12">
      <c r="A646" s="2967"/>
      <c r="B646" s="526" t="s">
        <v>36</v>
      </c>
      <c r="C646" s="2972" t="s">
        <v>118</v>
      </c>
      <c r="D646" s="615">
        <f>+D647</f>
        <v>737069</v>
      </c>
      <c r="E646" s="615"/>
      <c r="F646" s="615"/>
      <c r="G646" s="615"/>
      <c r="H646" s="615"/>
      <c r="I646" s="615"/>
      <c r="J646" s="615"/>
      <c r="K646" s="615"/>
      <c r="L646" s="615">
        <f t="shared" si="658"/>
        <v>0</v>
      </c>
      <c r="M646" s="1101">
        <f t="shared" si="658"/>
        <v>0</v>
      </c>
      <c r="N646" s="615">
        <f t="shared" si="658"/>
        <v>0</v>
      </c>
      <c r="O646" s="615">
        <f t="shared" si="658"/>
        <v>62069</v>
      </c>
      <c r="P646" s="615">
        <f t="shared" si="658"/>
        <v>135000</v>
      </c>
      <c r="Q646" s="615">
        <f t="shared" si="658"/>
        <v>135000</v>
      </c>
      <c r="R646" s="615">
        <f t="shared" si="658"/>
        <v>135000</v>
      </c>
      <c r="S646" s="615">
        <f t="shared" si="658"/>
        <v>135000</v>
      </c>
      <c r="T646" s="615">
        <f t="shared" si="658"/>
        <v>135000</v>
      </c>
      <c r="U646" s="1101">
        <v>0</v>
      </c>
      <c r="V646" s="1101">
        <v>0</v>
      </c>
      <c r="W646" s="1101">
        <v>0</v>
      </c>
      <c r="X646" s="502">
        <f>+X647</f>
        <v>675000</v>
      </c>
      <c r="Y646" s="2970"/>
    </row>
    <row r="647" spans="1:26" s="2345" customFormat="1" thickBot="1">
      <c r="A647" s="2968"/>
      <c r="B647" s="2364" t="s">
        <v>24</v>
      </c>
      <c r="C647" s="2973"/>
      <c r="D647" s="1221">
        <f t="shared" ref="D647" si="659">M647+O647+P647+Q647+R647+S647+T647+U647+V647+W647</f>
        <v>737069</v>
      </c>
      <c r="E647" s="491"/>
      <c r="F647" s="917"/>
      <c r="G647" s="917"/>
      <c r="H647" s="917"/>
      <c r="I647" s="919"/>
      <c r="J647" s="497"/>
      <c r="K647" s="918"/>
      <c r="L647" s="917">
        <v>0</v>
      </c>
      <c r="M647" s="1228">
        <f>+E647+I647+J647+K647+L647+N647</f>
        <v>0</v>
      </c>
      <c r="N647" s="917">
        <v>0</v>
      </c>
      <c r="O647" s="917">
        <f>120000-51166-6765</f>
        <v>62069</v>
      </c>
      <c r="P647" s="917">
        <v>135000</v>
      </c>
      <c r="Q647" s="917">
        <v>135000</v>
      </c>
      <c r="R647" s="917">
        <v>135000</v>
      </c>
      <c r="S647" s="917">
        <v>135000</v>
      </c>
      <c r="T647" s="917">
        <v>135000</v>
      </c>
      <c r="U647" s="1244">
        <v>0</v>
      </c>
      <c r="V647" s="1244">
        <v>0</v>
      </c>
      <c r="W647" s="1244">
        <v>0</v>
      </c>
      <c r="X647" s="774">
        <f>SUM(P647:T647)</f>
        <v>675000</v>
      </c>
      <c r="Y647" s="2971"/>
    </row>
    <row r="648" spans="1:26" s="2345" customFormat="1" ht="27" customHeight="1">
      <c r="A648" s="2966" t="s">
        <v>114</v>
      </c>
      <c r="B648" s="1073" t="s">
        <v>485</v>
      </c>
      <c r="C648" s="473" t="s">
        <v>98</v>
      </c>
      <c r="D648" s="617"/>
      <c r="E648" s="436"/>
      <c r="F648" s="437"/>
      <c r="G648" s="437"/>
      <c r="H648" s="436"/>
      <c r="I648" s="436"/>
      <c r="J648" s="436"/>
      <c r="K648" s="436"/>
      <c r="L648" s="436"/>
      <c r="M648" s="438"/>
      <c r="N648" s="438"/>
      <c r="O648" s="438"/>
      <c r="P648" s="438"/>
      <c r="Q648" s="438"/>
      <c r="R648" s="438"/>
      <c r="S648" s="438"/>
      <c r="T648" s="438"/>
      <c r="U648" s="438"/>
      <c r="V648" s="438"/>
      <c r="W648" s="438"/>
      <c r="X648" s="439"/>
      <c r="Y648" s="2969" t="s">
        <v>104</v>
      </c>
    </row>
    <row r="649" spans="1:26" s="2345" customFormat="1" ht="12">
      <c r="A649" s="2967"/>
      <c r="B649" s="374" t="s">
        <v>22</v>
      </c>
      <c r="C649" s="375"/>
      <c r="D649" s="2330">
        <f>+D650</f>
        <v>6355000</v>
      </c>
      <c r="E649" s="2330"/>
      <c r="F649" s="2330"/>
      <c r="G649" s="2330"/>
      <c r="H649" s="2330"/>
      <c r="I649" s="2330"/>
      <c r="J649" s="2330"/>
      <c r="K649" s="2330"/>
      <c r="L649" s="2330">
        <f t="shared" ref="L649:R650" si="660">+L650</f>
        <v>0</v>
      </c>
      <c r="M649" s="2330">
        <f t="shared" si="660"/>
        <v>0</v>
      </c>
      <c r="N649" s="2330">
        <f t="shared" si="660"/>
        <v>0</v>
      </c>
      <c r="O649" s="2330">
        <f t="shared" si="660"/>
        <v>0</v>
      </c>
      <c r="P649" s="2330">
        <f t="shared" si="660"/>
        <v>4390000</v>
      </c>
      <c r="Q649" s="2330">
        <f t="shared" si="660"/>
        <v>1965000</v>
      </c>
      <c r="R649" s="2331">
        <f t="shared" si="660"/>
        <v>0</v>
      </c>
      <c r="S649" s="2331">
        <v>0</v>
      </c>
      <c r="T649" s="2331">
        <v>0</v>
      </c>
      <c r="U649" s="2331">
        <v>0</v>
      </c>
      <c r="V649" s="2331">
        <v>0</v>
      </c>
      <c r="W649" s="2331">
        <v>0</v>
      </c>
      <c r="X649" s="2383">
        <f>+X650</f>
        <v>6355000</v>
      </c>
      <c r="Y649" s="2970"/>
      <c r="Z649" s="2344">
        <f>+O649+P649+Q649+R649</f>
        <v>6355000</v>
      </c>
    </row>
    <row r="650" spans="1:26" s="2345" customFormat="1" ht="12">
      <c r="A650" s="2967"/>
      <c r="B650" s="526" t="s">
        <v>36</v>
      </c>
      <c r="C650" s="2974" t="s">
        <v>101</v>
      </c>
      <c r="D650" s="2414">
        <f>+D651</f>
        <v>6355000</v>
      </c>
      <c r="E650" s="2414"/>
      <c r="F650" s="2414"/>
      <c r="G650" s="2414"/>
      <c r="H650" s="2414"/>
      <c r="I650" s="2414"/>
      <c r="J650" s="2414"/>
      <c r="K650" s="2414"/>
      <c r="L650" s="2414">
        <f t="shared" si="660"/>
        <v>0</v>
      </c>
      <c r="M650" s="2414">
        <f t="shared" si="660"/>
        <v>0</v>
      </c>
      <c r="N650" s="2414">
        <f t="shared" si="660"/>
        <v>0</v>
      </c>
      <c r="O650" s="2414">
        <f t="shared" si="660"/>
        <v>0</v>
      </c>
      <c r="P650" s="2414">
        <f t="shared" si="660"/>
        <v>4390000</v>
      </c>
      <c r="Q650" s="2414">
        <f t="shared" si="660"/>
        <v>1965000</v>
      </c>
      <c r="R650" s="2416">
        <f t="shared" si="660"/>
        <v>0</v>
      </c>
      <c r="S650" s="2416">
        <v>0</v>
      </c>
      <c r="T650" s="2416">
        <v>0</v>
      </c>
      <c r="U650" s="2416">
        <v>0</v>
      </c>
      <c r="V650" s="2416">
        <v>0</v>
      </c>
      <c r="W650" s="2416">
        <v>0</v>
      </c>
      <c r="X650" s="2385">
        <f>+X651</f>
        <v>6355000</v>
      </c>
      <c r="Y650" s="2970"/>
    </row>
    <row r="651" spans="1:26" s="2345" customFormat="1" thickBot="1">
      <c r="A651" s="2968"/>
      <c r="B651" s="2370" t="s">
        <v>24</v>
      </c>
      <c r="C651" s="2973"/>
      <c r="D651" s="1221">
        <f t="shared" ref="D651" si="661">M651+O651+P651+Q651+R651+S651+T651+U651+V651+W651</f>
        <v>6355000</v>
      </c>
      <c r="E651" s="491"/>
      <c r="F651" s="917"/>
      <c r="G651" s="917"/>
      <c r="H651" s="917"/>
      <c r="I651" s="919"/>
      <c r="J651" s="497"/>
      <c r="K651" s="918"/>
      <c r="L651" s="917"/>
      <c r="M651" s="1221"/>
      <c r="N651" s="917"/>
      <c r="O651" s="917"/>
      <c r="P651" s="917">
        <v>4390000</v>
      </c>
      <c r="Q651" s="917">
        <v>1965000</v>
      </c>
      <c r="R651" s="1244">
        <f>168960-168960</f>
        <v>0</v>
      </c>
      <c r="S651" s="1244">
        <v>0</v>
      </c>
      <c r="T651" s="1244">
        <v>0</v>
      </c>
      <c r="U651" s="1244">
        <v>0</v>
      </c>
      <c r="V651" s="1244">
        <v>0</v>
      </c>
      <c r="W651" s="1244">
        <v>0</v>
      </c>
      <c r="X651" s="774">
        <f>SUM(P651:W651)</f>
        <v>6355000</v>
      </c>
      <c r="Y651" s="2971"/>
    </row>
    <row r="652" spans="1:26">
      <c r="A652" s="2669"/>
      <c r="B652" s="659"/>
      <c r="C652" s="842"/>
      <c r="D652" s="660"/>
      <c r="E652" s="661"/>
      <c r="F652" s="661"/>
      <c r="G652" s="661"/>
      <c r="H652" s="661"/>
      <c r="I652" s="661"/>
      <c r="J652" s="661"/>
      <c r="K652" s="661"/>
      <c r="L652" s="662"/>
      <c r="M652" s="662"/>
      <c r="N652" s="662"/>
      <c r="O652" s="662"/>
      <c r="P652" s="662"/>
      <c r="Q652" s="662"/>
      <c r="R652" s="661"/>
      <c r="S652" s="661"/>
      <c r="T652" s="661"/>
      <c r="U652" s="661"/>
      <c r="V652" s="661"/>
      <c r="W652" s="661"/>
      <c r="X652" s="663"/>
      <c r="Y652" s="664"/>
    </row>
    <row r="653" spans="1:26" s="848" customFormat="1" ht="18" customHeight="1">
      <c r="A653" s="2589"/>
      <c r="B653" s="2590" t="s">
        <v>517</v>
      </c>
      <c r="C653" s="2589"/>
      <c r="D653" s="2589"/>
      <c r="E653" s="2589"/>
      <c r="F653" s="2589"/>
      <c r="G653" s="2589"/>
      <c r="H653" s="2589"/>
      <c r="I653" s="2589"/>
      <c r="J653" s="2589"/>
      <c r="K653" s="2589"/>
      <c r="L653" s="2589"/>
      <c r="M653" s="2589"/>
      <c r="N653" s="2589"/>
      <c r="O653" s="2589"/>
      <c r="P653" s="2589"/>
      <c r="Q653" s="2589"/>
      <c r="R653" s="2589"/>
      <c r="S653" s="2589"/>
      <c r="T653" s="2589"/>
      <c r="U653" s="2589"/>
      <c r="V653" s="2589"/>
      <c r="W653" s="2589"/>
      <c r="X653" s="2589"/>
      <c r="Y653" s="2589"/>
    </row>
    <row r="654" spans="1:26" s="848" customFormat="1">
      <c r="A654" s="2589"/>
      <c r="B654" s="2589" t="s">
        <v>561</v>
      </c>
      <c r="C654" s="2589"/>
      <c r="D654" s="2589"/>
      <c r="E654" s="2589"/>
      <c r="F654" s="2589"/>
      <c r="G654" s="2589"/>
      <c r="H654" s="2589"/>
      <c r="I654" s="2589"/>
      <c r="J654" s="2589"/>
      <c r="K654" s="2589"/>
      <c r="L654" s="2589"/>
      <c r="M654" s="2589"/>
      <c r="N654" s="2589"/>
      <c r="O654" s="2589"/>
      <c r="P654" s="2589"/>
      <c r="Q654" s="2589"/>
      <c r="R654" s="2589"/>
      <c r="S654" s="2589"/>
      <c r="T654" s="2589"/>
      <c r="U654" s="2589"/>
      <c r="V654" s="2589"/>
      <c r="W654" s="2589"/>
      <c r="X654" s="2589"/>
      <c r="Y654" s="2589"/>
    </row>
    <row r="655" spans="1:26" ht="15">
      <c r="B655" s="1283" t="s">
        <v>618</v>
      </c>
      <c r="E655" s="843"/>
      <c r="J655" s="843"/>
    </row>
    <row r="656" spans="1:26">
      <c r="B656" s="819" t="s">
        <v>516</v>
      </c>
      <c r="C656" s="819"/>
      <c r="D656" s="819"/>
      <c r="E656" s="849"/>
      <c r="F656" s="819"/>
      <c r="G656" s="819"/>
      <c r="H656" s="819"/>
      <c r="I656" s="819"/>
      <c r="J656" s="819"/>
      <c r="K656" s="819"/>
      <c r="L656" s="819"/>
      <c r="M656" s="819"/>
      <c r="N656" s="819"/>
      <c r="O656" s="1065">
        <f>O237+O246+O262+O274+O338+O407</f>
        <v>0</v>
      </c>
      <c r="P656" s="2421">
        <f>P237+P246+P262+P274+P338+P407+P376+P362+P286+P298+P310+P322+P428+P437+P446+P455</f>
        <v>50209797</v>
      </c>
      <c r="Q656" s="2421">
        <f>Q237+Q246+Q262+Q274+Q338+Q407+Q376+Q362+Q286+Q298+Q310+Q322+Q428+Q437+Q446+Q455+'Tab. 6H - Kultura fiz. i turyst'!Q102+'Tab. 6H - Kultura fiz. i turyst'!Q111+'Tab. 6H - Kultura fiz. i turyst'!Q120+Q419</f>
        <v>291137417</v>
      </c>
      <c r="R656" s="2421">
        <f>R237+R246+R262+R274+R338+R407+R376+R362+R286+R298+R310+R322+R428+R437+R446+R455+'Tab. 6H - Kultura fiz. i turyst'!R102+'Tab. 6H - Kultura fiz. i turyst'!R111+'Tab. 6H - Kultura fiz. i turyst'!R120+R419</f>
        <v>180699831</v>
      </c>
      <c r="S656" s="2421">
        <f>S237+S246+S262+S274+S338+S407+S376+S362+S286+S298+S310+S322+S428+S437+S446+S455+'Tab. 6H - Kultura fiz. i turyst'!S102+'Tab. 6H - Kultura fiz. i turyst'!S111+'Tab. 6H - Kultura fiz. i turyst'!S120+S419</f>
        <v>7829161</v>
      </c>
      <c r="T656" s="2421"/>
      <c r="U656" s="2667"/>
      <c r="V656" s="2667"/>
      <c r="W656" s="2667"/>
      <c r="X656" s="2667"/>
    </row>
    <row r="657" spans="2:24" ht="17.25" customHeight="1">
      <c r="B657" s="2743" t="s">
        <v>518</v>
      </c>
      <c r="C657" s="2744"/>
      <c r="D657" s="2744"/>
      <c r="E657" s="2745"/>
      <c r="F657" s="2744"/>
      <c r="G657" s="2744"/>
      <c r="H657" s="2744"/>
      <c r="I657" s="2744"/>
      <c r="J657" s="2744"/>
      <c r="K657" s="2744"/>
      <c r="L657" s="2744"/>
      <c r="M657" s="2744"/>
      <c r="N657" s="2744"/>
      <c r="O657" s="2746"/>
      <c r="P657" s="2747">
        <v>128881477</v>
      </c>
      <c r="Q657" s="2747">
        <v>302617960</v>
      </c>
      <c r="R657" s="2747">
        <v>198825631</v>
      </c>
      <c r="S657" s="2747">
        <v>38751517</v>
      </c>
      <c r="T657" s="2747"/>
      <c r="U657" s="2667"/>
      <c r="V657" s="2667"/>
      <c r="W657" s="2667"/>
      <c r="X657" s="2667"/>
    </row>
    <row r="658" spans="2:24">
      <c r="B658" s="2748" t="s">
        <v>519</v>
      </c>
      <c r="C658" s="2748"/>
      <c r="D658" s="2748"/>
      <c r="E658" s="2749"/>
      <c r="F658" s="2748"/>
      <c r="G658" s="2748"/>
      <c r="H658" s="2748"/>
      <c r="I658" s="2748"/>
      <c r="J658" s="2748"/>
      <c r="K658" s="2748"/>
      <c r="L658" s="2748"/>
      <c r="M658" s="2748"/>
      <c r="N658" s="2748"/>
      <c r="O658" s="2750"/>
      <c r="P658" s="2594">
        <f>P657-P656</f>
        <v>78671680</v>
      </c>
      <c r="Q658" s="2594">
        <f>Q657-Q656</f>
        <v>11480543</v>
      </c>
      <c r="R658" s="2594">
        <f t="shared" ref="R658:T658" si="662">R657-R656</f>
        <v>18125800</v>
      </c>
      <c r="S658" s="2594">
        <f t="shared" si="662"/>
        <v>30922356</v>
      </c>
      <c r="T658" s="2594">
        <f t="shared" si="662"/>
        <v>0</v>
      </c>
      <c r="U658" s="2667"/>
      <c r="V658" s="2667"/>
      <c r="W658" s="2667"/>
      <c r="X658" s="2667"/>
    </row>
    <row r="659" spans="2:24">
      <c r="B659" s="2591"/>
      <c r="C659" s="2591"/>
      <c r="D659" s="2591"/>
      <c r="E659" s="2592"/>
      <c r="F659" s="2591"/>
      <c r="G659" s="2591"/>
      <c r="H659" s="2591"/>
      <c r="I659" s="2591"/>
      <c r="J659" s="2591"/>
      <c r="K659" s="2591"/>
      <c r="L659" s="2591"/>
      <c r="M659" s="2591"/>
      <c r="N659" s="2591"/>
      <c r="O659" s="2593"/>
      <c r="P659" s="2594"/>
      <c r="Q659" s="2594"/>
      <c r="R659" s="2594"/>
      <c r="S659" s="2594"/>
      <c r="T659" s="2594"/>
      <c r="U659" s="2667"/>
      <c r="V659" s="2667"/>
      <c r="W659" s="2667"/>
      <c r="X659" s="2667"/>
    </row>
    <row r="660" spans="2:24">
      <c r="B660" s="819" t="s">
        <v>522</v>
      </c>
      <c r="C660" s="819"/>
      <c r="D660" s="819"/>
      <c r="E660" s="849"/>
      <c r="F660" s="819"/>
      <c r="G660" s="819"/>
      <c r="H660" s="819"/>
      <c r="I660" s="819"/>
      <c r="J660" s="849"/>
      <c r="K660" s="819"/>
      <c r="L660" s="819"/>
      <c r="M660" s="819"/>
      <c r="N660" s="819"/>
      <c r="O660" s="1066"/>
      <c r="P660" s="2421">
        <f>P404+P333+P269+P255+P243+P230+P370+P362+P281+P293+P305+P425+P434+P443+P452+P414+P317+'Tab. 6H - Kultura fiz. i turyst'!P99+'Tab. 6H - Kultura fiz. i turyst'!P108+'Tab. 6H - Kultura fiz. i turyst'!P117</f>
        <v>63287027</v>
      </c>
      <c r="Q660" s="2421">
        <f>Q404+Q333+Q269+Q255+Q243+Q230+Q370+Q362+Q281+Q293+Q305+Q425+Q434+Q443+Q452+Q414+Q317+'Tab. 6H - Kultura fiz. i turyst'!Q99+'Tab. 6H - Kultura fiz. i turyst'!Q108+'Tab. 6H - Kultura fiz. i turyst'!Q117</f>
        <v>291275885</v>
      </c>
      <c r="R660" s="2421">
        <f>R404+R333+R269+R255+R243+R230+R370+R362+R281+R293+R305+R425+R434+R443+R452+R414+R317+'Tab. 6H - Kultura fiz. i turyst'!R99+'Tab. 6H - Kultura fiz. i turyst'!R108+'Tab. 6H - Kultura fiz. i turyst'!R117</f>
        <v>166648769</v>
      </c>
      <c r="S660" s="2421">
        <f>S404+S333+S269+S255+S243+S230+S370+S362+S281+S293+S305+S425+S434+S443+S452+S414+S317+'Tab. 6H - Kultura fiz. i turyst'!S99+'Tab. 6H - Kultura fiz. i turyst'!S108+'Tab. 6H - Kultura fiz. i turyst'!S117</f>
        <v>5865753</v>
      </c>
      <c r="T660" s="2421">
        <f>T404+T333+T269+T255+T243+T230+T370+T362+T281+T293+T305+T425+T434+T443+T452+T414+T317+'Tab. 6H - Kultura fiz. i turyst'!T99+'Tab. 6H - Kultura fiz. i turyst'!T108+'Tab. 6H - Kultura fiz. i turyst'!T117</f>
        <v>0</v>
      </c>
      <c r="U660" s="2667"/>
      <c r="V660" s="2667"/>
      <c r="W660" s="2667"/>
      <c r="X660" s="2667"/>
    </row>
    <row r="661" spans="2:24">
      <c r="B661" s="2743" t="s">
        <v>520</v>
      </c>
      <c r="C661" s="2744"/>
      <c r="D661" s="2744"/>
      <c r="E661" s="2745"/>
      <c r="F661" s="2744"/>
      <c r="G661" s="2744"/>
      <c r="H661" s="2744"/>
      <c r="I661" s="2744"/>
      <c r="J661" s="2744"/>
      <c r="K661" s="2744"/>
      <c r="L661" s="2744"/>
      <c r="M661" s="2744"/>
      <c r="N661" s="2744"/>
      <c r="O661" s="2746"/>
      <c r="P661" s="2747">
        <v>101171724</v>
      </c>
      <c r="Q661" s="2747">
        <v>302805245</v>
      </c>
      <c r="R661" s="2747">
        <v>186555042</v>
      </c>
      <c r="S661" s="2747">
        <v>36056580</v>
      </c>
      <c r="T661" s="2747"/>
      <c r="U661" s="2667"/>
      <c r="V661" s="2667"/>
      <c r="W661" s="2667"/>
      <c r="X661" s="2667"/>
    </row>
    <row r="662" spans="2:24">
      <c r="B662" s="2748" t="s">
        <v>521</v>
      </c>
      <c r="C662" s="2748"/>
      <c r="D662" s="2748"/>
      <c r="E662" s="2749"/>
      <c r="F662" s="2748"/>
      <c r="G662" s="2748"/>
      <c r="H662" s="2748"/>
      <c r="I662" s="2748"/>
      <c r="J662" s="2748"/>
      <c r="K662" s="2748"/>
      <c r="L662" s="2748"/>
      <c r="M662" s="2748"/>
      <c r="N662" s="2748"/>
      <c r="O662" s="2750"/>
      <c r="P662" s="2594">
        <f>P661-P660</f>
        <v>37884697</v>
      </c>
      <c r="Q662" s="2594">
        <f t="shared" ref="Q662:T662" si="663">Q661-Q660</f>
        <v>11529360</v>
      </c>
      <c r="R662" s="2594">
        <f t="shared" si="663"/>
        <v>19906273</v>
      </c>
      <c r="S662" s="2594">
        <f t="shared" si="663"/>
        <v>30190827</v>
      </c>
      <c r="T662" s="2594">
        <f t="shared" si="663"/>
        <v>0</v>
      </c>
      <c r="U662" s="2667"/>
      <c r="V662" s="2667"/>
      <c r="W662" s="2667"/>
      <c r="X662" s="2667"/>
    </row>
    <row r="664" spans="2:24" ht="15" customHeight="1">
      <c r="B664" s="1283" t="s">
        <v>346</v>
      </c>
      <c r="E664" s="843"/>
      <c r="J664" s="843"/>
    </row>
    <row r="665" spans="2:24" ht="15.75" customHeight="1">
      <c r="B665" s="819" t="s">
        <v>560</v>
      </c>
      <c r="C665" s="819"/>
      <c r="D665" s="819"/>
      <c r="E665" s="849"/>
      <c r="F665" s="819"/>
      <c r="G665" s="819"/>
      <c r="H665" s="819"/>
      <c r="I665" s="819"/>
      <c r="J665" s="849"/>
      <c r="K665" s="819"/>
      <c r="L665" s="819"/>
      <c r="M665" s="819"/>
      <c r="N665" s="819"/>
      <c r="O665" s="1066"/>
      <c r="P665" s="2421">
        <f>P402+P330+P266+P250+P241+P226+P353+P365+P278+P290+P302+P423+P432+P441+P450+P411+P314+P199+'Tab. 6H - Kultura fiz. i turyst'!P96+'Tab. 6H - Kultura fiz. i turyst'!P105+'Tab. 6H - Kultura fiz. i turyst'!P114</f>
        <v>6517592</v>
      </c>
      <c r="Q665" s="2421">
        <f>Q402+Q330+Q266+Q250+Q241+Q226+Q353+Q365+Q278+Q290+Q302+Q423+Q432+Q441+Q450+Q411+Q314+Q199+'Tab. 6H - Kultura fiz. i turyst'!Q96+'Tab. 6H - Kultura fiz. i turyst'!Q105+'Tab. 6H - Kultura fiz. i turyst'!Q114</f>
        <v>54960938</v>
      </c>
      <c r="R665" s="2421">
        <f>R402+R330+R266+R250+R241+R226+R353+R365+R278+R290+R302+R423+R432+R441+R450+R411+R314+R199+'Tab. 6H - Kultura fiz. i turyst'!R96+'Tab. 6H - Kultura fiz. i turyst'!R105+'Tab. 6H - Kultura fiz. i turyst'!R114</f>
        <v>37369990</v>
      </c>
      <c r="S665" s="2421">
        <f>S402+S330+S266+S250+S241+S226+S353+S365+S278+S290+S302+S423+S432+S441+S450+S411+S314+S199+'Tab. 6H - Kultura fiz. i turyst'!S96+'Tab. 6H - Kultura fiz. i turyst'!S105+'Tab. 6H - Kultura fiz. i turyst'!S114</f>
        <v>1834107</v>
      </c>
      <c r="T665" s="2421">
        <f>T402+T330+T266+T250+T241+T226+T353+T365+T278+T290+T302+T423+T432+T441+T450+T411+T314+T199+'Tab. 6H - Kultura fiz. i turyst'!T96+'Tab. 6H - Kultura fiz. i turyst'!T105+'Tab. 6H - Kultura fiz. i turyst'!T114</f>
        <v>0</v>
      </c>
      <c r="U665" s="2667"/>
      <c r="V665" s="2667"/>
      <c r="W665" s="2667"/>
      <c r="X665" s="2667"/>
    </row>
  </sheetData>
  <mergeCells count="315">
    <mergeCell ref="C335:C338"/>
    <mergeCell ref="A389:A397"/>
    <mergeCell ref="Y389:Y394"/>
    <mergeCell ref="C391:C394"/>
    <mergeCell ref="Y395:Y397"/>
    <mergeCell ref="C396:C397"/>
    <mergeCell ref="Z339:AB339"/>
    <mergeCell ref="A456:A470"/>
    <mergeCell ref="A640:A643"/>
    <mergeCell ref="Y640:Y643"/>
    <mergeCell ref="C642:C643"/>
    <mergeCell ref="C359:C362"/>
    <mergeCell ref="A399:A407"/>
    <mergeCell ref="Y399:Y404"/>
    <mergeCell ref="C401:C404"/>
    <mergeCell ref="Y405:Y407"/>
    <mergeCell ref="C406:C407"/>
    <mergeCell ref="Y456:Y470"/>
    <mergeCell ref="A408:A419"/>
    <mergeCell ref="Y408:Y414"/>
    <mergeCell ref="A533:A544"/>
    <mergeCell ref="Y538:Y547"/>
    <mergeCell ref="A548:A551"/>
    <mergeCell ref="Y548:Y551"/>
    <mergeCell ref="A648:A651"/>
    <mergeCell ref="Y648:Y651"/>
    <mergeCell ref="C650:C651"/>
    <mergeCell ref="A438:A446"/>
    <mergeCell ref="Y438:Y443"/>
    <mergeCell ref="C440:C443"/>
    <mergeCell ref="X444:X446"/>
    <mergeCell ref="C410:C414"/>
    <mergeCell ref="Y415:Y419"/>
    <mergeCell ref="C416:C419"/>
    <mergeCell ref="Y444:Y446"/>
    <mergeCell ref="C445:C446"/>
    <mergeCell ref="A471:A486"/>
    <mergeCell ref="Y471:Y485"/>
    <mergeCell ref="A487:A504"/>
    <mergeCell ref="Y487:Y503"/>
    <mergeCell ref="C489:C492"/>
    <mergeCell ref="C497:C504"/>
    <mergeCell ref="X480:X486"/>
    <mergeCell ref="X496:X504"/>
    <mergeCell ref="X511:X513"/>
    <mergeCell ref="C458:C464"/>
    <mergeCell ref="X468:X470"/>
    <mergeCell ref="C469:C470"/>
    <mergeCell ref="A311:A322"/>
    <mergeCell ref="Y312:Y317"/>
    <mergeCell ref="C313:C317"/>
    <mergeCell ref="X318:X322"/>
    <mergeCell ref="Y318:Y322"/>
    <mergeCell ref="C319:C322"/>
    <mergeCell ref="A323:A326"/>
    <mergeCell ref="Y324:Y326"/>
    <mergeCell ref="C325:C326"/>
    <mergeCell ref="A275:A286"/>
    <mergeCell ref="Y276:Y281"/>
    <mergeCell ref="C277:C281"/>
    <mergeCell ref="X282:X286"/>
    <mergeCell ref="Y282:Y286"/>
    <mergeCell ref="C283:C286"/>
    <mergeCell ref="A287:A298"/>
    <mergeCell ref="Y288:Y293"/>
    <mergeCell ref="C289:C293"/>
    <mergeCell ref="X294:X298"/>
    <mergeCell ref="Y294:Y298"/>
    <mergeCell ref="C295:C298"/>
    <mergeCell ref="A299:A310"/>
    <mergeCell ref="Y300:Y305"/>
    <mergeCell ref="C301:C305"/>
    <mergeCell ref="X306:X310"/>
    <mergeCell ref="Y306:Y310"/>
    <mergeCell ref="C307:C310"/>
    <mergeCell ref="A447:A455"/>
    <mergeCell ref="Y447:Y452"/>
    <mergeCell ref="C449:C452"/>
    <mergeCell ref="X453:X455"/>
    <mergeCell ref="Y453:Y455"/>
    <mergeCell ref="C454:C455"/>
    <mergeCell ref="A420:A428"/>
    <mergeCell ref="Y420:Y425"/>
    <mergeCell ref="C422:C425"/>
    <mergeCell ref="X426:X428"/>
    <mergeCell ref="Y426:Y428"/>
    <mergeCell ref="C427:C428"/>
    <mergeCell ref="A429:A437"/>
    <mergeCell ref="Y429:Y434"/>
    <mergeCell ref="C431:C434"/>
    <mergeCell ref="X435:X437"/>
    <mergeCell ref="Y435:Y437"/>
    <mergeCell ref="C436:C437"/>
    <mergeCell ref="A67:A80"/>
    <mergeCell ref="Y68:Y74"/>
    <mergeCell ref="C69:C74"/>
    <mergeCell ref="Y75:Y80"/>
    <mergeCell ref="C76:C80"/>
    <mergeCell ref="A81:A96"/>
    <mergeCell ref="Y82:Y89"/>
    <mergeCell ref="C83:C89"/>
    <mergeCell ref="Y90:Y96"/>
    <mergeCell ref="C91:C96"/>
    <mergeCell ref="X90:X95"/>
    <mergeCell ref="A111:A122"/>
    <mergeCell ref="Y105:Y110"/>
    <mergeCell ref="C106:C110"/>
    <mergeCell ref="Y112:Y117"/>
    <mergeCell ref="Y118:Y122"/>
    <mergeCell ref="C119:C122"/>
    <mergeCell ref="C113:C116"/>
    <mergeCell ref="A97:A110"/>
    <mergeCell ref="X105:X110"/>
    <mergeCell ref="X118:X122"/>
    <mergeCell ref="Y256:Y262"/>
    <mergeCell ref="C257:C262"/>
    <mergeCell ref="A223:A237"/>
    <mergeCell ref="Y224:Y230"/>
    <mergeCell ref="C225:C230"/>
    <mergeCell ref="A238:A246"/>
    <mergeCell ref="A4:Y4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O5:O6"/>
    <mergeCell ref="P5:W6"/>
    <mergeCell ref="X61:X66"/>
    <mergeCell ref="Y98:Y104"/>
    <mergeCell ref="C99:C104"/>
    <mergeCell ref="C130:C131"/>
    <mergeCell ref="A132:A143"/>
    <mergeCell ref="Y132:Y143"/>
    <mergeCell ref="C134:C138"/>
    <mergeCell ref="A123:A131"/>
    <mergeCell ref="Y124:Y128"/>
    <mergeCell ref="C125:C128"/>
    <mergeCell ref="Y334:Y338"/>
    <mergeCell ref="Y327:Y333"/>
    <mergeCell ref="A263:A274"/>
    <mergeCell ref="C265:C269"/>
    <mergeCell ref="C271:C274"/>
    <mergeCell ref="A144:A155"/>
    <mergeCell ref="Y145:Y150"/>
    <mergeCell ref="C146:C150"/>
    <mergeCell ref="Y270:Y274"/>
    <mergeCell ref="Y129:Y131"/>
    <mergeCell ref="Y264:Y269"/>
    <mergeCell ref="Y151:Y155"/>
    <mergeCell ref="C152:C155"/>
    <mergeCell ref="Y239:Y243"/>
    <mergeCell ref="C240:C243"/>
    <mergeCell ref="A327:A338"/>
    <mergeCell ref="C329:C333"/>
    <mergeCell ref="C140:C143"/>
    <mergeCell ref="C372:C376"/>
    <mergeCell ref="A363:A376"/>
    <mergeCell ref="C365:C370"/>
    <mergeCell ref="A167:A175"/>
    <mergeCell ref="Y168:Y172"/>
    <mergeCell ref="A188:A196"/>
    <mergeCell ref="Y189:Y193"/>
    <mergeCell ref="C190:C193"/>
    <mergeCell ref="Y194:Y196"/>
    <mergeCell ref="C195:C196"/>
    <mergeCell ref="A176:A187"/>
    <mergeCell ref="Y177:Y182"/>
    <mergeCell ref="C178:C182"/>
    <mergeCell ref="Y183:Y187"/>
    <mergeCell ref="C184:C187"/>
    <mergeCell ref="X183:X187"/>
    <mergeCell ref="Y203:Y205"/>
    <mergeCell ref="C204:C205"/>
    <mergeCell ref="Y231:Y237"/>
    <mergeCell ref="C232:C237"/>
    <mergeCell ref="A247:A262"/>
    <mergeCell ref="Y248:Y255"/>
    <mergeCell ref="C249:C255"/>
    <mergeCell ref="C245:C246"/>
    <mergeCell ref="A213:A221"/>
    <mergeCell ref="Y213:Y221"/>
    <mergeCell ref="C215:C218"/>
    <mergeCell ref="C169:C172"/>
    <mergeCell ref="Y173:Y175"/>
    <mergeCell ref="C174:C175"/>
    <mergeCell ref="A156:A166"/>
    <mergeCell ref="Y157:Y161"/>
    <mergeCell ref="C158:C161"/>
    <mergeCell ref="Y162:Y166"/>
    <mergeCell ref="C163:C164"/>
    <mergeCell ref="C165:C166"/>
    <mergeCell ref="C220:C221"/>
    <mergeCell ref="A206:A212"/>
    <mergeCell ref="C530:C531"/>
    <mergeCell ref="X520:X522"/>
    <mergeCell ref="X529:X531"/>
    <mergeCell ref="X542:X547"/>
    <mergeCell ref="A197:A200"/>
    <mergeCell ref="C199:C200"/>
    <mergeCell ref="Y198:Y200"/>
    <mergeCell ref="Y206:Y212"/>
    <mergeCell ref="C208:C209"/>
    <mergeCell ref="C211:C212"/>
    <mergeCell ref="X203:X205"/>
    <mergeCell ref="A377:A388"/>
    <mergeCell ref="Y377:Y383"/>
    <mergeCell ref="A339:A350"/>
    <mergeCell ref="C341:C345"/>
    <mergeCell ref="Y339:Y350"/>
    <mergeCell ref="X346:X350"/>
    <mergeCell ref="C347:C350"/>
    <mergeCell ref="Y363:Y376"/>
    <mergeCell ref="Y351:Y362"/>
    <mergeCell ref="X358:X362"/>
    <mergeCell ref="A351:A362"/>
    <mergeCell ref="C353:C357"/>
    <mergeCell ref="Y244:Y246"/>
    <mergeCell ref="A505:A513"/>
    <mergeCell ref="Y505:Y513"/>
    <mergeCell ref="C507:C510"/>
    <mergeCell ref="C512:C513"/>
    <mergeCell ref="A564:A567"/>
    <mergeCell ref="Y564:Y567"/>
    <mergeCell ref="C566:C567"/>
    <mergeCell ref="A568:A571"/>
    <mergeCell ref="Y568:Y571"/>
    <mergeCell ref="C570:C571"/>
    <mergeCell ref="A552:A555"/>
    <mergeCell ref="Y552:Y555"/>
    <mergeCell ref="C554:C555"/>
    <mergeCell ref="A556:A563"/>
    <mergeCell ref="Y556:Y563"/>
    <mergeCell ref="C558:C560"/>
    <mergeCell ref="C562:C563"/>
    <mergeCell ref="X561:X563"/>
    <mergeCell ref="C550:C551"/>
    <mergeCell ref="A514:A522"/>
    <mergeCell ref="Y514:Y522"/>
    <mergeCell ref="A523:A531"/>
    <mergeCell ref="Y523:Y531"/>
    <mergeCell ref="C525:C528"/>
    <mergeCell ref="C630:C632"/>
    <mergeCell ref="A620:A627"/>
    <mergeCell ref="A572:A575"/>
    <mergeCell ref="Y572:Y575"/>
    <mergeCell ref="C574:C575"/>
    <mergeCell ref="A576:A583"/>
    <mergeCell ref="Y576:Y579"/>
    <mergeCell ref="C578:C580"/>
    <mergeCell ref="Y581:Y583"/>
    <mergeCell ref="C582:C583"/>
    <mergeCell ref="A584:A587"/>
    <mergeCell ref="Y584:Y587"/>
    <mergeCell ref="C586:C587"/>
    <mergeCell ref="A588:A595"/>
    <mergeCell ref="Y588:Y591"/>
    <mergeCell ref="C590:C592"/>
    <mergeCell ref="Y593:Y595"/>
    <mergeCell ref="C594:C595"/>
    <mergeCell ref="A596:A602"/>
    <mergeCell ref="X600:X602"/>
    <mergeCell ref="Y600:Y602"/>
    <mergeCell ref="C601:C602"/>
    <mergeCell ref="A644:A647"/>
    <mergeCell ref="Y644:Y647"/>
    <mergeCell ref="C646:C647"/>
    <mergeCell ref="A636:A639"/>
    <mergeCell ref="Y636:Y639"/>
    <mergeCell ref="C638:C639"/>
    <mergeCell ref="Y596:Y599"/>
    <mergeCell ref="C598:C599"/>
    <mergeCell ref="A628:A635"/>
    <mergeCell ref="Y628:Y635"/>
    <mergeCell ref="Y620:Y627"/>
    <mergeCell ref="C634:C635"/>
    <mergeCell ref="C626:C627"/>
    <mergeCell ref="A603:A606"/>
    <mergeCell ref="Y603:Y606"/>
    <mergeCell ref="C605:C606"/>
    <mergeCell ref="A607:A615"/>
    <mergeCell ref="Y607:Y615"/>
    <mergeCell ref="C609:C610"/>
    <mergeCell ref="C613:C615"/>
    <mergeCell ref="A616:A619"/>
    <mergeCell ref="X633:X635"/>
    <mergeCell ref="Y616:Y619"/>
    <mergeCell ref="C622:C624"/>
    <mergeCell ref="X129:X131"/>
    <mergeCell ref="X151:X155"/>
    <mergeCell ref="X162:X166"/>
    <mergeCell ref="X173:X175"/>
    <mergeCell ref="X210:X212"/>
    <mergeCell ref="X612:X615"/>
    <mergeCell ref="X625:X627"/>
    <mergeCell ref="X194:X196"/>
    <mergeCell ref="X270:X274"/>
    <mergeCell ref="X334:X338"/>
    <mergeCell ref="X384:X388"/>
    <mergeCell ref="X395:X397"/>
    <mergeCell ref="X405:X407"/>
    <mergeCell ref="X581:X583"/>
    <mergeCell ref="X593:X595"/>
    <mergeCell ref="X219:X221"/>
    <mergeCell ref="X231:X237"/>
    <mergeCell ref="X244:X246"/>
    <mergeCell ref="X256:X262"/>
    <mergeCell ref="X415:X419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21" orientation="landscape" useFirstPageNumber="1" r:id="rId1"/>
  <headerFooter alignWithMargins="0">
    <oddHeader>&amp;C&amp;"Arial,Kursywa"Wieloletnia prognoza finansowa  Województwa Zachodniopomorskiego na lata 2016 - 2038&amp;"Arial,Normalny"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2" max="24" man="1"/>
    <brk id="221" max="24" man="1"/>
    <brk id="274" max="24" man="1"/>
    <brk id="326" max="24" man="1"/>
    <brk id="376" max="24" man="1"/>
    <brk id="428" max="24" man="1"/>
    <brk id="470" max="24" man="1"/>
    <brk id="531" max="24" man="1"/>
    <brk id="602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19"/>
  <sheetViews>
    <sheetView showGridLines="0" view="pageBreakPreview" zoomScale="110" zoomScaleNormal="100" zoomScaleSheetLayoutView="11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O7" sqref="O7"/>
    </sheetView>
  </sheetViews>
  <sheetFormatPr defaultColWidth="9.140625" defaultRowHeight="12.75"/>
  <cols>
    <col min="1" max="1" width="4" style="1538" customWidth="1"/>
    <col min="2" max="2" width="54.7109375" style="1539" customWidth="1"/>
    <col min="3" max="3" width="10.42578125" style="1539" customWidth="1"/>
    <col min="4" max="4" width="11.7109375" style="1539" customWidth="1"/>
    <col min="5" max="6" width="10.28515625" style="1539" hidden="1" customWidth="1"/>
    <col min="7" max="8" width="10.42578125" style="1539" hidden="1" customWidth="1"/>
    <col min="9" max="9" width="10.28515625" style="1539" hidden="1" customWidth="1"/>
    <col min="10" max="10" width="10.85546875" style="1539" hidden="1" customWidth="1"/>
    <col min="11" max="11" width="10.28515625" style="1539" hidden="1" customWidth="1"/>
    <col min="12" max="12" width="10.7109375" style="1539" hidden="1" customWidth="1"/>
    <col min="13" max="13" width="12.140625" style="1539" customWidth="1"/>
    <col min="14" max="14" width="11.140625" style="1539" hidden="1" customWidth="1"/>
    <col min="15" max="15" width="11.28515625" style="1539" customWidth="1"/>
    <col min="16" max="16" width="9.85546875" style="1539" customWidth="1"/>
    <col min="17" max="17" width="9.42578125" style="1539" customWidth="1"/>
    <col min="18" max="20" width="9.85546875" style="1539" customWidth="1"/>
    <col min="21" max="23" width="9.42578125" style="1539" bestFit="1" customWidth="1"/>
    <col min="24" max="24" width="12.7109375" style="1539" customWidth="1"/>
    <col min="25" max="25" width="14.5703125" style="1539" customWidth="1"/>
    <col min="26" max="26" width="14" style="1539" customWidth="1"/>
    <col min="27" max="27" width="12.140625" style="1539" customWidth="1"/>
    <col min="28" max="28" width="9.5703125" style="1539" customWidth="1"/>
    <col min="29" max="29" width="14.28515625" style="1539" customWidth="1"/>
    <col min="30" max="30" width="12" style="1539" customWidth="1"/>
    <col min="31" max="32" width="9.140625" style="1539"/>
    <col min="33" max="33" width="12.5703125" style="1539" customWidth="1"/>
    <col min="34" max="16384" width="9.140625" style="1539"/>
  </cols>
  <sheetData>
    <row r="1" spans="1:27" s="1537" customFormat="1" ht="17.25" customHeight="1">
      <c r="A1" s="2667"/>
      <c r="B1" s="2667"/>
      <c r="C1" s="2667"/>
      <c r="D1" s="2667"/>
      <c r="E1" s="2667"/>
      <c r="F1" s="2667"/>
      <c r="G1" s="2667"/>
      <c r="H1" s="2667"/>
      <c r="I1" s="2667"/>
      <c r="J1" s="2667"/>
      <c r="K1" s="2667"/>
      <c r="L1" s="2667"/>
      <c r="M1" s="2667"/>
      <c r="N1" s="2667"/>
      <c r="O1" s="1300"/>
      <c r="P1" s="2667"/>
      <c r="Q1" s="2667"/>
      <c r="R1" s="2667"/>
      <c r="S1" s="2667"/>
      <c r="T1" s="1306" t="s">
        <v>139</v>
      </c>
      <c r="U1" s="1306"/>
      <c r="V1" s="1306"/>
      <c r="W1" s="1306"/>
      <c r="X1" s="325"/>
      <c r="Y1" s="326"/>
      <c r="Z1" s="2053"/>
    </row>
    <row r="2" spans="1:27" ht="18.75">
      <c r="A2" s="2667"/>
      <c r="B2" s="2667"/>
      <c r="C2" s="2667"/>
      <c r="D2" s="1322"/>
      <c r="E2" s="1322"/>
      <c r="F2" s="1322"/>
      <c r="G2" s="1322"/>
      <c r="H2" s="1322"/>
      <c r="I2" s="1322"/>
      <c r="J2" s="1322"/>
      <c r="K2" s="1322"/>
      <c r="L2" s="1322"/>
      <c r="M2" s="1322"/>
      <c r="N2" s="1322"/>
      <c r="O2" s="1322"/>
      <c r="P2" s="1322"/>
      <c r="Q2" s="1322"/>
      <c r="R2" s="1322"/>
      <c r="S2" s="1322"/>
      <c r="T2" s="1322"/>
      <c r="U2" s="1322"/>
      <c r="V2" s="1322"/>
      <c r="W2" s="1322"/>
      <c r="X2" s="1322"/>
      <c r="Y2" s="326"/>
      <c r="Z2" s="2054"/>
    </row>
    <row r="3" spans="1:27" ht="34.5" customHeight="1">
      <c r="A3" s="3163" t="s">
        <v>140</v>
      </c>
      <c r="B3" s="3164"/>
      <c r="C3" s="3164"/>
      <c r="D3" s="3164"/>
      <c r="E3" s="3164"/>
      <c r="F3" s="3164"/>
      <c r="G3" s="3164"/>
      <c r="H3" s="3164"/>
      <c r="I3" s="3164"/>
      <c r="J3" s="3164"/>
      <c r="K3" s="3164"/>
      <c r="L3" s="3164"/>
      <c r="M3" s="3164"/>
      <c r="N3" s="3164"/>
      <c r="O3" s="3164"/>
      <c r="P3" s="3164"/>
      <c r="Q3" s="3164"/>
      <c r="R3" s="3164"/>
      <c r="S3" s="3164"/>
      <c r="T3" s="3164"/>
      <c r="U3" s="3164"/>
      <c r="V3" s="3164"/>
      <c r="W3" s="3164"/>
      <c r="X3" s="3164"/>
      <c r="Y3" s="3165"/>
      <c r="Z3" s="1538"/>
    </row>
    <row r="4" spans="1:27" ht="22.5" customHeight="1">
      <c r="A4" s="3175" t="s">
        <v>90</v>
      </c>
      <c r="B4" s="3169" t="s">
        <v>91</v>
      </c>
      <c r="C4" s="3166" t="s">
        <v>87</v>
      </c>
      <c r="D4" s="3166" t="s">
        <v>141</v>
      </c>
      <c r="E4" s="2751" t="s">
        <v>3</v>
      </c>
      <c r="F4" s="2751"/>
      <c r="G4" s="2751"/>
      <c r="H4" s="2751"/>
      <c r="I4" s="2751"/>
      <c r="J4" s="2751"/>
      <c r="K4" s="2751"/>
      <c r="L4" s="2751"/>
      <c r="M4" s="3172" t="s">
        <v>399</v>
      </c>
      <c r="N4" s="2751"/>
      <c r="O4" s="3173" t="s">
        <v>415</v>
      </c>
      <c r="P4" s="3174" t="s">
        <v>410</v>
      </c>
      <c r="Q4" s="3174"/>
      <c r="R4" s="3174"/>
      <c r="S4" s="3174"/>
      <c r="T4" s="3174"/>
      <c r="U4" s="3174"/>
      <c r="V4" s="3174"/>
      <c r="W4" s="3174"/>
      <c r="X4" s="3170" t="s">
        <v>376</v>
      </c>
      <c r="Y4" s="3169" t="s">
        <v>89</v>
      </c>
    </row>
    <row r="5" spans="1:27" ht="27" customHeight="1">
      <c r="A5" s="3176"/>
      <c r="B5" s="3169"/>
      <c r="C5" s="3167"/>
      <c r="D5" s="3168"/>
      <c r="E5" s="2751"/>
      <c r="F5" s="2751"/>
      <c r="G5" s="2751"/>
      <c r="H5" s="2751"/>
      <c r="I5" s="2751"/>
      <c r="J5" s="2751"/>
      <c r="K5" s="2751"/>
      <c r="L5" s="2751"/>
      <c r="M5" s="3172"/>
      <c r="N5" s="2751"/>
      <c r="O5" s="3173"/>
      <c r="P5" s="3174"/>
      <c r="Q5" s="3174"/>
      <c r="R5" s="3174"/>
      <c r="S5" s="3174"/>
      <c r="T5" s="3174"/>
      <c r="U5" s="3174"/>
      <c r="V5" s="3174"/>
      <c r="W5" s="3174"/>
      <c r="X5" s="3171"/>
      <c r="Y5" s="3169"/>
    </row>
    <row r="6" spans="1:27" ht="45" customHeight="1">
      <c r="A6" s="3177"/>
      <c r="B6" s="3169"/>
      <c r="C6" s="3167"/>
      <c r="D6" s="3168"/>
      <c r="E6" s="2752" t="s">
        <v>6</v>
      </c>
      <c r="F6" s="2753" t="s">
        <v>7</v>
      </c>
      <c r="G6" s="2753" t="s">
        <v>8</v>
      </c>
      <c r="H6" s="2753" t="s">
        <v>9</v>
      </c>
      <c r="I6" s="2754" t="s">
        <v>10</v>
      </c>
      <c r="J6" s="2754" t="s">
        <v>11</v>
      </c>
      <c r="K6" s="2754" t="s">
        <v>12</v>
      </c>
      <c r="L6" s="2754" t="s">
        <v>13</v>
      </c>
      <c r="M6" s="2755" t="s">
        <v>377</v>
      </c>
      <c r="N6" s="2754" t="s">
        <v>14</v>
      </c>
      <c r="O6" s="2754" t="s">
        <v>15</v>
      </c>
      <c r="P6" s="2754" t="s">
        <v>16</v>
      </c>
      <c r="Q6" s="2754" t="s">
        <v>17</v>
      </c>
      <c r="R6" s="2754" t="s">
        <v>18</v>
      </c>
      <c r="S6" s="2754" t="s">
        <v>290</v>
      </c>
      <c r="T6" s="2754" t="s">
        <v>295</v>
      </c>
      <c r="U6" s="2754" t="s">
        <v>373</v>
      </c>
      <c r="V6" s="2754" t="s">
        <v>374</v>
      </c>
      <c r="W6" s="2754" t="s">
        <v>372</v>
      </c>
      <c r="X6" s="3171"/>
      <c r="Y6" s="3169"/>
    </row>
    <row r="7" spans="1:27" ht="13.5" customHeight="1">
      <c r="A7" s="2107">
        <v>1</v>
      </c>
      <c r="B7" s="2756">
        <v>2</v>
      </c>
      <c r="C7" s="2757" t="s">
        <v>142</v>
      </c>
      <c r="D7" s="2757" t="s">
        <v>143</v>
      </c>
      <c r="E7" s="2757"/>
      <c r="F7" s="2757"/>
      <c r="G7" s="2756"/>
      <c r="H7" s="2756"/>
      <c r="I7" s="2757"/>
      <c r="J7" s="2757"/>
      <c r="K7" s="2757"/>
      <c r="L7" s="2757"/>
      <c r="M7" s="2757">
        <v>5</v>
      </c>
      <c r="N7" s="2757" t="s">
        <v>375</v>
      </c>
      <c r="O7" s="2757">
        <v>6</v>
      </c>
      <c r="P7" s="2757">
        <v>7</v>
      </c>
      <c r="Q7" s="2757">
        <v>8</v>
      </c>
      <c r="R7" s="2757">
        <v>9</v>
      </c>
      <c r="S7" s="2757">
        <v>10</v>
      </c>
      <c r="T7" s="2757">
        <v>11</v>
      </c>
      <c r="U7" s="2757">
        <v>12</v>
      </c>
      <c r="V7" s="2757">
        <v>13</v>
      </c>
      <c r="W7" s="2757">
        <v>14</v>
      </c>
      <c r="X7" s="2758">
        <v>15</v>
      </c>
      <c r="Y7" s="2757">
        <v>16</v>
      </c>
    </row>
    <row r="8" spans="1:27" ht="14.25" customHeight="1">
      <c r="A8" s="2108"/>
      <c r="B8" s="2759" t="s">
        <v>92</v>
      </c>
      <c r="C8" s="2759"/>
      <c r="D8" s="2760">
        <f>+D9+D10</f>
        <v>83111550</v>
      </c>
      <c r="E8" s="2760">
        <f>+E9+E10</f>
        <v>0</v>
      </c>
      <c r="F8" s="2760">
        <f t="shared" ref="F8:R8" si="0">+F9+F10</f>
        <v>0</v>
      </c>
      <c r="G8" s="2760">
        <f t="shared" si="0"/>
        <v>0</v>
      </c>
      <c r="H8" s="2760">
        <f t="shared" si="0"/>
        <v>0</v>
      </c>
      <c r="I8" s="2760">
        <f t="shared" si="0"/>
        <v>0</v>
      </c>
      <c r="J8" s="2760">
        <f t="shared" si="0"/>
        <v>0</v>
      </c>
      <c r="K8" s="2760">
        <f t="shared" si="0"/>
        <v>0</v>
      </c>
      <c r="L8" s="2760">
        <f t="shared" si="0"/>
        <v>0</v>
      </c>
      <c r="M8" s="2760">
        <f t="shared" ref="M8:N8" si="1">+M9+M10</f>
        <v>0</v>
      </c>
      <c r="N8" s="2760">
        <f t="shared" si="1"/>
        <v>0</v>
      </c>
      <c r="O8" s="2760">
        <f t="shared" si="0"/>
        <v>754041</v>
      </c>
      <c r="P8" s="2760">
        <f t="shared" si="0"/>
        <v>12318391</v>
      </c>
      <c r="Q8" s="2760">
        <f t="shared" si="0"/>
        <v>12126807</v>
      </c>
      <c r="R8" s="2760">
        <f t="shared" si="0"/>
        <v>11302834</v>
      </c>
      <c r="S8" s="2760">
        <f t="shared" ref="S8:T8" si="2">+S9+S10</f>
        <v>9753595</v>
      </c>
      <c r="T8" s="2760">
        <f t="shared" si="2"/>
        <v>9717449</v>
      </c>
      <c r="U8" s="2760">
        <f t="shared" ref="U8:W8" si="3">+U9+U10</f>
        <v>9597275</v>
      </c>
      <c r="V8" s="2760">
        <f t="shared" si="3"/>
        <v>8877275</v>
      </c>
      <c r="W8" s="2760">
        <f t="shared" si="3"/>
        <v>8663883</v>
      </c>
      <c r="X8" s="2761">
        <f>+X9+X10</f>
        <v>82357509</v>
      </c>
      <c r="Y8" s="2762"/>
      <c r="Z8" s="1540">
        <f>+O8+P8+Q8+R8</f>
        <v>36502073</v>
      </c>
      <c r="AA8" s="1540"/>
    </row>
    <row r="9" spans="1:27" ht="13.5" customHeight="1">
      <c r="A9" s="2109"/>
      <c r="B9" s="2759" t="s">
        <v>93</v>
      </c>
      <c r="C9" s="2759"/>
      <c r="D9" s="2760">
        <f t="shared" ref="D9:X9" si="4">+D25+D32+D49+D65+D113+D125+D173+D185+D197+D209+D77+D89+D101+D149</f>
        <v>83091379</v>
      </c>
      <c r="E9" s="2760">
        <f t="shared" si="4"/>
        <v>0</v>
      </c>
      <c r="F9" s="2760">
        <f t="shared" si="4"/>
        <v>0</v>
      </c>
      <c r="G9" s="2760">
        <f t="shared" si="4"/>
        <v>0</v>
      </c>
      <c r="H9" s="2760">
        <f t="shared" si="4"/>
        <v>0</v>
      </c>
      <c r="I9" s="2760">
        <f t="shared" si="4"/>
        <v>0</v>
      </c>
      <c r="J9" s="2760">
        <f t="shared" si="4"/>
        <v>0</v>
      </c>
      <c r="K9" s="2760">
        <f t="shared" si="4"/>
        <v>0</v>
      </c>
      <c r="L9" s="2760">
        <f t="shared" si="4"/>
        <v>0</v>
      </c>
      <c r="M9" s="2760">
        <f t="shared" si="4"/>
        <v>0</v>
      </c>
      <c r="N9" s="2760">
        <f t="shared" si="4"/>
        <v>0</v>
      </c>
      <c r="O9" s="2760">
        <f t="shared" si="4"/>
        <v>754041</v>
      </c>
      <c r="P9" s="2760">
        <f t="shared" si="4"/>
        <v>12298220</v>
      </c>
      <c r="Q9" s="2760">
        <f t="shared" si="4"/>
        <v>12126807</v>
      </c>
      <c r="R9" s="2760">
        <f t="shared" si="4"/>
        <v>11302834</v>
      </c>
      <c r="S9" s="2760">
        <f t="shared" si="4"/>
        <v>9753595</v>
      </c>
      <c r="T9" s="2760">
        <f>+T25+T32+T49+T65+T113+T125+T173+T185+T197+T209+T77+T89+T101+T149</f>
        <v>9717449</v>
      </c>
      <c r="U9" s="2760">
        <f t="shared" si="4"/>
        <v>9597275</v>
      </c>
      <c r="V9" s="2760">
        <f t="shared" si="4"/>
        <v>8877275</v>
      </c>
      <c r="W9" s="2760">
        <f t="shared" si="4"/>
        <v>8663883</v>
      </c>
      <c r="X9" s="2760">
        <f t="shared" si="4"/>
        <v>82337338</v>
      </c>
      <c r="Y9" s="2762"/>
      <c r="Z9" s="1540"/>
      <c r="AA9" s="1540"/>
    </row>
    <row r="10" spans="1:27" ht="13.5" customHeight="1">
      <c r="A10" s="2109"/>
      <c r="B10" s="2763" t="s">
        <v>21</v>
      </c>
      <c r="C10" s="2764"/>
      <c r="D10" s="2765">
        <f>D137+D161</f>
        <v>20171</v>
      </c>
      <c r="E10" s="2765">
        <f t="shared" ref="E10:W10" si="5">E137+E161</f>
        <v>0</v>
      </c>
      <c r="F10" s="2765">
        <f t="shared" si="5"/>
        <v>0</v>
      </c>
      <c r="G10" s="2765">
        <f t="shared" si="5"/>
        <v>0</v>
      </c>
      <c r="H10" s="2765">
        <f t="shared" si="5"/>
        <v>0</v>
      </c>
      <c r="I10" s="2765">
        <f t="shared" si="5"/>
        <v>0</v>
      </c>
      <c r="J10" s="2765">
        <f t="shared" si="5"/>
        <v>0</v>
      </c>
      <c r="K10" s="2765">
        <f t="shared" si="5"/>
        <v>0</v>
      </c>
      <c r="L10" s="2765">
        <f t="shared" si="5"/>
        <v>0</v>
      </c>
      <c r="M10" s="2765">
        <f t="shared" si="5"/>
        <v>0</v>
      </c>
      <c r="N10" s="2765">
        <f t="shared" si="5"/>
        <v>0</v>
      </c>
      <c r="O10" s="2765">
        <f t="shared" si="5"/>
        <v>0</v>
      </c>
      <c r="P10" s="2765">
        <f t="shared" si="5"/>
        <v>20171</v>
      </c>
      <c r="Q10" s="2765">
        <f t="shared" si="5"/>
        <v>0</v>
      </c>
      <c r="R10" s="2765">
        <f t="shared" si="5"/>
        <v>0</v>
      </c>
      <c r="S10" s="2765">
        <f t="shared" si="5"/>
        <v>0</v>
      </c>
      <c r="T10" s="2765">
        <f t="shared" si="5"/>
        <v>0</v>
      </c>
      <c r="U10" s="2765">
        <f t="shared" si="5"/>
        <v>0</v>
      </c>
      <c r="V10" s="2765">
        <f t="shared" si="5"/>
        <v>0</v>
      </c>
      <c r="W10" s="2765">
        <f t="shared" si="5"/>
        <v>0</v>
      </c>
      <c r="X10" s="2761">
        <f>SUM(P10:T10)</f>
        <v>20171</v>
      </c>
      <c r="Y10" s="2762"/>
    </row>
    <row r="11" spans="1:27" ht="13.5" customHeight="1">
      <c r="A11" s="2109"/>
      <c r="B11" s="2766" t="s">
        <v>22</v>
      </c>
      <c r="C11" s="2766"/>
      <c r="D11" s="2767">
        <f>+D12+D15</f>
        <v>83111550</v>
      </c>
      <c r="E11" s="2767">
        <f t="shared" ref="E11:T11" si="6">E12+E15</f>
        <v>0</v>
      </c>
      <c r="F11" s="2767">
        <f t="shared" si="6"/>
        <v>0</v>
      </c>
      <c r="G11" s="2767">
        <f t="shared" si="6"/>
        <v>0</v>
      </c>
      <c r="H11" s="2767">
        <f t="shared" si="6"/>
        <v>0</v>
      </c>
      <c r="I11" s="2767">
        <f t="shared" si="6"/>
        <v>0</v>
      </c>
      <c r="J11" s="2767">
        <f t="shared" si="6"/>
        <v>0</v>
      </c>
      <c r="K11" s="2767">
        <f t="shared" si="6"/>
        <v>0</v>
      </c>
      <c r="L11" s="2767">
        <f t="shared" si="6"/>
        <v>0</v>
      </c>
      <c r="M11" s="2767">
        <f t="shared" si="6"/>
        <v>0</v>
      </c>
      <c r="N11" s="2767">
        <f t="shared" si="6"/>
        <v>0</v>
      </c>
      <c r="O11" s="2767">
        <f t="shared" si="6"/>
        <v>754041</v>
      </c>
      <c r="P11" s="2767">
        <f t="shared" si="6"/>
        <v>12318391</v>
      </c>
      <c r="Q11" s="2767">
        <f t="shared" si="6"/>
        <v>12126807</v>
      </c>
      <c r="R11" s="2767">
        <f t="shared" si="6"/>
        <v>11302834</v>
      </c>
      <c r="S11" s="2767">
        <f t="shared" si="6"/>
        <v>9753595</v>
      </c>
      <c r="T11" s="2767">
        <f t="shared" si="6"/>
        <v>9717449</v>
      </c>
      <c r="U11" s="2767">
        <f t="shared" ref="U11:W11" si="7">U12+U15</f>
        <v>9597275</v>
      </c>
      <c r="V11" s="2767">
        <f t="shared" si="7"/>
        <v>8877275</v>
      </c>
      <c r="W11" s="2767">
        <f t="shared" si="7"/>
        <v>8663883</v>
      </c>
      <c r="X11" s="2686">
        <f>X12+X15</f>
        <v>82259076</v>
      </c>
      <c r="Y11" s="2768"/>
      <c r="Z11" s="1540"/>
      <c r="AA11" s="1540"/>
    </row>
    <row r="12" spans="1:27" s="1541" customFormat="1" ht="13.5" customHeight="1">
      <c r="A12" s="2109"/>
      <c r="B12" s="2769" t="s">
        <v>36</v>
      </c>
      <c r="C12" s="2769"/>
      <c r="D12" s="2770">
        <f>D13+D14</f>
        <v>12505954</v>
      </c>
      <c r="E12" s="2770">
        <f t="shared" ref="E12:T12" si="8">E13+E14</f>
        <v>0</v>
      </c>
      <c r="F12" s="2770">
        <f t="shared" si="8"/>
        <v>0</v>
      </c>
      <c r="G12" s="2770">
        <f t="shared" si="8"/>
        <v>0</v>
      </c>
      <c r="H12" s="2770">
        <f t="shared" si="8"/>
        <v>0</v>
      </c>
      <c r="I12" s="2770">
        <f t="shared" si="8"/>
        <v>0</v>
      </c>
      <c r="J12" s="2770">
        <f t="shared" si="8"/>
        <v>0</v>
      </c>
      <c r="K12" s="2770">
        <f t="shared" si="8"/>
        <v>0</v>
      </c>
      <c r="L12" s="2770">
        <f t="shared" si="8"/>
        <v>0</v>
      </c>
      <c r="M12" s="2770">
        <f t="shared" si="8"/>
        <v>0</v>
      </c>
      <c r="N12" s="2770">
        <f t="shared" si="8"/>
        <v>0</v>
      </c>
      <c r="O12" s="2770">
        <f t="shared" si="8"/>
        <v>116338</v>
      </c>
      <c r="P12" s="2770">
        <f t="shared" si="8"/>
        <v>1860954</v>
      </c>
      <c r="Q12" s="2770">
        <f t="shared" si="8"/>
        <v>1829738</v>
      </c>
      <c r="R12" s="2770">
        <f t="shared" si="8"/>
        <v>1706142</v>
      </c>
      <c r="S12" s="2770">
        <f t="shared" si="8"/>
        <v>1463719</v>
      </c>
      <c r="T12" s="2770">
        <f t="shared" si="8"/>
        <v>1458297</v>
      </c>
      <c r="U12" s="2770">
        <f t="shared" ref="U12:W12" si="9">U13+U14</f>
        <v>1439591</v>
      </c>
      <c r="V12" s="2770">
        <f t="shared" si="9"/>
        <v>1331592</v>
      </c>
      <c r="W12" s="2770">
        <f t="shared" si="9"/>
        <v>1299583</v>
      </c>
      <c r="X12" s="2771">
        <f>X13+X14</f>
        <v>12308183</v>
      </c>
      <c r="Y12" s="2762"/>
    </row>
    <row r="13" spans="1:27" ht="12.75" customHeight="1">
      <c r="A13" s="2109"/>
      <c r="B13" s="2772" t="s">
        <v>24</v>
      </c>
      <c r="C13" s="2772"/>
      <c r="D13" s="2773">
        <f>D51+D67+D127+D139+D91+D79+D211+D103+D151+D163+D175+D34</f>
        <v>12505954</v>
      </c>
      <c r="E13" s="2773">
        <f t="shared" ref="E13:N13" si="10">E51+E67+E127+E139+E91+E79+E211+E103+E151+E163+E175</f>
        <v>0</v>
      </c>
      <c r="F13" s="2773">
        <f t="shared" si="10"/>
        <v>0</v>
      </c>
      <c r="G13" s="2773">
        <f t="shared" si="10"/>
        <v>0</v>
      </c>
      <c r="H13" s="2773">
        <f t="shared" si="10"/>
        <v>0</v>
      </c>
      <c r="I13" s="2773">
        <f t="shared" si="10"/>
        <v>0</v>
      </c>
      <c r="J13" s="2773">
        <f t="shared" si="10"/>
        <v>0</v>
      </c>
      <c r="K13" s="2773">
        <f t="shared" si="10"/>
        <v>0</v>
      </c>
      <c r="L13" s="2773">
        <f t="shared" si="10"/>
        <v>0</v>
      </c>
      <c r="M13" s="2773">
        <f t="shared" si="10"/>
        <v>0</v>
      </c>
      <c r="N13" s="2773">
        <f t="shared" si="10"/>
        <v>0</v>
      </c>
      <c r="O13" s="2773">
        <f t="shared" ref="O13:W13" si="11">O51+O67+O127+O139+O91+O79+O211+O103+O151+O163+O175+O34</f>
        <v>116338</v>
      </c>
      <c r="P13" s="2773">
        <f t="shared" si="11"/>
        <v>1860954</v>
      </c>
      <c r="Q13" s="2773">
        <f t="shared" si="11"/>
        <v>1829738</v>
      </c>
      <c r="R13" s="2773">
        <f t="shared" si="11"/>
        <v>1706142</v>
      </c>
      <c r="S13" s="2773">
        <f t="shared" si="11"/>
        <v>1463719</v>
      </c>
      <c r="T13" s="2773">
        <f t="shared" si="11"/>
        <v>1458297</v>
      </c>
      <c r="U13" s="2773">
        <f t="shared" si="11"/>
        <v>1439591</v>
      </c>
      <c r="V13" s="2773">
        <f t="shared" si="11"/>
        <v>1331592</v>
      </c>
      <c r="W13" s="2773">
        <f t="shared" si="11"/>
        <v>1299583</v>
      </c>
      <c r="X13" s="1542">
        <f>X51+X67+X127+X139+X91+X79+X211+X103+X151</f>
        <v>12308183</v>
      </c>
      <c r="Y13" s="2762"/>
      <c r="Z13" s="1540"/>
    </row>
    <row r="14" spans="1:27" ht="12.75" hidden="1" customHeight="1">
      <c r="A14" s="2109"/>
      <c r="B14" s="2774" t="s">
        <v>25</v>
      </c>
      <c r="C14" s="2772"/>
      <c r="D14" s="1543">
        <f t="shared" ref="D14:W14" si="12">D54+D68+D116+D128+D176+D38+D92+D80+D164</f>
        <v>0</v>
      </c>
      <c r="E14" s="1543">
        <f t="shared" si="12"/>
        <v>0</v>
      </c>
      <c r="F14" s="1543">
        <f t="shared" si="12"/>
        <v>0</v>
      </c>
      <c r="G14" s="1543">
        <f t="shared" si="12"/>
        <v>0</v>
      </c>
      <c r="H14" s="1543">
        <f t="shared" si="12"/>
        <v>0</v>
      </c>
      <c r="I14" s="1543">
        <f t="shared" si="12"/>
        <v>0</v>
      </c>
      <c r="J14" s="1543">
        <f t="shared" si="12"/>
        <v>0</v>
      </c>
      <c r="K14" s="1543">
        <f t="shared" si="12"/>
        <v>0</v>
      </c>
      <c r="L14" s="1543">
        <f t="shared" si="12"/>
        <v>0</v>
      </c>
      <c r="M14" s="1543">
        <f t="shared" si="12"/>
        <v>0</v>
      </c>
      <c r="N14" s="1543">
        <f t="shared" si="12"/>
        <v>0</v>
      </c>
      <c r="O14" s="1543">
        <f t="shared" si="12"/>
        <v>0</v>
      </c>
      <c r="P14" s="1543">
        <f t="shared" si="12"/>
        <v>0</v>
      </c>
      <c r="Q14" s="1543">
        <f t="shared" si="12"/>
        <v>0</v>
      </c>
      <c r="R14" s="1543">
        <f t="shared" si="12"/>
        <v>0</v>
      </c>
      <c r="S14" s="1543">
        <f t="shared" si="12"/>
        <v>0</v>
      </c>
      <c r="T14" s="1543">
        <f t="shared" si="12"/>
        <v>0</v>
      </c>
      <c r="U14" s="1543">
        <f t="shared" si="12"/>
        <v>0</v>
      </c>
      <c r="V14" s="1543">
        <f t="shared" si="12"/>
        <v>0</v>
      </c>
      <c r="W14" s="1543">
        <f t="shared" si="12"/>
        <v>0</v>
      </c>
      <c r="X14" s="1542">
        <f>SUM(P14:T14)</f>
        <v>0</v>
      </c>
      <c r="Y14" s="2762"/>
      <c r="Z14" s="1540"/>
    </row>
    <row r="15" spans="1:27" s="1541" customFormat="1" ht="12.75" customHeight="1">
      <c r="A15" s="2109"/>
      <c r="B15" s="2775" t="s">
        <v>30</v>
      </c>
      <c r="C15" s="2775"/>
      <c r="D15" s="2770">
        <f>D17+D16</f>
        <v>70605596</v>
      </c>
      <c r="E15" s="2770">
        <f t="shared" ref="E15:N15" si="13">E17</f>
        <v>0</v>
      </c>
      <c r="F15" s="2770">
        <f t="shared" si="13"/>
        <v>0</v>
      </c>
      <c r="G15" s="2770">
        <f t="shared" si="13"/>
        <v>0</v>
      </c>
      <c r="H15" s="2770">
        <f t="shared" si="13"/>
        <v>0</v>
      </c>
      <c r="I15" s="2770">
        <f t="shared" si="13"/>
        <v>0</v>
      </c>
      <c r="J15" s="2770">
        <f t="shared" si="13"/>
        <v>0</v>
      </c>
      <c r="K15" s="2770">
        <f t="shared" si="13"/>
        <v>0</v>
      </c>
      <c r="L15" s="2770">
        <f t="shared" si="13"/>
        <v>0</v>
      </c>
      <c r="M15" s="2770">
        <f t="shared" si="13"/>
        <v>0</v>
      </c>
      <c r="N15" s="2770">
        <f t="shared" si="13"/>
        <v>0</v>
      </c>
      <c r="O15" s="2770">
        <f t="shared" ref="O15:X15" si="14">O17+O16</f>
        <v>637703</v>
      </c>
      <c r="P15" s="2770">
        <f t="shared" si="14"/>
        <v>10457437</v>
      </c>
      <c r="Q15" s="2770">
        <f t="shared" si="14"/>
        <v>10297069</v>
      </c>
      <c r="R15" s="2770">
        <f t="shared" si="14"/>
        <v>9596692</v>
      </c>
      <c r="S15" s="2770">
        <f t="shared" si="14"/>
        <v>8289876</v>
      </c>
      <c r="T15" s="2770">
        <f t="shared" si="14"/>
        <v>8259152</v>
      </c>
      <c r="U15" s="2770">
        <f t="shared" si="14"/>
        <v>8157684</v>
      </c>
      <c r="V15" s="2770">
        <f t="shared" si="14"/>
        <v>7545683</v>
      </c>
      <c r="W15" s="2770">
        <f t="shared" si="14"/>
        <v>7364300</v>
      </c>
      <c r="X15" s="2771">
        <f t="shared" si="14"/>
        <v>69950893</v>
      </c>
      <c r="Y15" s="2762"/>
    </row>
    <row r="16" spans="1:27" s="2596" customFormat="1" ht="12.75" customHeight="1">
      <c r="A16" s="2109"/>
      <c r="B16" s="2597" t="s">
        <v>32</v>
      </c>
      <c r="C16" s="2776"/>
      <c r="D16" s="2777">
        <f>+D40</f>
        <v>420817</v>
      </c>
      <c r="E16" s="2777"/>
      <c r="F16" s="2777"/>
      <c r="G16" s="2777"/>
      <c r="H16" s="2777"/>
      <c r="I16" s="2777"/>
      <c r="J16" s="2777"/>
      <c r="K16" s="2777"/>
      <c r="L16" s="2777"/>
      <c r="M16" s="2777"/>
      <c r="N16" s="2777"/>
      <c r="O16" s="2777">
        <f t="shared" ref="O16:W16" si="15">+O40</f>
        <v>0</v>
      </c>
      <c r="P16" s="2777">
        <f t="shared" si="15"/>
        <v>88766</v>
      </c>
      <c r="Q16" s="2777">
        <f t="shared" si="15"/>
        <v>154696</v>
      </c>
      <c r="R16" s="2777">
        <f t="shared" si="15"/>
        <v>103495</v>
      </c>
      <c r="S16" s="2777">
        <f t="shared" si="15"/>
        <v>60792</v>
      </c>
      <c r="T16" s="2777">
        <f>+T40</f>
        <v>13068</v>
      </c>
      <c r="U16" s="2777">
        <f t="shared" si="15"/>
        <v>0</v>
      </c>
      <c r="V16" s="2777">
        <f t="shared" si="15"/>
        <v>0</v>
      </c>
      <c r="W16" s="2777">
        <f t="shared" si="15"/>
        <v>0</v>
      </c>
      <c r="X16" s="2778">
        <f>+W16+V16+U16+T16+S16+R16+Q16+P16+O16</f>
        <v>420817</v>
      </c>
      <c r="Y16" s="2779"/>
    </row>
    <row r="17" spans="1:27" ht="12.75" customHeight="1">
      <c r="A17" s="2109"/>
      <c r="B17" s="2780" t="s">
        <v>33</v>
      </c>
      <c r="C17" s="2781"/>
      <c r="D17" s="2782">
        <f t="shared" ref="D17:W17" si="16">+D56+D70+D118+D130+D178+D41+D190+D202+D27+D142+D94+D82+D214+D106+D154+D166</f>
        <v>70184779</v>
      </c>
      <c r="E17" s="2782">
        <f t="shared" si="16"/>
        <v>0</v>
      </c>
      <c r="F17" s="2782">
        <f t="shared" si="16"/>
        <v>0</v>
      </c>
      <c r="G17" s="2782">
        <f t="shared" si="16"/>
        <v>0</v>
      </c>
      <c r="H17" s="2782">
        <f t="shared" si="16"/>
        <v>0</v>
      </c>
      <c r="I17" s="2782">
        <f t="shared" si="16"/>
        <v>0</v>
      </c>
      <c r="J17" s="2782">
        <f t="shared" si="16"/>
        <v>0</v>
      </c>
      <c r="K17" s="2782">
        <f t="shared" si="16"/>
        <v>0</v>
      </c>
      <c r="L17" s="2782">
        <f t="shared" si="16"/>
        <v>0</v>
      </c>
      <c r="M17" s="2782">
        <f t="shared" si="16"/>
        <v>0</v>
      </c>
      <c r="N17" s="2782">
        <f t="shared" si="16"/>
        <v>0</v>
      </c>
      <c r="O17" s="2782">
        <f t="shared" si="16"/>
        <v>637703</v>
      </c>
      <c r="P17" s="2782">
        <f t="shared" si="16"/>
        <v>10368671</v>
      </c>
      <c r="Q17" s="2782">
        <f t="shared" si="16"/>
        <v>10142373</v>
      </c>
      <c r="R17" s="2782">
        <f t="shared" si="16"/>
        <v>9493197</v>
      </c>
      <c r="S17" s="2782">
        <f t="shared" si="16"/>
        <v>8229084</v>
      </c>
      <c r="T17" s="2782">
        <f t="shared" si="16"/>
        <v>8246084</v>
      </c>
      <c r="U17" s="2782">
        <f t="shared" si="16"/>
        <v>8157684</v>
      </c>
      <c r="V17" s="2782">
        <f t="shared" si="16"/>
        <v>7545683</v>
      </c>
      <c r="W17" s="2782">
        <f t="shared" si="16"/>
        <v>7364300</v>
      </c>
      <c r="X17" s="1542">
        <f>+X56+X70+X118+X130+X178+X41+X190+X202+X27+X142+X94+X82+X214+X106+X154</f>
        <v>69530076</v>
      </c>
      <c r="Y17" s="2768"/>
      <c r="Z17" s="1540"/>
    </row>
    <row r="18" spans="1:27" ht="13.5" customHeight="1">
      <c r="A18" s="2109"/>
      <c r="B18" s="2783" t="s">
        <v>34</v>
      </c>
      <c r="C18" s="2784"/>
      <c r="D18" s="2399">
        <f>D19+D21</f>
        <v>70605596</v>
      </c>
      <c r="E18" s="2399">
        <f t="shared" ref="E18:P18" si="17">E19+E21</f>
        <v>0</v>
      </c>
      <c r="F18" s="2399">
        <f t="shared" si="17"/>
        <v>0</v>
      </c>
      <c r="G18" s="2399">
        <f t="shared" si="17"/>
        <v>0</v>
      </c>
      <c r="H18" s="2399">
        <f t="shared" si="17"/>
        <v>0</v>
      </c>
      <c r="I18" s="2399">
        <f t="shared" si="17"/>
        <v>0</v>
      </c>
      <c r="J18" s="2399">
        <f t="shared" si="17"/>
        <v>0</v>
      </c>
      <c r="K18" s="2399">
        <f t="shared" si="17"/>
        <v>0</v>
      </c>
      <c r="L18" s="2399">
        <f t="shared" si="17"/>
        <v>0</v>
      </c>
      <c r="M18" s="2399">
        <f t="shared" si="17"/>
        <v>0</v>
      </c>
      <c r="N18" s="2399">
        <f t="shared" si="17"/>
        <v>0</v>
      </c>
      <c r="O18" s="2399">
        <f t="shared" si="17"/>
        <v>378288</v>
      </c>
      <c r="P18" s="2399">
        <f t="shared" si="17"/>
        <v>10628086</v>
      </c>
      <c r="Q18" s="2399">
        <f>Q19+Q21</f>
        <v>10231139</v>
      </c>
      <c r="R18" s="2399">
        <f>R19+R21</f>
        <v>9647893</v>
      </c>
      <c r="S18" s="2399">
        <f t="shared" ref="S18:T18" si="18">S19+S21</f>
        <v>8332579</v>
      </c>
      <c r="T18" s="2399">
        <f t="shared" si="18"/>
        <v>8306876</v>
      </c>
      <c r="U18" s="2399">
        <f t="shared" ref="U18:W18" si="19">U19+U21</f>
        <v>8170752</v>
      </c>
      <c r="V18" s="2399">
        <f t="shared" si="19"/>
        <v>7545683</v>
      </c>
      <c r="W18" s="2399">
        <f t="shared" si="19"/>
        <v>7364300</v>
      </c>
      <c r="X18" s="3135" t="s">
        <v>77</v>
      </c>
      <c r="Y18" s="2785"/>
      <c r="Z18" s="2786">
        <f>+D8-D11</f>
        <v>0</v>
      </c>
    </row>
    <row r="19" spans="1:27" ht="13.5" hidden="1" customHeight="1">
      <c r="A19" s="2109"/>
      <c r="B19" s="2787" t="s">
        <v>36</v>
      </c>
      <c r="C19" s="2788"/>
      <c r="D19" s="2789">
        <f>D20</f>
        <v>0</v>
      </c>
      <c r="E19" s="2789">
        <f t="shared" ref="E19:T19" si="20">E20</f>
        <v>0</v>
      </c>
      <c r="F19" s="2789">
        <f t="shared" si="20"/>
        <v>0</v>
      </c>
      <c r="G19" s="2789">
        <f t="shared" si="20"/>
        <v>0</v>
      </c>
      <c r="H19" s="2789">
        <f t="shared" si="20"/>
        <v>0</v>
      </c>
      <c r="I19" s="2789">
        <f t="shared" si="20"/>
        <v>0</v>
      </c>
      <c r="J19" s="2789">
        <f t="shared" si="20"/>
        <v>0</v>
      </c>
      <c r="K19" s="2789">
        <f t="shared" si="20"/>
        <v>0</v>
      </c>
      <c r="L19" s="2789">
        <f t="shared" si="20"/>
        <v>0</v>
      </c>
      <c r="M19" s="2789">
        <f t="shared" si="20"/>
        <v>0</v>
      </c>
      <c r="N19" s="2789">
        <f t="shared" si="20"/>
        <v>0</v>
      </c>
      <c r="O19" s="2789">
        <f t="shared" si="20"/>
        <v>0</v>
      </c>
      <c r="P19" s="2789">
        <f t="shared" si="20"/>
        <v>0</v>
      </c>
      <c r="Q19" s="2789">
        <f t="shared" si="20"/>
        <v>0</v>
      </c>
      <c r="R19" s="2789">
        <f t="shared" si="20"/>
        <v>0</v>
      </c>
      <c r="S19" s="2789">
        <f t="shared" si="20"/>
        <v>0</v>
      </c>
      <c r="T19" s="2789">
        <f t="shared" si="20"/>
        <v>0</v>
      </c>
      <c r="U19" s="2789">
        <f t="shared" ref="U19:W19" si="21">U20</f>
        <v>0</v>
      </c>
      <c r="V19" s="2789">
        <f t="shared" si="21"/>
        <v>0</v>
      </c>
      <c r="W19" s="2789">
        <f t="shared" si="21"/>
        <v>0</v>
      </c>
      <c r="X19" s="3135"/>
      <c r="Y19" s="2785"/>
    </row>
    <row r="20" spans="1:27" ht="13.5" hidden="1" customHeight="1">
      <c r="A20" s="2109"/>
      <c r="B20" s="2790" t="s">
        <v>25</v>
      </c>
      <c r="C20" s="2791"/>
      <c r="D20" s="2792">
        <f>+D61+D73+D121+D133+D181+D44+D97+D85+D169</f>
        <v>0</v>
      </c>
      <c r="E20" s="2792">
        <f t="shared" ref="E20:W20" si="22">+E61+E73+E121+E133+E181+E44+E97+E85+E169</f>
        <v>0</v>
      </c>
      <c r="F20" s="2792">
        <f t="shared" si="22"/>
        <v>0</v>
      </c>
      <c r="G20" s="2792">
        <f t="shared" si="22"/>
        <v>0</v>
      </c>
      <c r="H20" s="2792">
        <f t="shared" si="22"/>
        <v>0</v>
      </c>
      <c r="I20" s="2792">
        <f t="shared" si="22"/>
        <v>0</v>
      </c>
      <c r="J20" s="2792">
        <f t="shared" si="22"/>
        <v>0</v>
      </c>
      <c r="K20" s="2792">
        <f t="shared" si="22"/>
        <v>0</v>
      </c>
      <c r="L20" s="2792">
        <f t="shared" si="22"/>
        <v>0</v>
      </c>
      <c r="M20" s="2792">
        <f t="shared" si="22"/>
        <v>0</v>
      </c>
      <c r="N20" s="2792">
        <f t="shared" si="22"/>
        <v>0</v>
      </c>
      <c r="O20" s="2792">
        <f t="shared" si="22"/>
        <v>0</v>
      </c>
      <c r="P20" s="2792">
        <f t="shared" si="22"/>
        <v>0</v>
      </c>
      <c r="Q20" s="2792">
        <f t="shared" si="22"/>
        <v>0</v>
      </c>
      <c r="R20" s="2792">
        <f t="shared" si="22"/>
        <v>0</v>
      </c>
      <c r="S20" s="2792">
        <f t="shared" si="22"/>
        <v>0</v>
      </c>
      <c r="T20" s="2792">
        <f t="shared" si="22"/>
        <v>0</v>
      </c>
      <c r="U20" s="2792">
        <f t="shared" si="22"/>
        <v>0</v>
      </c>
      <c r="V20" s="2792">
        <f t="shared" si="22"/>
        <v>0</v>
      </c>
      <c r="W20" s="2792">
        <f t="shared" si="22"/>
        <v>0</v>
      </c>
      <c r="X20" s="3135"/>
      <c r="Y20" s="2785"/>
    </row>
    <row r="21" spans="1:27" s="1553" customFormat="1" ht="15" customHeight="1">
      <c r="A21" s="2423"/>
      <c r="B21" s="2793" t="s">
        <v>30</v>
      </c>
      <c r="C21" s="2794"/>
      <c r="D21" s="2789">
        <f>D23+D22</f>
        <v>70605596</v>
      </c>
      <c r="E21" s="2789">
        <f t="shared" ref="E21:N21" si="23">E23</f>
        <v>0</v>
      </c>
      <c r="F21" s="2789">
        <f t="shared" si="23"/>
        <v>0</v>
      </c>
      <c r="G21" s="2789">
        <f t="shared" si="23"/>
        <v>0</v>
      </c>
      <c r="H21" s="2789">
        <f t="shared" si="23"/>
        <v>0</v>
      </c>
      <c r="I21" s="2789">
        <f t="shared" si="23"/>
        <v>0</v>
      </c>
      <c r="J21" s="2789">
        <f t="shared" si="23"/>
        <v>0</v>
      </c>
      <c r="K21" s="2789">
        <f t="shared" si="23"/>
        <v>0</v>
      </c>
      <c r="L21" s="2789">
        <f t="shared" si="23"/>
        <v>0</v>
      </c>
      <c r="M21" s="2789">
        <f t="shared" si="23"/>
        <v>0</v>
      </c>
      <c r="N21" s="2789">
        <f t="shared" si="23"/>
        <v>0</v>
      </c>
      <c r="O21" s="2789">
        <f t="shared" ref="O21:W21" si="24">O23+O22</f>
        <v>378288</v>
      </c>
      <c r="P21" s="2789">
        <f t="shared" si="24"/>
        <v>10628086</v>
      </c>
      <c r="Q21" s="2789">
        <f t="shared" si="24"/>
        <v>10231139</v>
      </c>
      <c r="R21" s="2789">
        <f t="shared" si="24"/>
        <v>9647893</v>
      </c>
      <c r="S21" s="2789">
        <f t="shared" si="24"/>
        <v>8332579</v>
      </c>
      <c r="T21" s="2789">
        <f t="shared" si="24"/>
        <v>8306876</v>
      </c>
      <c r="U21" s="2789">
        <f t="shared" si="24"/>
        <v>8170752</v>
      </c>
      <c r="V21" s="2789">
        <f t="shared" si="24"/>
        <v>7545683</v>
      </c>
      <c r="W21" s="2789">
        <f t="shared" si="24"/>
        <v>7364300</v>
      </c>
      <c r="X21" s="3135"/>
      <c r="Y21" s="2795"/>
    </row>
    <row r="22" spans="1:27" s="2595" customFormat="1" ht="15" customHeight="1">
      <c r="A22" s="2423"/>
      <c r="B22" s="2597" t="s">
        <v>32</v>
      </c>
      <c r="C22" s="2794"/>
      <c r="D22" s="2796">
        <f>+D46</f>
        <v>420817</v>
      </c>
      <c r="E22" s="2797"/>
      <c r="F22" s="2797"/>
      <c r="G22" s="2797"/>
      <c r="H22" s="2797"/>
      <c r="I22" s="2797"/>
      <c r="J22" s="2797"/>
      <c r="K22" s="2797"/>
      <c r="L22" s="2797"/>
      <c r="M22" s="2797">
        <v>0</v>
      </c>
      <c r="N22" s="2797"/>
      <c r="O22" s="2796">
        <f t="shared" ref="O22:W22" si="25">+O46</f>
        <v>0</v>
      </c>
      <c r="P22" s="2796">
        <f t="shared" si="25"/>
        <v>0</v>
      </c>
      <c r="Q22" s="2796">
        <f t="shared" si="25"/>
        <v>88766</v>
      </c>
      <c r="R22" s="2796">
        <f t="shared" si="25"/>
        <v>154696</v>
      </c>
      <c r="S22" s="2796">
        <f t="shared" si="25"/>
        <v>103495</v>
      </c>
      <c r="T22" s="2796">
        <f t="shared" si="25"/>
        <v>60792</v>
      </c>
      <c r="U22" s="2796">
        <f t="shared" si="25"/>
        <v>13068</v>
      </c>
      <c r="V22" s="2796">
        <f t="shared" si="25"/>
        <v>0</v>
      </c>
      <c r="W22" s="2796">
        <f t="shared" si="25"/>
        <v>0</v>
      </c>
      <c r="X22" s="3136"/>
      <c r="Y22" s="2798"/>
    </row>
    <row r="23" spans="1:27" ht="13.5" customHeight="1" thickBot="1">
      <c r="A23" s="2424"/>
      <c r="B23" s="2799" t="s">
        <v>33</v>
      </c>
      <c r="C23" s="2799"/>
      <c r="D23" s="2800">
        <f t="shared" ref="D23:W23" si="26">+D63+D75+D123+D135+D183+D47+D195+D207+D30+D147+D99+D87+D219+D111+D159+D171</f>
        <v>70184779</v>
      </c>
      <c r="E23" s="2800">
        <f t="shared" si="26"/>
        <v>0</v>
      </c>
      <c r="F23" s="2800">
        <f t="shared" si="26"/>
        <v>0</v>
      </c>
      <c r="G23" s="2800">
        <f t="shared" si="26"/>
        <v>0</v>
      </c>
      <c r="H23" s="2800">
        <f t="shared" si="26"/>
        <v>0</v>
      </c>
      <c r="I23" s="2800">
        <f t="shared" si="26"/>
        <v>0</v>
      </c>
      <c r="J23" s="2800">
        <f t="shared" si="26"/>
        <v>0</v>
      </c>
      <c r="K23" s="2800">
        <f t="shared" si="26"/>
        <v>0</v>
      </c>
      <c r="L23" s="2800">
        <f t="shared" si="26"/>
        <v>0</v>
      </c>
      <c r="M23" s="2800">
        <f t="shared" si="26"/>
        <v>0</v>
      </c>
      <c r="N23" s="2800">
        <f t="shared" si="26"/>
        <v>0</v>
      </c>
      <c r="O23" s="2800">
        <f t="shared" si="26"/>
        <v>378288</v>
      </c>
      <c r="P23" s="2800">
        <f t="shared" si="26"/>
        <v>10628086</v>
      </c>
      <c r="Q23" s="2800">
        <f t="shared" si="26"/>
        <v>10142373</v>
      </c>
      <c r="R23" s="2800">
        <f t="shared" si="26"/>
        <v>9493197</v>
      </c>
      <c r="S23" s="2800">
        <f t="shared" si="26"/>
        <v>8229084</v>
      </c>
      <c r="T23" s="2800">
        <f t="shared" si="26"/>
        <v>8246084</v>
      </c>
      <c r="U23" s="2800">
        <f t="shared" si="26"/>
        <v>8157684</v>
      </c>
      <c r="V23" s="2800">
        <f t="shared" si="26"/>
        <v>7545683</v>
      </c>
      <c r="W23" s="2800">
        <f t="shared" si="26"/>
        <v>7364300</v>
      </c>
      <c r="X23" s="3137"/>
      <c r="Y23" s="2801"/>
      <c r="Z23" s="1540">
        <f>D23-D17</f>
        <v>0</v>
      </c>
    </row>
    <row r="24" spans="1:27" ht="24.75" hidden="1" customHeight="1">
      <c r="A24" s="3126"/>
      <c r="B24" s="2802"/>
      <c r="C24" s="2803" t="s">
        <v>130</v>
      </c>
      <c r="D24" s="2804"/>
      <c r="E24" s="524"/>
      <c r="F24" s="524"/>
      <c r="G24" s="524"/>
      <c r="H24" s="524"/>
      <c r="I24" s="524"/>
      <c r="J24" s="524"/>
      <c r="K24" s="524"/>
      <c r="L24" s="524"/>
      <c r="M24" s="524"/>
      <c r="N24" s="524"/>
      <c r="O24" s="524"/>
      <c r="P24" s="524"/>
      <c r="Q24" s="524"/>
      <c r="R24" s="524"/>
      <c r="S24" s="524"/>
      <c r="T24" s="524"/>
      <c r="U24" s="524"/>
      <c r="V24" s="524"/>
      <c r="W24" s="524"/>
      <c r="X24" s="2805"/>
      <c r="Y24" s="3124" t="s">
        <v>149</v>
      </c>
    </row>
    <row r="25" spans="1:27" ht="13.5" hidden="1" customHeight="1">
      <c r="A25" s="3112"/>
      <c r="B25" s="2806" t="s">
        <v>22</v>
      </c>
      <c r="C25" s="2766"/>
      <c r="D25" s="2572">
        <f>+D26</f>
        <v>0</v>
      </c>
      <c r="E25" s="2572">
        <f t="shared" ref="E25:T25" si="27">+E26</f>
        <v>0</v>
      </c>
      <c r="F25" s="2572">
        <f t="shared" si="27"/>
        <v>0</v>
      </c>
      <c r="G25" s="2572">
        <f t="shared" si="27"/>
        <v>0</v>
      </c>
      <c r="H25" s="2572">
        <f t="shared" si="27"/>
        <v>0</v>
      </c>
      <c r="I25" s="2572">
        <f t="shared" si="27"/>
        <v>0</v>
      </c>
      <c r="J25" s="2572">
        <f t="shared" si="27"/>
        <v>0</v>
      </c>
      <c r="K25" s="2572">
        <f t="shared" si="27"/>
        <v>0</v>
      </c>
      <c r="L25" s="2572">
        <f t="shared" si="27"/>
        <v>0</v>
      </c>
      <c r="M25" s="2572">
        <f t="shared" si="27"/>
        <v>0</v>
      </c>
      <c r="N25" s="2572">
        <f t="shared" si="27"/>
        <v>0</v>
      </c>
      <c r="O25" s="2572">
        <f t="shared" si="27"/>
        <v>0</v>
      </c>
      <c r="P25" s="2572">
        <f t="shared" si="27"/>
        <v>0</v>
      </c>
      <c r="Q25" s="2572">
        <f t="shared" si="27"/>
        <v>0</v>
      </c>
      <c r="R25" s="2572">
        <f t="shared" si="27"/>
        <v>0</v>
      </c>
      <c r="S25" s="2572">
        <f t="shared" si="27"/>
        <v>0</v>
      </c>
      <c r="T25" s="2572">
        <f t="shared" si="27"/>
        <v>0</v>
      </c>
      <c r="U25" s="2572"/>
      <c r="V25" s="2572"/>
      <c r="W25" s="2572"/>
      <c r="X25" s="1544">
        <f>+X26</f>
        <v>0</v>
      </c>
      <c r="Y25" s="3114"/>
      <c r="Z25" s="1540">
        <f>+O25+P25+Q25+R25</f>
        <v>0</v>
      </c>
      <c r="AA25" s="1540"/>
    </row>
    <row r="26" spans="1:27" ht="11.25" hidden="1" customHeight="1">
      <c r="A26" s="3112"/>
      <c r="B26" s="2807" t="s">
        <v>30</v>
      </c>
      <c r="C26" s="3127" t="s">
        <v>471</v>
      </c>
      <c r="D26" s="1545">
        <f t="shared" ref="D26:X26" si="28">+D27</f>
        <v>0</v>
      </c>
      <c r="E26" s="1545">
        <f t="shared" si="28"/>
        <v>0</v>
      </c>
      <c r="F26" s="1545">
        <f t="shared" si="28"/>
        <v>0</v>
      </c>
      <c r="G26" s="1546">
        <f t="shared" si="28"/>
        <v>0</v>
      </c>
      <c r="H26" s="1546">
        <f t="shared" si="28"/>
        <v>0</v>
      </c>
      <c r="I26" s="1546">
        <f t="shared" si="28"/>
        <v>0</v>
      </c>
      <c r="J26" s="1545">
        <f t="shared" si="28"/>
        <v>0</v>
      </c>
      <c r="K26" s="1545">
        <f t="shared" si="28"/>
        <v>0</v>
      </c>
      <c r="L26" s="1546">
        <f t="shared" si="28"/>
        <v>0</v>
      </c>
      <c r="M26" s="1546">
        <f t="shared" si="28"/>
        <v>0</v>
      </c>
      <c r="N26" s="2023">
        <f t="shared" si="28"/>
        <v>0</v>
      </c>
      <c r="O26" s="2023">
        <f t="shared" si="28"/>
        <v>0</v>
      </c>
      <c r="P26" s="1546">
        <f t="shared" si="28"/>
        <v>0</v>
      </c>
      <c r="Q26" s="1546">
        <f t="shared" si="28"/>
        <v>0</v>
      </c>
      <c r="R26" s="1546">
        <f t="shared" si="28"/>
        <v>0</v>
      </c>
      <c r="S26" s="1546">
        <f t="shared" si="28"/>
        <v>0</v>
      </c>
      <c r="T26" s="1546">
        <f t="shared" si="28"/>
        <v>0</v>
      </c>
      <c r="U26" s="1546"/>
      <c r="V26" s="1546"/>
      <c r="W26" s="1546"/>
      <c r="X26" s="2808">
        <f t="shared" si="28"/>
        <v>0</v>
      </c>
      <c r="Y26" s="3114"/>
    </row>
    <row r="27" spans="1:27" ht="13.5" hidden="1" customHeight="1">
      <c r="A27" s="3112"/>
      <c r="B27" s="2809" t="s">
        <v>33</v>
      </c>
      <c r="C27" s="3127"/>
      <c r="D27" s="1547">
        <f>M27+O27+P27+Q27+R27+S27+T27+U27+V27+W27</f>
        <v>0</v>
      </c>
      <c r="E27" s="1548">
        <f>+F27+G27+H27</f>
        <v>0</v>
      </c>
      <c r="F27" s="1548">
        <v>0</v>
      </c>
      <c r="G27" s="1548">
        <v>0</v>
      </c>
      <c r="H27" s="1548">
        <v>0</v>
      </c>
      <c r="I27" s="1548">
        <v>0</v>
      </c>
      <c r="J27" s="1548">
        <v>0</v>
      </c>
      <c r="K27" s="1548"/>
      <c r="L27" s="1548"/>
      <c r="M27" s="1548"/>
      <c r="N27" s="1548"/>
      <c r="O27" s="1548"/>
      <c r="P27" s="1548">
        <v>0</v>
      </c>
      <c r="Q27" s="1548">
        <v>0</v>
      </c>
      <c r="R27" s="1548">
        <v>0</v>
      </c>
      <c r="S27" s="1548">
        <v>0</v>
      </c>
      <c r="T27" s="1548">
        <v>0</v>
      </c>
      <c r="U27" s="1548"/>
      <c r="V27" s="1548"/>
      <c r="W27" s="1548"/>
      <c r="X27" s="2810">
        <f>SUM(P27:T27)</f>
        <v>0</v>
      </c>
      <c r="Y27" s="3114"/>
    </row>
    <row r="28" spans="1:27" ht="13.5" hidden="1" customHeight="1">
      <c r="A28" s="3113"/>
      <c r="B28" s="2806" t="s">
        <v>34</v>
      </c>
      <c r="C28" s="2766"/>
      <c r="D28" s="2572">
        <f>+D29</f>
        <v>0</v>
      </c>
      <c r="E28" s="2572">
        <f t="shared" ref="E28:T29" si="29">+E29</f>
        <v>0</v>
      </c>
      <c r="F28" s="2572">
        <f t="shared" si="29"/>
        <v>0</v>
      </c>
      <c r="G28" s="2572">
        <f t="shared" si="29"/>
        <v>0</v>
      </c>
      <c r="H28" s="2572">
        <f t="shared" si="29"/>
        <v>0</v>
      </c>
      <c r="I28" s="2572">
        <f t="shared" si="29"/>
        <v>0</v>
      </c>
      <c r="J28" s="2572">
        <f t="shared" si="29"/>
        <v>0</v>
      </c>
      <c r="K28" s="2572">
        <f t="shared" si="29"/>
        <v>0</v>
      </c>
      <c r="L28" s="2572">
        <f t="shared" si="29"/>
        <v>0</v>
      </c>
      <c r="M28" s="2572">
        <f t="shared" si="29"/>
        <v>0</v>
      </c>
      <c r="N28" s="2572">
        <f t="shared" si="29"/>
        <v>0</v>
      </c>
      <c r="O28" s="2572">
        <f t="shared" si="29"/>
        <v>0</v>
      </c>
      <c r="P28" s="2572">
        <f t="shared" si="29"/>
        <v>0</v>
      </c>
      <c r="Q28" s="2572">
        <f t="shared" si="29"/>
        <v>0</v>
      </c>
      <c r="R28" s="2572">
        <f t="shared" si="29"/>
        <v>0</v>
      </c>
      <c r="S28" s="2572">
        <f t="shared" si="29"/>
        <v>0</v>
      </c>
      <c r="T28" s="2572">
        <f t="shared" si="29"/>
        <v>0</v>
      </c>
      <c r="U28" s="2572"/>
      <c r="V28" s="2572"/>
      <c r="W28" s="2572"/>
      <c r="X28" s="2811" t="s">
        <v>77</v>
      </c>
      <c r="Y28" s="3125"/>
    </row>
    <row r="29" spans="1:27" ht="11.25" hidden="1" customHeight="1">
      <c r="A29" s="3113"/>
      <c r="B29" s="2807" t="s">
        <v>30</v>
      </c>
      <c r="C29" s="3128" t="s">
        <v>350</v>
      </c>
      <c r="D29" s="1545">
        <f>+D30</f>
        <v>0</v>
      </c>
      <c r="E29" s="1545">
        <f t="shared" si="29"/>
        <v>0</v>
      </c>
      <c r="F29" s="1545">
        <f t="shared" si="29"/>
        <v>0</v>
      </c>
      <c r="G29" s="1545">
        <f t="shared" si="29"/>
        <v>0</v>
      </c>
      <c r="H29" s="1545">
        <f t="shared" si="29"/>
        <v>0</v>
      </c>
      <c r="I29" s="1545">
        <f t="shared" si="29"/>
        <v>0</v>
      </c>
      <c r="J29" s="1545">
        <f t="shared" si="29"/>
        <v>0</v>
      </c>
      <c r="K29" s="1545">
        <f t="shared" si="29"/>
        <v>0</v>
      </c>
      <c r="L29" s="1545">
        <f t="shared" si="29"/>
        <v>0</v>
      </c>
      <c r="M29" s="1545">
        <f t="shared" si="29"/>
        <v>0</v>
      </c>
      <c r="N29" s="1545">
        <f t="shared" si="29"/>
        <v>0</v>
      </c>
      <c r="O29" s="1545">
        <f t="shared" si="29"/>
        <v>0</v>
      </c>
      <c r="P29" s="1545">
        <f t="shared" si="29"/>
        <v>0</v>
      </c>
      <c r="Q29" s="1545">
        <f t="shared" si="29"/>
        <v>0</v>
      </c>
      <c r="R29" s="1545">
        <f t="shared" si="29"/>
        <v>0</v>
      </c>
      <c r="S29" s="1545">
        <f t="shared" si="29"/>
        <v>0</v>
      </c>
      <c r="T29" s="1545">
        <f t="shared" si="29"/>
        <v>0</v>
      </c>
      <c r="U29" s="1545"/>
      <c r="V29" s="1545"/>
      <c r="W29" s="1545"/>
      <c r="X29" s="2812"/>
      <c r="Y29" s="3125"/>
    </row>
    <row r="30" spans="1:27" ht="13.5" hidden="1" customHeight="1">
      <c r="A30" s="3113"/>
      <c r="B30" s="2813" t="s">
        <v>33</v>
      </c>
      <c r="C30" s="3128"/>
      <c r="D30" s="1547">
        <f>M30+O30+P30+Q30+R30+S30+T30+U30+V30+W30</f>
        <v>0</v>
      </c>
      <c r="E30" s="1548">
        <f>+F30+G30+H30</f>
        <v>0</v>
      </c>
      <c r="F30" s="1548"/>
      <c r="G30" s="1548">
        <v>0</v>
      </c>
      <c r="H30" s="1548">
        <v>0</v>
      </c>
      <c r="I30" s="1548">
        <v>0</v>
      </c>
      <c r="J30" s="1548">
        <v>0</v>
      </c>
      <c r="K30" s="1548"/>
      <c r="L30" s="1548"/>
      <c r="M30" s="1548"/>
      <c r="N30" s="1548"/>
      <c r="O30" s="1548"/>
      <c r="P30" s="1548">
        <v>0</v>
      </c>
      <c r="Q30" s="1548">
        <v>0</v>
      </c>
      <c r="R30" s="1548">
        <v>0</v>
      </c>
      <c r="S30" s="1548">
        <v>0</v>
      </c>
      <c r="T30" s="1548">
        <v>0</v>
      </c>
      <c r="U30" s="1548"/>
      <c r="V30" s="1548"/>
      <c r="W30" s="1548"/>
      <c r="X30" s="2810"/>
      <c r="Y30" s="3125"/>
    </row>
    <row r="31" spans="1:27" ht="39" customHeight="1">
      <c r="A31" s="3152" t="s">
        <v>79</v>
      </c>
      <c r="B31" s="2814" t="s">
        <v>523</v>
      </c>
      <c r="C31" s="2815" t="s">
        <v>130</v>
      </c>
      <c r="D31" s="2816"/>
      <c r="E31" s="2816"/>
      <c r="F31" s="2816"/>
      <c r="G31" s="2816"/>
      <c r="H31" s="2816"/>
      <c r="I31" s="2817"/>
      <c r="J31" s="2817"/>
      <c r="K31" s="2817"/>
      <c r="L31" s="2817"/>
      <c r="M31" s="2817"/>
      <c r="N31" s="2817"/>
      <c r="O31" s="2817"/>
      <c r="P31" s="2817"/>
      <c r="Q31" s="2817"/>
      <c r="R31" s="2817"/>
      <c r="S31" s="2817"/>
      <c r="T31" s="2817"/>
      <c r="U31" s="2817"/>
      <c r="V31" s="2817"/>
      <c r="W31" s="2817"/>
      <c r="X31" s="2818"/>
      <c r="Y31" s="3139" t="s">
        <v>539</v>
      </c>
    </row>
    <row r="32" spans="1:27" ht="13.5" customHeight="1">
      <c r="A32" s="3153"/>
      <c r="B32" s="2819" t="s">
        <v>22</v>
      </c>
      <c r="C32" s="2820"/>
      <c r="D32" s="2821">
        <f t="shared" ref="D32:U32" si="30">+D33+D39</f>
        <v>499079</v>
      </c>
      <c r="E32" s="2821">
        <f t="shared" si="30"/>
        <v>0</v>
      </c>
      <c r="F32" s="2821">
        <f t="shared" si="30"/>
        <v>0</v>
      </c>
      <c r="G32" s="2821">
        <f t="shared" si="30"/>
        <v>0</v>
      </c>
      <c r="H32" s="2821">
        <f t="shared" si="30"/>
        <v>0</v>
      </c>
      <c r="I32" s="2821">
        <f t="shared" si="30"/>
        <v>0</v>
      </c>
      <c r="J32" s="2821">
        <f t="shared" si="30"/>
        <v>0</v>
      </c>
      <c r="K32" s="2821">
        <f t="shared" si="30"/>
        <v>0</v>
      </c>
      <c r="L32" s="2821">
        <f t="shared" si="30"/>
        <v>0</v>
      </c>
      <c r="M32" s="2821">
        <f t="shared" ref="M32" si="31">+M33+M39</f>
        <v>0</v>
      </c>
      <c r="N32" s="2821">
        <f t="shared" si="30"/>
        <v>0</v>
      </c>
      <c r="O32" s="2821">
        <f t="shared" si="30"/>
        <v>0</v>
      </c>
      <c r="P32" s="2821">
        <f t="shared" si="30"/>
        <v>105231</v>
      </c>
      <c r="Q32" s="2821">
        <f t="shared" si="30"/>
        <v>182795</v>
      </c>
      <c r="R32" s="2821">
        <f t="shared" si="30"/>
        <v>122559</v>
      </c>
      <c r="S32" s="2821">
        <f t="shared" si="30"/>
        <v>72320</v>
      </c>
      <c r="T32" s="2821">
        <f t="shared" si="30"/>
        <v>16174</v>
      </c>
      <c r="U32" s="2821">
        <f t="shared" si="30"/>
        <v>0</v>
      </c>
      <c r="V32" s="2821">
        <v>0</v>
      </c>
      <c r="W32" s="2821">
        <v>0</v>
      </c>
      <c r="X32" s="2628">
        <f>+X33+X39</f>
        <v>499079</v>
      </c>
      <c r="Y32" s="3139"/>
      <c r="Z32" s="1540">
        <f>+O32+P32+Q32+R32</f>
        <v>410585</v>
      </c>
      <c r="AA32" s="1540"/>
    </row>
    <row r="33" spans="1:26" ht="13.5" customHeight="1">
      <c r="A33" s="3153"/>
      <c r="B33" s="2822" t="s">
        <v>36</v>
      </c>
      <c r="C33" s="3157" t="s">
        <v>524</v>
      </c>
      <c r="D33" s="2823">
        <f t="shared" ref="D33:N33" si="32">+D34+D38</f>
        <v>78262</v>
      </c>
      <c r="E33" s="2823">
        <f t="shared" si="32"/>
        <v>0</v>
      </c>
      <c r="F33" s="2823">
        <f t="shared" si="32"/>
        <v>0</v>
      </c>
      <c r="G33" s="2823">
        <f t="shared" si="32"/>
        <v>0</v>
      </c>
      <c r="H33" s="2823">
        <f t="shared" si="32"/>
        <v>0</v>
      </c>
      <c r="I33" s="2823">
        <f t="shared" si="32"/>
        <v>0</v>
      </c>
      <c r="J33" s="2823">
        <f t="shared" si="32"/>
        <v>0</v>
      </c>
      <c r="K33" s="2823">
        <f t="shared" si="32"/>
        <v>0</v>
      </c>
      <c r="L33" s="2823">
        <f t="shared" si="32"/>
        <v>0</v>
      </c>
      <c r="M33" s="2823">
        <f t="shared" ref="M33" si="33">+M34+M38</f>
        <v>0</v>
      </c>
      <c r="N33" s="2823">
        <f t="shared" si="32"/>
        <v>0</v>
      </c>
      <c r="O33" s="2823">
        <f>+O34+O38</f>
        <v>0</v>
      </c>
      <c r="P33" s="2823">
        <f t="shared" ref="P33:S33" si="34">+P34+P38</f>
        <v>16465</v>
      </c>
      <c r="Q33" s="2823">
        <f t="shared" si="34"/>
        <v>28099</v>
      </c>
      <c r="R33" s="2823">
        <f t="shared" si="34"/>
        <v>19064</v>
      </c>
      <c r="S33" s="2823">
        <f t="shared" si="34"/>
        <v>11528</v>
      </c>
      <c r="T33" s="2823">
        <f>+T34</f>
        <v>3106</v>
      </c>
      <c r="U33" s="2823">
        <f>+U34</f>
        <v>0</v>
      </c>
      <c r="V33" s="2823">
        <v>0</v>
      </c>
      <c r="W33" s="2823">
        <v>0</v>
      </c>
      <c r="X33" s="2824">
        <f>+X34+X38</f>
        <v>78262</v>
      </c>
      <c r="Y33" s="3139"/>
    </row>
    <row r="34" spans="1:26" ht="13.5" customHeight="1">
      <c r="A34" s="3153"/>
      <c r="B34" s="2825" t="s">
        <v>24</v>
      </c>
      <c r="C34" s="3158"/>
      <c r="D34" s="2826">
        <f>M34+O34+P34+Q34+R34+S34+T34+U34+V34+W34</f>
        <v>78262</v>
      </c>
      <c r="E34" s="2632">
        <f>+F34+G34+H34</f>
        <v>0</v>
      </c>
      <c r="F34" s="2632">
        <v>0</v>
      </c>
      <c r="G34" s="2633"/>
      <c r="H34" s="2633"/>
      <c r="I34" s="2633"/>
      <c r="J34" s="2633">
        <v>0</v>
      </c>
      <c r="K34" s="2632">
        <v>0</v>
      </c>
      <c r="L34" s="2632">
        <v>0</v>
      </c>
      <c r="M34" s="2632">
        <f>+L34+K34+J34+I34+E34+N34</f>
        <v>0</v>
      </c>
      <c r="N34" s="2632"/>
      <c r="O34" s="2632">
        <v>0</v>
      </c>
      <c r="P34" s="2632">
        <f>+P36+P37</f>
        <v>16465</v>
      </c>
      <c r="Q34" s="2632">
        <f t="shared" ref="Q34:T34" si="35">+Q36+Q37</f>
        <v>28099</v>
      </c>
      <c r="R34" s="2632">
        <f t="shared" si="35"/>
        <v>19064</v>
      </c>
      <c r="S34" s="2632">
        <f t="shared" si="35"/>
        <v>11528</v>
      </c>
      <c r="T34" s="2632">
        <f t="shared" si="35"/>
        <v>3106</v>
      </c>
      <c r="U34" s="2632">
        <v>0</v>
      </c>
      <c r="V34" s="2632">
        <v>0</v>
      </c>
      <c r="W34" s="2632">
        <v>0</v>
      </c>
      <c r="X34" s="2827">
        <f>+S34+R34+Q34+P34+O34+T34</f>
        <v>78262</v>
      </c>
      <c r="Y34" s="3139"/>
    </row>
    <row r="35" spans="1:26" s="2643" customFormat="1" ht="13.5" hidden="1" customHeight="1">
      <c r="A35" s="3154"/>
      <c r="B35" s="2644" t="s">
        <v>188</v>
      </c>
      <c r="C35" s="3159"/>
      <c r="D35" s="2826"/>
      <c r="E35" s="2632"/>
      <c r="F35" s="2632"/>
      <c r="G35" s="2633"/>
      <c r="H35" s="2633"/>
      <c r="I35" s="2633"/>
      <c r="J35" s="2633"/>
      <c r="K35" s="2632"/>
      <c r="L35" s="2632"/>
      <c r="M35" s="2632"/>
      <c r="N35" s="2632"/>
      <c r="O35" s="2632"/>
      <c r="P35" s="2632"/>
      <c r="Q35" s="2632"/>
      <c r="R35" s="2632"/>
      <c r="S35" s="2632"/>
      <c r="T35" s="2632"/>
      <c r="U35" s="2632"/>
      <c r="V35" s="2632"/>
      <c r="W35" s="2632"/>
      <c r="X35" s="2827"/>
      <c r="Y35" s="3139"/>
    </row>
    <row r="36" spans="1:26" s="2643" customFormat="1" ht="13.5" hidden="1" customHeight="1">
      <c r="A36" s="3154"/>
      <c r="B36" s="2644" t="s">
        <v>131</v>
      </c>
      <c r="C36" s="3159"/>
      <c r="D36" s="2826"/>
      <c r="E36" s="2632"/>
      <c r="F36" s="2632"/>
      <c r="G36" s="2633"/>
      <c r="H36" s="2633"/>
      <c r="I36" s="2633"/>
      <c r="J36" s="2633"/>
      <c r="K36" s="2632"/>
      <c r="L36" s="2632"/>
      <c r="M36" s="2632"/>
      <c r="N36" s="2632"/>
      <c r="O36" s="2632"/>
      <c r="P36" s="2632">
        <v>12069</v>
      </c>
      <c r="Q36" s="2632">
        <v>21813</v>
      </c>
      <c r="R36" s="2632">
        <v>12591</v>
      </c>
      <c r="S36" s="2632">
        <v>10929</v>
      </c>
      <c r="T36" s="2632">
        <v>2920</v>
      </c>
      <c r="U36" s="2632"/>
      <c r="V36" s="2632"/>
      <c r="W36" s="2632"/>
      <c r="X36" s="2827"/>
      <c r="Y36" s="3139"/>
    </row>
    <row r="37" spans="1:26" s="2643" customFormat="1" ht="13.5" hidden="1" customHeight="1">
      <c r="A37" s="3154"/>
      <c r="B37" s="2644" t="s">
        <v>445</v>
      </c>
      <c r="C37" s="3159"/>
      <c r="D37" s="2826"/>
      <c r="E37" s="2632"/>
      <c r="F37" s="2632"/>
      <c r="G37" s="2633"/>
      <c r="H37" s="2633"/>
      <c r="I37" s="2633"/>
      <c r="J37" s="2633"/>
      <c r="K37" s="2632"/>
      <c r="L37" s="2632"/>
      <c r="M37" s="2632"/>
      <c r="N37" s="2632"/>
      <c r="O37" s="2632"/>
      <c r="P37" s="2632">
        <v>4396</v>
      </c>
      <c r="Q37" s="2632">
        <v>6286</v>
      </c>
      <c r="R37" s="2632">
        <v>6473</v>
      </c>
      <c r="S37" s="2632">
        <v>599</v>
      </c>
      <c r="T37" s="2632">
        <v>186</v>
      </c>
      <c r="U37" s="2632"/>
      <c r="V37" s="2632"/>
      <c r="W37" s="2632"/>
      <c r="X37" s="2827"/>
      <c r="Y37" s="3139"/>
    </row>
    <row r="38" spans="1:26" ht="14.25" hidden="1" customHeight="1">
      <c r="A38" s="3153"/>
      <c r="B38" s="2825" t="s">
        <v>25</v>
      </c>
      <c r="C38" s="3158"/>
      <c r="D38" s="2826">
        <f>M38+O38+P38+Q38+R38+S38+T38+U38+V38+W38</f>
        <v>0</v>
      </c>
      <c r="E38" s="2632">
        <v>0</v>
      </c>
      <c r="F38" s="2632"/>
      <c r="G38" s="2632"/>
      <c r="H38" s="2633"/>
      <c r="I38" s="2633">
        <v>0</v>
      </c>
      <c r="J38" s="2632">
        <v>0</v>
      </c>
      <c r="K38" s="2632"/>
      <c r="L38" s="2632"/>
      <c r="M38" s="2632">
        <f>+L38+K38+J38+I38+E38+N38</f>
        <v>0</v>
      </c>
      <c r="N38" s="2632"/>
      <c r="O38" s="2632"/>
      <c r="P38" s="2632"/>
      <c r="Q38" s="2632"/>
      <c r="R38" s="2632"/>
      <c r="S38" s="2632"/>
      <c r="T38" s="2632"/>
      <c r="U38" s="2632"/>
      <c r="V38" s="2632"/>
      <c r="W38" s="2632"/>
      <c r="X38" s="2827">
        <f>SUM(P38:T38)</f>
        <v>0</v>
      </c>
      <c r="Y38" s="3139"/>
    </row>
    <row r="39" spans="1:26" ht="13.5" customHeight="1">
      <c r="A39" s="3153"/>
      <c r="B39" s="2828" t="s">
        <v>30</v>
      </c>
      <c r="C39" s="3158"/>
      <c r="D39" s="2829">
        <f>+D41+D40</f>
        <v>420817</v>
      </c>
      <c r="E39" s="2829">
        <f t="shared" ref="E39:N39" si="36">+E41</f>
        <v>0</v>
      </c>
      <c r="F39" s="2829">
        <f t="shared" si="36"/>
        <v>0</v>
      </c>
      <c r="G39" s="2829">
        <f t="shared" si="36"/>
        <v>0</v>
      </c>
      <c r="H39" s="2829">
        <f t="shared" si="36"/>
        <v>0</v>
      </c>
      <c r="I39" s="2829">
        <f t="shared" si="36"/>
        <v>0</v>
      </c>
      <c r="J39" s="2829">
        <f t="shared" si="36"/>
        <v>0</v>
      </c>
      <c r="K39" s="2829">
        <f t="shared" si="36"/>
        <v>0</v>
      </c>
      <c r="L39" s="2829">
        <f t="shared" si="36"/>
        <v>0</v>
      </c>
      <c r="M39" s="2829">
        <f t="shared" si="36"/>
        <v>0</v>
      </c>
      <c r="N39" s="2829">
        <f t="shared" si="36"/>
        <v>0</v>
      </c>
      <c r="O39" s="2829">
        <f>+O41+O40</f>
        <v>0</v>
      </c>
      <c r="P39" s="2829">
        <f t="shared" ref="P39:S39" si="37">+P41+P40</f>
        <v>88766</v>
      </c>
      <c r="Q39" s="2829">
        <f t="shared" si="37"/>
        <v>154696</v>
      </c>
      <c r="R39" s="2829">
        <f t="shared" si="37"/>
        <v>103495</v>
      </c>
      <c r="S39" s="2829">
        <f t="shared" si="37"/>
        <v>60792</v>
      </c>
      <c r="T39" s="2829">
        <f>+T40</f>
        <v>13068</v>
      </c>
      <c r="U39" s="2829">
        <v>0</v>
      </c>
      <c r="V39" s="2829">
        <v>0</v>
      </c>
      <c r="W39" s="2829">
        <v>0</v>
      </c>
      <c r="X39" s="2830">
        <f>+X41+X40</f>
        <v>420817</v>
      </c>
      <c r="Y39" s="3139"/>
    </row>
    <row r="40" spans="1:26" s="2831" customFormat="1" ht="13.5" customHeight="1">
      <c r="A40" s="3153"/>
      <c r="B40" s="2825" t="s">
        <v>32</v>
      </c>
      <c r="C40" s="3158"/>
      <c r="D40" s="2826">
        <f>+O40+P40+Q40+R40+S40+T40</f>
        <v>420817</v>
      </c>
      <c r="E40" s="2632"/>
      <c r="F40" s="2632"/>
      <c r="G40" s="2633"/>
      <c r="H40" s="2633"/>
      <c r="I40" s="2633"/>
      <c r="J40" s="2633"/>
      <c r="K40" s="2632"/>
      <c r="L40" s="2632"/>
      <c r="M40" s="2632">
        <v>0</v>
      </c>
      <c r="N40" s="2632"/>
      <c r="O40" s="2632">
        <v>0</v>
      </c>
      <c r="P40" s="2632">
        <v>88766</v>
      </c>
      <c r="Q40" s="2632">
        <v>154696</v>
      </c>
      <c r="R40" s="2632">
        <v>103495</v>
      </c>
      <c r="S40" s="2632">
        <v>60792</v>
      </c>
      <c r="T40" s="2632">
        <v>13068</v>
      </c>
      <c r="U40" s="2632">
        <v>0</v>
      </c>
      <c r="V40" s="2632">
        <v>0</v>
      </c>
      <c r="W40" s="2632">
        <v>0</v>
      </c>
      <c r="X40" s="2827">
        <f>+S40+R40+Q40+P40+O40+T40</f>
        <v>420817</v>
      </c>
      <c r="Y40" s="3139"/>
    </row>
    <row r="41" spans="1:26" ht="13.5" hidden="1" customHeight="1" collapsed="1">
      <c r="A41" s="3153"/>
      <c r="B41" s="2825" t="s">
        <v>33</v>
      </c>
      <c r="C41" s="3158"/>
      <c r="D41" s="2826">
        <f>M41+O41+P41+Q41+R41+S41+T41+U41+V41+W41</f>
        <v>0</v>
      </c>
      <c r="E41" s="2632">
        <v>0</v>
      </c>
      <c r="F41" s="2632"/>
      <c r="G41" s="2633"/>
      <c r="H41" s="2633"/>
      <c r="I41" s="2633">
        <v>0</v>
      </c>
      <c r="J41" s="2633">
        <v>0</v>
      </c>
      <c r="K41" s="2633"/>
      <c r="L41" s="2632"/>
      <c r="M41" s="2632">
        <f>+L41+K41+J41+I41+E41+N41</f>
        <v>0</v>
      </c>
      <c r="N41" s="2632"/>
      <c r="O41" s="2632"/>
      <c r="P41" s="2632"/>
      <c r="Q41" s="2632"/>
      <c r="R41" s="2632"/>
      <c r="S41" s="2632"/>
      <c r="T41" s="2632"/>
      <c r="U41" s="2632"/>
      <c r="V41" s="2632"/>
      <c r="W41" s="2632"/>
      <c r="X41" s="2827">
        <f>SUM(P41:T41)</f>
        <v>0</v>
      </c>
      <c r="Y41" s="3139"/>
      <c r="Z41" s="1540"/>
    </row>
    <row r="42" spans="1:26" ht="12.75" customHeight="1">
      <c r="A42" s="3155"/>
      <c r="B42" s="2819" t="s">
        <v>34</v>
      </c>
      <c r="C42" s="2820"/>
      <c r="D42" s="2832">
        <f>+D43+D45</f>
        <v>420817</v>
      </c>
      <c r="E42" s="2832">
        <f t="shared" ref="E42:U42" si="38">+E43+E45</f>
        <v>0</v>
      </c>
      <c r="F42" s="2832">
        <f t="shared" si="38"/>
        <v>0</v>
      </c>
      <c r="G42" s="2832">
        <f t="shared" si="38"/>
        <v>0</v>
      </c>
      <c r="H42" s="2832">
        <f t="shared" si="38"/>
        <v>0</v>
      </c>
      <c r="I42" s="2832">
        <f t="shared" si="38"/>
        <v>0</v>
      </c>
      <c r="J42" s="2832">
        <f t="shared" si="38"/>
        <v>0</v>
      </c>
      <c r="K42" s="2832">
        <f t="shared" si="38"/>
        <v>0</v>
      </c>
      <c r="L42" s="2832">
        <f t="shared" si="38"/>
        <v>0</v>
      </c>
      <c r="M42" s="2832">
        <f t="shared" si="38"/>
        <v>0</v>
      </c>
      <c r="N42" s="2832">
        <f t="shared" si="38"/>
        <v>0</v>
      </c>
      <c r="O42" s="2832">
        <f t="shared" si="38"/>
        <v>0</v>
      </c>
      <c r="P42" s="2832">
        <f t="shared" si="38"/>
        <v>0</v>
      </c>
      <c r="Q42" s="2832">
        <f t="shared" si="38"/>
        <v>88766</v>
      </c>
      <c r="R42" s="2832">
        <f t="shared" si="38"/>
        <v>154696</v>
      </c>
      <c r="S42" s="2832">
        <f t="shared" si="38"/>
        <v>103495</v>
      </c>
      <c r="T42" s="2832">
        <f t="shared" si="38"/>
        <v>60792</v>
      </c>
      <c r="U42" s="2832">
        <f t="shared" si="38"/>
        <v>13068</v>
      </c>
      <c r="V42" s="2832">
        <v>0</v>
      </c>
      <c r="W42" s="2832">
        <v>0</v>
      </c>
      <c r="X42" s="3150" t="s">
        <v>77</v>
      </c>
      <c r="Y42" s="3143"/>
      <c r="Z42" s="1540"/>
    </row>
    <row r="43" spans="1:26" ht="13.5" hidden="1" customHeight="1">
      <c r="A43" s="3155"/>
      <c r="B43" s="2822" t="s">
        <v>36</v>
      </c>
      <c r="C43" s="3160" t="s">
        <v>524</v>
      </c>
      <c r="D43" s="2829">
        <f>+D44</f>
        <v>0</v>
      </c>
      <c r="E43" s="2829">
        <f t="shared" ref="E43:O43" si="39">+E44</f>
        <v>0</v>
      </c>
      <c r="F43" s="2829">
        <f t="shared" si="39"/>
        <v>0</v>
      </c>
      <c r="G43" s="2829">
        <f t="shared" si="39"/>
        <v>0</v>
      </c>
      <c r="H43" s="2829">
        <f t="shared" si="39"/>
        <v>0</v>
      </c>
      <c r="I43" s="2829">
        <f t="shared" si="39"/>
        <v>0</v>
      </c>
      <c r="J43" s="2829">
        <f t="shared" si="39"/>
        <v>0</v>
      </c>
      <c r="K43" s="2829">
        <f t="shared" si="39"/>
        <v>0</v>
      </c>
      <c r="L43" s="2829">
        <f t="shared" si="39"/>
        <v>0</v>
      </c>
      <c r="M43" s="2829">
        <f t="shared" si="39"/>
        <v>0</v>
      </c>
      <c r="N43" s="2829">
        <f t="shared" si="39"/>
        <v>0</v>
      </c>
      <c r="O43" s="2829">
        <f t="shared" si="39"/>
        <v>0</v>
      </c>
      <c r="P43" s="2829"/>
      <c r="Q43" s="2829"/>
      <c r="R43" s="2829"/>
      <c r="S43" s="2829"/>
      <c r="T43" s="2829"/>
      <c r="U43" s="2829"/>
      <c r="V43" s="2829"/>
      <c r="W43" s="2829"/>
      <c r="X43" s="3150"/>
      <c r="Y43" s="3143"/>
    </row>
    <row r="44" spans="1:26" ht="13.5" hidden="1" customHeight="1">
      <c r="A44" s="3155"/>
      <c r="B44" s="2825" t="s">
        <v>25</v>
      </c>
      <c r="C44" s="3158"/>
      <c r="D44" s="2826">
        <f>M44+O44+P44+Q44+R44+S44+T44+U44+V44+W44</f>
        <v>0</v>
      </c>
      <c r="E44" s="2632">
        <v>0</v>
      </c>
      <c r="F44" s="2632"/>
      <c r="G44" s="2632"/>
      <c r="H44" s="2633"/>
      <c r="I44" s="2633">
        <v>0</v>
      </c>
      <c r="J44" s="2826">
        <v>0</v>
      </c>
      <c r="K44" s="2826"/>
      <c r="L44" s="2826"/>
      <c r="M44" s="2632">
        <f>+L44+K44+J44+I44+E44+N44</f>
        <v>0</v>
      </c>
      <c r="N44" s="2826"/>
      <c r="O44" s="2826"/>
      <c r="P44" s="2826"/>
      <c r="Q44" s="2826"/>
      <c r="R44" s="2826"/>
      <c r="S44" s="2826"/>
      <c r="T44" s="2826"/>
      <c r="U44" s="2826"/>
      <c r="V44" s="2826"/>
      <c r="W44" s="2826"/>
      <c r="X44" s="3150"/>
      <c r="Y44" s="3143"/>
    </row>
    <row r="45" spans="1:26" ht="12" customHeight="1">
      <c r="A45" s="3155"/>
      <c r="B45" s="2828" t="s">
        <v>30</v>
      </c>
      <c r="C45" s="3161"/>
      <c r="D45" s="2829">
        <f>+D47+D46</f>
        <v>420817</v>
      </c>
      <c r="E45" s="2829">
        <f t="shared" ref="E45:N45" si="40">+E47</f>
        <v>0</v>
      </c>
      <c r="F45" s="2829">
        <f t="shared" si="40"/>
        <v>0</v>
      </c>
      <c r="G45" s="2829">
        <f t="shared" si="40"/>
        <v>0</v>
      </c>
      <c r="H45" s="2829">
        <f t="shared" si="40"/>
        <v>0</v>
      </c>
      <c r="I45" s="2829">
        <f t="shared" si="40"/>
        <v>0</v>
      </c>
      <c r="J45" s="2829">
        <f t="shared" si="40"/>
        <v>0</v>
      </c>
      <c r="K45" s="2829">
        <f t="shared" si="40"/>
        <v>0</v>
      </c>
      <c r="L45" s="2829">
        <f t="shared" si="40"/>
        <v>0</v>
      </c>
      <c r="M45" s="2829">
        <f t="shared" si="40"/>
        <v>0</v>
      </c>
      <c r="N45" s="2829">
        <f t="shared" si="40"/>
        <v>0</v>
      </c>
      <c r="O45" s="2829">
        <f>+O47+O46</f>
        <v>0</v>
      </c>
      <c r="P45" s="2829">
        <f t="shared" ref="P45:U45" si="41">+P47+P46</f>
        <v>0</v>
      </c>
      <c r="Q45" s="2829">
        <f t="shared" si="41"/>
        <v>88766</v>
      </c>
      <c r="R45" s="2829">
        <f t="shared" si="41"/>
        <v>154696</v>
      </c>
      <c r="S45" s="2829">
        <f>+S47+S46</f>
        <v>103495</v>
      </c>
      <c r="T45" s="2829">
        <f t="shared" si="41"/>
        <v>60792</v>
      </c>
      <c r="U45" s="2829">
        <f t="shared" si="41"/>
        <v>13068</v>
      </c>
      <c r="V45" s="2829">
        <v>0</v>
      </c>
      <c r="W45" s="2829">
        <v>0</v>
      </c>
      <c r="X45" s="3150"/>
      <c r="Y45" s="3143"/>
    </row>
    <row r="46" spans="1:26" s="2831" customFormat="1" ht="15.75" customHeight="1" thickBot="1">
      <c r="A46" s="3155"/>
      <c r="B46" s="2647" t="s">
        <v>32</v>
      </c>
      <c r="C46" s="3161"/>
      <c r="D46" s="2826">
        <f>+P46+Q46+R46+S46+T46+U46</f>
        <v>420817</v>
      </c>
      <c r="E46" s="2632"/>
      <c r="F46" s="2632"/>
      <c r="G46" s="2633"/>
      <c r="H46" s="2633"/>
      <c r="I46" s="2633"/>
      <c r="J46" s="2633"/>
      <c r="K46" s="2632"/>
      <c r="L46" s="2632"/>
      <c r="M46" s="2632">
        <v>0</v>
      </c>
      <c r="N46" s="2632"/>
      <c r="O46" s="2632">
        <v>0</v>
      </c>
      <c r="P46" s="2632">
        <v>0</v>
      </c>
      <c r="Q46" s="2632">
        <v>88766</v>
      </c>
      <c r="R46" s="2632">
        <v>154696</v>
      </c>
      <c r="S46" s="2632">
        <v>103495</v>
      </c>
      <c r="T46" s="2632">
        <v>60792</v>
      </c>
      <c r="U46" s="2632">
        <v>13068</v>
      </c>
      <c r="V46" s="2632">
        <v>0</v>
      </c>
      <c r="W46" s="2632">
        <v>0</v>
      </c>
      <c r="X46" s="3150"/>
      <c r="Y46" s="3143"/>
    </row>
    <row r="47" spans="1:26" ht="13.5" hidden="1" customHeight="1" thickBot="1">
      <c r="A47" s="3156"/>
      <c r="B47" s="2833" t="s">
        <v>33</v>
      </c>
      <c r="C47" s="3162"/>
      <c r="D47" s="2834">
        <f>M47+O47+P47+Q47+R47+S47+T47+U47+V47+W47</f>
        <v>0</v>
      </c>
      <c r="E47" s="2835">
        <v>0</v>
      </c>
      <c r="F47" s="2835"/>
      <c r="G47" s="2836"/>
      <c r="H47" s="2836"/>
      <c r="I47" s="2836">
        <v>0</v>
      </c>
      <c r="J47" s="2835">
        <v>0</v>
      </c>
      <c r="K47" s="2835"/>
      <c r="L47" s="2835"/>
      <c r="M47" s="2835">
        <f>+L47+K47+J47+I47+E47+N47</f>
        <v>0</v>
      </c>
      <c r="N47" s="2835"/>
      <c r="O47" s="2835">
        <v>0</v>
      </c>
      <c r="P47" s="2835"/>
      <c r="Q47" s="2835"/>
      <c r="R47" s="2835"/>
      <c r="S47" s="2835"/>
      <c r="T47" s="2835"/>
      <c r="U47" s="2835"/>
      <c r="V47" s="2835"/>
      <c r="W47" s="2835"/>
      <c r="X47" s="3151"/>
      <c r="Y47" s="3144"/>
    </row>
    <row r="48" spans="1:26" ht="28.15" customHeight="1">
      <c r="A48" s="3138" t="s">
        <v>528</v>
      </c>
      <c r="B48" s="2837" t="s">
        <v>559</v>
      </c>
      <c r="C48" s="2838" t="s">
        <v>130</v>
      </c>
      <c r="D48" s="475"/>
      <c r="E48" s="476"/>
      <c r="F48" s="476"/>
      <c r="G48" s="476"/>
      <c r="H48" s="476"/>
      <c r="I48" s="436"/>
      <c r="J48" s="436"/>
      <c r="K48" s="436"/>
      <c r="L48" s="436"/>
      <c r="M48" s="436"/>
      <c r="N48" s="436"/>
      <c r="O48" s="436"/>
      <c r="P48" s="436"/>
      <c r="Q48" s="436"/>
      <c r="R48" s="436"/>
      <c r="S48" s="436"/>
      <c r="T48" s="436"/>
      <c r="U48" s="436"/>
      <c r="V48" s="436"/>
      <c r="W48" s="436"/>
      <c r="X48" s="2839"/>
      <c r="Y48" s="3142" t="s">
        <v>540</v>
      </c>
      <c r="Z48" s="2840"/>
    </row>
    <row r="49" spans="1:26" ht="13.5" customHeight="1">
      <c r="A49" s="3139"/>
      <c r="B49" s="2819" t="s">
        <v>22</v>
      </c>
      <c r="C49" s="1815"/>
      <c r="D49" s="2821">
        <f t="shared" ref="D49:M49" si="42">+D50+D55</f>
        <v>1439977</v>
      </c>
      <c r="E49" s="2821">
        <f t="shared" si="42"/>
        <v>0</v>
      </c>
      <c r="F49" s="2821">
        <f t="shared" si="42"/>
        <v>0</v>
      </c>
      <c r="G49" s="2821">
        <f t="shared" si="42"/>
        <v>0</v>
      </c>
      <c r="H49" s="2821">
        <f t="shared" si="42"/>
        <v>0</v>
      </c>
      <c r="I49" s="2821">
        <f t="shared" si="42"/>
        <v>0</v>
      </c>
      <c r="J49" s="2821">
        <f t="shared" si="42"/>
        <v>0</v>
      </c>
      <c r="K49" s="2821">
        <f t="shared" si="42"/>
        <v>0</v>
      </c>
      <c r="L49" s="2821">
        <f t="shared" si="42"/>
        <v>0</v>
      </c>
      <c r="M49" s="2821">
        <f t="shared" si="42"/>
        <v>0</v>
      </c>
      <c r="N49" s="2821">
        <f t="shared" ref="N49:W49" si="43">+N50+N55</f>
        <v>0</v>
      </c>
      <c r="O49" s="2821">
        <f t="shared" si="43"/>
        <v>0</v>
      </c>
      <c r="P49" s="2821">
        <f t="shared" si="43"/>
        <v>688693</v>
      </c>
      <c r="Q49" s="2821">
        <f t="shared" si="43"/>
        <v>751284</v>
      </c>
      <c r="R49" s="2821">
        <f t="shared" si="43"/>
        <v>0</v>
      </c>
      <c r="S49" s="2821">
        <f t="shared" si="43"/>
        <v>0</v>
      </c>
      <c r="T49" s="2821">
        <f t="shared" si="43"/>
        <v>0</v>
      </c>
      <c r="U49" s="2821">
        <f t="shared" si="43"/>
        <v>0</v>
      </c>
      <c r="V49" s="2821">
        <f t="shared" si="43"/>
        <v>0</v>
      </c>
      <c r="W49" s="2821">
        <f t="shared" si="43"/>
        <v>0</v>
      </c>
      <c r="X49" s="2628">
        <f>+X50+X55</f>
        <v>1439977</v>
      </c>
      <c r="Y49" s="3139"/>
      <c r="Z49" s="2841">
        <f>+O49+P49+Q49+R49</f>
        <v>1439977</v>
      </c>
    </row>
    <row r="50" spans="1:26" ht="13.5" customHeight="1">
      <c r="A50" s="3139"/>
      <c r="B50" s="2822" t="s">
        <v>36</v>
      </c>
      <c r="C50" s="3145" t="s">
        <v>531</v>
      </c>
      <c r="D50" s="2823">
        <f t="shared" ref="D50:X50" si="44">+D51+D54</f>
        <v>215997</v>
      </c>
      <c r="E50" s="2823">
        <f t="shared" si="44"/>
        <v>0</v>
      </c>
      <c r="F50" s="2823">
        <f t="shared" si="44"/>
        <v>0</v>
      </c>
      <c r="G50" s="2823">
        <f t="shared" si="44"/>
        <v>0</v>
      </c>
      <c r="H50" s="2823">
        <f t="shared" si="44"/>
        <v>0</v>
      </c>
      <c r="I50" s="2823">
        <f t="shared" si="44"/>
        <v>0</v>
      </c>
      <c r="J50" s="2823">
        <f t="shared" si="44"/>
        <v>0</v>
      </c>
      <c r="K50" s="2823">
        <f t="shared" si="44"/>
        <v>0</v>
      </c>
      <c r="L50" s="2823">
        <f t="shared" si="44"/>
        <v>0</v>
      </c>
      <c r="M50" s="2823">
        <f t="shared" si="44"/>
        <v>0</v>
      </c>
      <c r="N50" s="2823">
        <f t="shared" si="44"/>
        <v>0</v>
      </c>
      <c r="O50" s="2823">
        <f t="shared" si="44"/>
        <v>0</v>
      </c>
      <c r="P50" s="2823">
        <f t="shared" si="44"/>
        <v>103304</v>
      </c>
      <c r="Q50" s="2823">
        <f t="shared" si="44"/>
        <v>112693</v>
      </c>
      <c r="R50" s="2823">
        <f t="shared" si="44"/>
        <v>0</v>
      </c>
      <c r="S50" s="2823">
        <f t="shared" si="44"/>
        <v>0</v>
      </c>
      <c r="T50" s="2823">
        <f t="shared" si="44"/>
        <v>0</v>
      </c>
      <c r="U50" s="2823">
        <f t="shared" si="44"/>
        <v>0</v>
      </c>
      <c r="V50" s="2823">
        <f t="shared" si="44"/>
        <v>0</v>
      </c>
      <c r="W50" s="2823">
        <f t="shared" si="44"/>
        <v>0</v>
      </c>
      <c r="X50" s="2824">
        <f t="shared" si="44"/>
        <v>215997</v>
      </c>
      <c r="Y50" s="3139"/>
      <c r="Z50" s="2840"/>
    </row>
    <row r="51" spans="1:26" ht="13.5" customHeight="1">
      <c r="A51" s="3139"/>
      <c r="B51" s="2825" t="s">
        <v>24</v>
      </c>
      <c r="C51" s="3146"/>
      <c r="D51" s="2826">
        <f>SUM(M51:W51)</f>
        <v>215997</v>
      </c>
      <c r="E51" s="2632">
        <f>+F51+G51+H51</f>
        <v>0</v>
      </c>
      <c r="F51" s="2632"/>
      <c r="G51" s="2633"/>
      <c r="H51" s="2633"/>
      <c r="I51" s="2633"/>
      <c r="J51" s="2633">
        <v>0</v>
      </c>
      <c r="K51" s="2632">
        <v>0</v>
      </c>
      <c r="L51" s="2632">
        <v>0</v>
      </c>
      <c r="M51" s="2632">
        <f>+L51+K51+J51+I51+E51</f>
        <v>0</v>
      </c>
      <c r="N51" s="2632"/>
      <c r="O51" s="2632">
        <f>+O52+O53</f>
        <v>0</v>
      </c>
      <c r="P51" s="2632">
        <f t="shared" ref="P51:W51" si="45">+P52+P53</f>
        <v>103304</v>
      </c>
      <c r="Q51" s="2632">
        <f t="shared" si="45"/>
        <v>112693</v>
      </c>
      <c r="R51" s="2632">
        <f t="shared" si="45"/>
        <v>0</v>
      </c>
      <c r="S51" s="2632">
        <f t="shared" si="45"/>
        <v>0</v>
      </c>
      <c r="T51" s="2632">
        <f t="shared" si="45"/>
        <v>0</v>
      </c>
      <c r="U51" s="2632">
        <f t="shared" si="45"/>
        <v>0</v>
      </c>
      <c r="V51" s="2632">
        <f t="shared" si="45"/>
        <v>0</v>
      </c>
      <c r="W51" s="2632">
        <f t="shared" si="45"/>
        <v>0</v>
      </c>
      <c r="X51" s="2827">
        <f>SUM(P51:W51)</f>
        <v>215997</v>
      </c>
      <c r="Y51" s="3139"/>
      <c r="Z51" s="2840"/>
    </row>
    <row r="52" spans="1:26" s="2598" customFormat="1" ht="13.5" hidden="1" customHeight="1">
      <c r="A52" s="3139"/>
      <c r="B52" s="2825" t="s">
        <v>445</v>
      </c>
      <c r="C52" s="3146"/>
      <c r="D52" s="2826">
        <f>SUM(M52:W52)</f>
        <v>109845</v>
      </c>
      <c r="E52" s="2632"/>
      <c r="F52" s="2632"/>
      <c r="G52" s="2633"/>
      <c r="H52" s="2633"/>
      <c r="I52" s="2633"/>
      <c r="J52" s="2633"/>
      <c r="K52" s="2632"/>
      <c r="L52" s="2632"/>
      <c r="M52" s="2632">
        <v>0</v>
      </c>
      <c r="N52" s="2632"/>
      <c r="O52" s="2632">
        <v>0</v>
      </c>
      <c r="P52" s="2632">
        <v>52520</v>
      </c>
      <c r="Q52" s="2632">
        <v>57325</v>
      </c>
      <c r="R52" s="2632"/>
      <c r="S52" s="2632"/>
      <c r="T52" s="2632"/>
      <c r="U52" s="2632"/>
      <c r="V52" s="2632"/>
      <c r="W52" s="2632"/>
      <c r="X52" s="2827"/>
      <c r="Y52" s="3139"/>
      <c r="Z52" s="2840"/>
    </row>
    <row r="53" spans="1:26" s="2598" customFormat="1" ht="13.5" hidden="1" customHeight="1">
      <c r="A53" s="3139"/>
      <c r="B53" s="2825" t="s">
        <v>529</v>
      </c>
      <c r="C53" s="3146"/>
      <c r="D53" s="2826">
        <f t="shared" ref="D53" si="46">SUM(M53:W53)</f>
        <v>106152</v>
      </c>
      <c r="E53" s="2632"/>
      <c r="F53" s="2632"/>
      <c r="G53" s="2633"/>
      <c r="H53" s="2633"/>
      <c r="I53" s="2633"/>
      <c r="J53" s="2633"/>
      <c r="K53" s="2632"/>
      <c r="L53" s="2632"/>
      <c r="M53" s="2632">
        <v>0</v>
      </c>
      <c r="N53" s="2632"/>
      <c r="O53" s="2632">
        <v>0</v>
      </c>
      <c r="P53" s="2632">
        <v>50784</v>
      </c>
      <c r="Q53" s="2632">
        <v>55368</v>
      </c>
      <c r="R53" s="2632"/>
      <c r="S53" s="2632"/>
      <c r="T53" s="2632"/>
      <c r="U53" s="2632"/>
      <c r="V53" s="2632"/>
      <c r="W53" s="2632"/>
      <c r="X53" s="2827"/>
      <c r="Y53" s="3139"/>
      <c r="Z53" s="2840"/>
    </row>
    <row r="54" spans="1:26" ht="12.75" hidden="1" customHeight="1">
      <c r="A54" s="3139"/>
      <c r="B54" s="2825" t="s">
        <v>25</v>
      </c>
      <c r="C54" s="3146"/>
      <c r="D54" s="2826">
        <f t="shared" ref="D54" si="47">SUM(M54:R54)</f>
        <v>0</v>
      </c>
      <c r="E54" s="2632"/>
      <c r="F54" s="2632"/>
      <c r="G54" s="2632"/>
      <c r="H54" s="2632"/>
      <c r="I54" s="2633"/>
      <c r="J54" s="2632"/>
      <c r="K54" s="2632"/>
      <c r="L54" s="2632"/>
      <c r="M54" s="2632">
        <f>+L54+K54+J54+I54+E54</f>
        <v>0</v>
      </c>
      <c r="N54" s="2632"/>
      <c r="O54" s="2632">
        <v>0</v>
      </c>
      <c r="P54" s="2632"/>
      <c r="Q54" s="2632"/>
      <c r="R54" s="2632"/>
      <c r="S54" s="2632"/>
      <c r="T54" s="2632"/>
      <c r="U54" s="2632"/>
      <c r="V54" s="2632"/>
      <c r="W54" s="2632"/>
      <c r="X54" s="2827">
        <f>SUM(P54:W54)</f>
        <v>0</v>
      </c>
      <c r="Y54" s="3139"/>
      <c r="Z54" s="2840"/>
    </row>
    <row r="55" spans="1:26" ht="13.5" customHeight="1">
      <c r="A55" s="3139"/>
      <c r="B55" s="2822" t="s">
        <v>30</v>
      </c>
      <c r="C55" s="3146"/>
      <c r="D55" s="2829">
        <f>+D56</f>
        <v>1223980</v>
      </c>
      <c r="E55" s="2829">
        <f t="shared" ref="E55:W55" si="48">+E56</f>
        <v>0</v>
      </c>
      <c r="F55" s="2829">
        <f t="shared" si="48"/>
        <v>0</v>
      </c>
      <c r="G55" s="2829">
        <f t="shared" si="48"/>
        <v>0</v>
      </c>
      <c r="H55" s="2829">
        <f t="shared" si="48"/>
        <v>0</v>
      </c>
      <c r="I55" s="2829">
        <f t="shared" si="48"/>
        <v>0</v>
      </c>
      <c r="J55" s="2829">
        <f t="shared" si="48"/>
        <v>0</v>
      </c>
      <c r="K55" s="2829">
        <f t="shared" si="48"/>
        <v>0</v>
      </c>
      <c r="L55" s="2829">
        <f t="shared" si="48"/>
        <v>0</v>
      </c>
      <c r="M55" s="2829">
        <f t="shared" si="48"/>
        <v>0</v>
      </c>
      <c r="N55" s="2829">
        <f t="shared" si="48"/>
        <v>0</v>
      </c>
      <c r="O55" s="2829">
        <f t="shared" si="48"/>
        <v>0</v>
      </c>
      <c r="P55" s="2829">
        <f t="shared" si="48"/>
        <v>585389</v>
      </c>
      <c r="Q55" s="2829">
        <f t="shared" si="48"/>
        <v>638591</v>
      </c>
      <c r="R55" s="2829">
        <f t="shared" si="48"/>
        <v>0</v>
      </c>
      <c r="S55" s="2829">
        <f t="shared" si="48"/>
        <v>0</v>
      </c>
      <c r="T55" s="2829">
        <f t="shared" si="48"/>
        <v>0</v>
      </c>
      <c r="U55" s="2829">
        <f t="shared" si="48"/>
        <v>0</v>
      </c>
      <c r="V55" s="2829">
        <f t="shared" si="48"/>
        <v>0</v>
      </c>
      <c r="W55" s="2829">
        <f t="shared" si="48"/>
        <v>0</v>
      </c>
      <c r="X55" s="2830">
        <f t="shared" ref="X55" si="49">+X56</f>
        <v>1223980</v>
      </c>
      <c r="Y55" s="3139"/>
      <c r="Z55" s="2840"/>
    </row>
    <row r="56" spans="1:26" ht="13.5" customHeight="1" collapsed="1">
      <c r="A56" s="3139"/>
      <c r="B56" s="2825" t="s">
        <v>33</v>
      </c>
      <c r="C56" s="3146"/>
      <c r="D56" s="2826">
        <f>SUM(M56:W56)</f>
        <v>1223980</v>
      </c>
      <c r="E56" s="2632"/>
      <c r="F56" s="2632"/>
      <c r="G56" s="2632"/>
      <c r="H56" s="2632"/>
      <c r="I56" s="2633"/>
      <c r="J56" s="2633"/>
      <c r="K56" s="2632"/>
      <c r="L56" s="2632"/>
      <c r="M56" s="2632">
        <f>+M57+M58</f>
        <v>0</v>
      </c>
      <c r="N56" s="2632"/>
      <c r="O56" s="2632">
        <v>0</v>
      </c>
      <c r="P56" s="2632">
        <f>+P57+P58</f>
        <v>585389</v>
      </c>
      <c r="Q56" s="2632">
        <f t="shared" ref="Q56:W56" si="50">+Q57+Q58</f>
        <v>638591</v>
      </c>
      <c r="R56" s="2632">
        <f t="shared" si="50"/>
        <v>0</v>
      </c>
      <c r="S56" s="2632">
        <f t="shared" si="50"/>
        <v>0</v>
      </c>
      <c r="T56" s="2632">
        <f t="shared" si="50"/>
        <v>0</v>
      </c>
      <c r="U56" s="2632">
        <f t="shared" si="50"/>
        <v>0</v>
      </c>
      <c r="V56" s="2632">
        <f t="shared" si="50"/>
        <v>0</v>
      </c>
      <c r="W56" s="2632">
        <f t="shared" si="50"/>
        <v>0</v>
      </c>
      <c r="X56" s="2827">
        <f>SUM(P56:W56)</f>
        <v>1223980</v>
      </c>
      <c r="Y56" s="3139"/>
      <c r="Z56" s="2840"/>
    </row>
    <row r="57" spans="1:26" s="2598" customFormat="1" ht="13.5" hidden="1" customHeight="1">
      <c r="A57" s="3139"/>
      <c r="B57" s="2825" t="s">
        <v>445</v>
      </c>
      <c r="C57" s="2842"/>
      <c r="D57" s="2826">
        <f t="shared" ref="D57:D58" si="51">SUM(M57:W57)</f>
        <v>622460</v>
      </c>
      <c r="E57" s="2632"/>
      <c r="F57" s="2632"/>
      <c r="G57" s="2632"/>
      <c r="H57" s="2632"/>
      <c r="I57" s="2633"/>
      <c r="J57" s="2633"/>
      <c r="K57" s="2632"/>
      <c r="L57" s="2632"/>
      <c r="M57" s="2632"/>
      <c r="N57" s="2632"/>
      <c r="O57" s="2632">
        <v>0</v>
      </c>
      <c r="P57" s="2632">
        <v>297619</v>
      </c>
      <c r="Q57" s="2632">
        <v>324841</v>
      </c>
      <c r="R57" s="2632"/>
      <c r="S57" s="2632"/>
      <c r="T57" s="2632"/>
      <c r="U57" s="2632"/>
      <c r="V57" s="2632"/>
      <c r="W57" s="2632"/>
      <c r="X57" s="2827"/>
      <c r="Y57" s="3139"/>
      <c r="Z57" s="2840"/>
    </row>
    <row r="58" spans="1:26" s="2598" customFormat="1" ht="13.5" hidden="1" customHeight="1">
      <c r="A58" s="3139"/>
      <c r="B58" s="2825" t="s">
        <v>529</v>
      </c>
      <c r="C58" s="2842"/>
      <c r="D58" s="2826">
        <f t="shared" si="51"/>
        <v>601520</v>
      </c>
      <c r="E58" s="2632"/>
      <c r="F58" s="2632"/>
      <c r="G58" s="2632"/>
      <c r="H58" s="2632"/>
      <c r="I58" s="2633"/>
      <c r="J58" s="2633"/>
      <c r="K58" s="2632"/>
      <c r="L58" s="2632"/>
      <c r="M58" s="2632"/>
      <c r="N58" s="2632"/>
      <c r="O58" s="2632">
        <v>0</v>
      </c>
      <c r="P58" s="2632">
        <v>287770</v>
      </c>
      <c r="Q58" s="2632">
        <v>313750</v>
      </c>
      <c r="R58" s="2632"/>
      <c r="S58" s="2632"/>
      <c r="T58" s="2632"/>
      <c r="U58" s="2632"/>
      <c r="V58" s="2632"/>
      <c r="W58" s="2632"/>
      <c r="X58" s="2827"/>
      <c r="Y58" s="3139"/>
      <c r="Z58" s="2840"/>
    </row>
    <row r="59" spans="1:26" ht="13.5" customHeight="1">
      <c r="A59" s="3140"/>
      <c r="B59" s="2819" t="s">
        <v>34</v>
      </c>
      <c r="C59" s="2820"/>
      <c r="D59" s="2832">
        <f t="shared" ref="D59:W59" si="52">+D60+D62</f>
        <v>1223980</v>
      </c>
      <c r="E59" s="2832">
        <f t="shared" si="52"/>
        <v>0</v>
      </c>
      <c r="F59" s="2832">
        <f t="shared" si="52"/>
        <v>0</v>
      </c>
      <c r="G59" s="2832">
        <f t="shared" si="52"/>
        <v>0</v>
      </c>
      <c r="H59" s="2832">
        <f t="shared" si="52"/>
        <v>0</v>
      </c>
      <c r="I59" s="2832">
        <f t="shared" si="52"/>
        <v>0</v>
      </c>
      <c r="J59" s="2832">
        <f t="shared" si="52"/>
        <v>0</v>
      </c>
      <c r="K59" s="2832">
        <f t="shared" si="52"/>
        <v>0</v>
      </c>
      <c r="L59" s="2832">
        <f t="shared" si="52"/>
        <v>0</v>
      </c>
      <c r="M59" s="2832">
        <f t="shared" si="52"/>
        <v>0</v>
      </c>
      <c r="N59" s="2832">
        <f t="shared" si="52"/>
        <v>0</v>
      </c>
      <c r="O59" s="2832">
        <f t="shared" si="52"/>
        <v>0</v>
      </c>
      <c r="P59" s="2832">
        <f t="shared" si="52"/>
        <v>585389</v>
      </c>
      <c r="Q59" s="2832">
        <f t="shared" si="52"/>
        <v>638591</v>
      </c>
      <c r="R59" s="2832">
        <f t="shared" si="52"/>
        <v>0</v>
      </c>
      <c r="S59" s="2832">
        <f t="shared" si="52"/>
        <v>0</v>
      </c>
      <c r="T59" s="2832">
        <f t="shared" si="52"/>
        <v>0</v>
      </c>
      <c r="U59" s="2832">
        <f t="shared" si="52"/>
        <v>0</v>
      </c>
      <c r="V59" s="2832">
        <f t="shared" si="52"/>
        <v>0</v>
      </c>
      <c r="W59" s="2832">
        <f t="shared" si="52"/>
        <v>0</v>
      </c>
      <c r="X59" s="3150" t="s">
        <v>77</v>
      </c>
      <c r="Y59" s="3143"/>
      <c r="Z59" s="2840"/>
    </row>
    <row r="60" spans="1:26" ht="13.5" hidden="1" customHeight="1">
      <c r="A60" s="3140"/>
      <c r="B60" s="2822" t="s">
        <v>36</v>
      </c>
      <c r="C60" s="3147" t="s">
        <v>530</v>
      </c>
      <c r="D60" s="2829">
        <f>+D61</f>
        <v>0</v>
      </c>
      <c r="E60" s="2829">
        <f t="shared" ref="E60:W60" si="53">+E61</f>
        <v>0</v>
      </c>
      <c r="F60" s="2829">
        <f t="shared" si="53"/>
        <v>0</v>
      </c>
      <c r="G60" s="2829">
        <f t="shared" si="53"/>
        <v>0</v>
      </c>
      <c r="H60" s="2829">
        <f t="shared" si="53"/>
        <v>0</v>
      </c>
      <c r="I60" s="2829">
        <f t="shared" si="53"/>
        <v>0</v>
      </c>
      <c r="J60" s="2829">
        <f t="shared" si="53"/>
        <v>0</v>
      </c>
      <c r="K60" s="2829">
        <f t="shared" si="53"/>
        <v>0</v>
      </c>
      <c r="L60" s="2829">
        <f t="shared" si="53"/>
        <v>0</v>
      </c>
      <c r="M60" s="2829">
        <f t="shared" si="53"/>
        <v>0</v>
      </c>
      <c r="N60" s="2829">
        <f t="shared" si="53"/>
        <v>0</v>
      </c>
      <c r="O60" s="2829">
        <f t="shared" si="53"/>
        <v>0</v>
      </c>
      <c r="P60" s="2829">
        <f t="shared" si="53"/>
        <v>0</v>
      </c>
      <c r="Q60" s="2829">
        <f t="shared" si="53"/>
        <v>0</v>
      </c>
      <c r="R60" s="2829">
        <f t="shared" si="53"/>
        <v>0</v>
      </c>
      <c r="S60" s="2829">
        <f t="shared" si="53"/>
        <v>0</v>
      </c>
      <c r="T60" s="2829">
        <f t="shared" si="53"/>
        <v>0</v>
      </c>
      <c r="U60" s="2829">
        <f t="shared" si="53"/>
        <v>0</v>
      </c>
      <c r="V60" s="2829">
        <f t="shared" si="53"/>
        <v>0</v>
      </c>
      <c r="W60" s="2829">
        <f t="shared" si="53"/>
        <v>0</v>
      </c>
      <c r="X60" s="3150"/>
      <c r="Y60" s="3143"/>
      <c r="Z60" s="2840"/>
    </row>
    <row r="61" spans="1:26" ht="13.5" hidden="1" customHeight="1">
      <c r="A61" s="3140"/>
      <c r="B61" s="2825" t="s">
        <v>25</v>
      </c>
      <c r="C61" s="3148"/>
      <c r="D61" s="2826">
        <f>SUM(M61:R61)</f>
        <v>0</v>
      </c>
      <c r="E61" s="2632"/>
      <c r="F61" s="2632"/>
      <c r="G61" s="2632"/>
      <c r="H61" s="2633"/>
      <c r="I61" s="2633"/>
      <c r="J61" s="2826"/>
      <c r="K61" s="2826"/>
      <c r="L61" s="2826"/>
      <c r="M61" s="2632">
        <f>+L61+K61+J61+I61+E61</f>
        <v>0</v>
      </c>
      <c r="N61" s="2632"/>
      <c r="O61" s="2826">
        <v>0</v>
      </c>
      <c r="P61" s="2826"/>
      <c r="Q61" s="2826"/>
      <c r="R61" s="2826"/>
      <c r="S61" s="2826"/>
      <c r="T61" s="2826"/>
      <c r="U61" s="2826"/>
      <c r="V61" s="2826"/>
      <c r="W61" s="2826"/>
      <c r="X61" s="3150"/>
      <c r="Y61" s="3143"/>
      <c r="Z61" s="2840"/>
    </row>
    <row r="62" spans="1:26" ht="13.9" customHeight="1">
      <c r="A62" s="3140"/>
      <c r="B62" s="2822" t="s">
        <v>30</v>
      </c>
      <c r="C62" s="3148"/>
      <c r="D62" s="2829">
        <f t="shared" ref="D62:W62" si="54">+D63</f>
        <v>1223980</v>
      </c>
      <c r="E62" s="2829">
        <f t="shared" si="54"/>
        <v>0</v>
      </c>
      <c r="F62" s="2829">
        <f t="shared" si="54"/>
        <v>0</v>
      </c>
      <c r="G62" s="2829">
        <f t="shared" si="54"/>
        <v>0</v>
      </c>
      <c r="H62" s="2829">
        <f t="shared" si="54"/>
        <v>0</v>
      </c>
      <c r="I62" s="2829">
        <f t="shared" si="54"/>
        <v>0</v>
      </c>
      <c r="J62" s="2829">
        <f t="shared" si="54"/>
        <v>0</v>
      </c>
      <c r="K62" s="2829">
        <f t="shared" si="54"/>
        <v>0</v>
      </c>
      <c r="L62" s="2829">
        <f t="shared" si="54"/>
        <v>0</v>
      </c>
      <c r="M62" s="2829">
        <f t="shared" si="54"/>
        <v>0</v>
      </c>
      <c r="N62" s="2829">
        <f t="shared" si="54"/>
        <v>0</v>
      </c>
      <c r="O62" s="2829">
        <f t="shared" si="54"/>
        <v>0</v>
      </c>
      <c r="P62" s="2829">
        <f t="shared" si="54"/>
        <v>585389</v>
      </c>
      <c r="Q62" s="2829">
        <f t="shared" si="54"/>
        <v>638591</v>
      </c>
      <c r="R62" s="2829">
        <f t="shared" si="54"/>
        <v>0</v>
      </c>
      <c r="S62" s="2829">
        <f t="shared" si="54"/>
        <v>0</v>
      </c>
      <c r="T62" s="2829">
        <f t="shared" si="54"/>
        <v>0</v>
      </c>
      <c r="U62" s="2829">
        <f t="shared" si="54"/>
        <v>0</v>
      </c>
      <c r="V62" s="2829">
        <f t="shared" si="54"/>
        <v>0</v>
      </c>
      <c r="W62" s="2829">
        <f t="shared" si="54"/>
        <v>0</v>
      </c>
      <c r="X62" s="3150"/>
      <c r="Y62" s="3143"/>
      <c r="Z62" s="2840"/>
    </row>
    <row r="63" spans="1:26" ht="13.5" customHeight="1" thickBot="1">
      <c r="A63" s="3141"/>
      <c r="B63" s="2843" t="s">
        <v>33</v>
      </c>
      <c r="C63" s="3149"/>
      <c r="D63" s="2834">
        <f>SUM(M63:R63)</f>
        <v>1223980</v>
      </c>
      <c r="E63" s="2835"/>
      <c r="F63" s="2835"/>
      <c r="G63" s="2836"/>
      <c r="H63" s="2836"/>
      <c r="I63" s="2836"/>
      <c r="J63" s="2835"/>
      <c r="K63" s="2835"/>
      <c r="L63" s="2835"/>
      <c r="M63" s="2835">
        <f>+L63+K63+J63+I63+E63</f>
        <v>0</v>
      </c>
      <c r="N63" s="2835"/>
      <c r="O63" s="2835">
        <v>0</v>
      </c>
      <c r="P63" s="2835">
        <v>585389</v>
      </c>
      <c r="Q63" s="2835">
        <v>638591</v>
      </c>
      <c r="R63" s="2835">
        <v>0</v>
      </c>
      <c r="S63" s="2835">
        <v>0</v>
      </c>
      <c r="T63" s="2835">
        <v>0</v>
      </c>
      <c r="U63" s="2835">
        <v>0</v>
      </c>
      <c r="V63" s="2835">
        <v>0</v>
      </c>
      <c r="W63" s="2835">
        <v>0</v>
      </c>
      <c r="X63" s="3151"/>
      <c r="Y63" s="3144"/>
      <c r="Z63" s="2840"/>
    </row>
    <row r="64" spans="1:26" hidden="1">
      <c r="A64" s="3123"/>
      <c r="B64" s="2802"/>
      <c r="C64" s="2803" t="s">
        <v>130</v>
      </c>
      <c r="D64" s="523"/>
      <c r="E64" s="523"/>
      <c r="F64" s="523"/>
      <c r="G64" s="523"/>
      <c r="H64" s="523"/>
      <c r="I64" s="524"/>
      <c r="J64" s="524"/>
      <c r="K64" s="524"/>
      <c r="L64" s="524"/>
      <c r="M64" s="524"/>
      <c r="N64" s="524"/>
      <c r="O64" s="524"/>
      <c r="P64" s="524"/>
      <c r="Q64" s="524"/>
      <c r="R64" s="524"/>
      <c r="S64" s="524"/>
      <c r="T64" s="524"/>
      <c r="U64" s="524"/>
      <c r="V64" s="524"/>
      <c r="W64" s="524"/>
      <c r="X64" s="2805"/>
      <c r="Y64" s="3124" t="s">
        <v>149</v>
      </c>
      <c r="Z64" s="1540"/>
    </row>
    <row r="65" spans="1:29" ht="13.5" hidden="1" customHeight="1">
      <c r="A65" s="3112"/>
      <c r="B65" s="2806" t="s">
        <v>22</v>
      </c>
      <c r="C65" s="2766"/>
      <c r="D65" s="1549">
        <f t="shared" ref="D65:P65" si="55">+D66+D69</f>
        <v>0</v>
      </c>
      <c r="E65" s="1549">
        <f t="shared" si="55"/>
        <v>0</v>
      </c>
      <c r="F65" s="1549">
        <f t="shared" si="55"/>
        <v>0</v>
      </c>
      <c r="G65" s="1549">
        <f t="shared" si="55"/>
        <v>0</v>
      </c>
      <c r="H65" s="1549">
        <f t="shared" si="55"/>
        <v>0</v>
      </c>
      <c r="I65" s="1549">
        <f t="shared" si="55"/>
        <v>0</v>
      </c>
      <c r="J65" s="1549">
        <f t="shared" si="55"/>
        <v>0</v>
      </c>
      <c r="K65" s="1549">
        <f t="shared" si="55"/>
        <v>0</v>
      </c>
      <c r="L65" s="1549">
        <f t="shared" si="55"/>
        <v>0</v>
      </c>
      <c r="M65" s="1549">
        <f t="shared" ref="M65" si="56">+M66+M69</f>
        <v>0</v>
      </c>
      <c r="N65" s="1549">
        <f t="shared" si="55"/>
        <v>0</v>
      </c>
      <c r="O65" s="1549">
        <f t="shared" si="55"/>
        <v>0</v>
      </c>
      <c r="P65" s="1549">
        <f t="shared" si="55"/>
        <v>0</v>
      </c>
      <c r="Q65" s="1549"/>
      <c r="R65" s="1549"/>
      <c r="S65" s="1549"/>
      <c r="T65" s="1549"/>
      <c r="U65" s="1549"/>
      <c r="V65" s="1549"/>
      <c r="W65" s="1549"/>
      <c r="X65" s="1544">
        <f>+X66+X69</f>
        <v>0</v>
      </c>
      <c r="Y65" s="3114"/>
      <c r="Z65" s="1540">
        <f>+O65+P65+Q65+R65</f>
        <v>0</v>
      </c>
      <c r="AA65" s="1540"/>
    </row>
    <row r="66" spans="1:29" ht="13.5" hidden="1" customHeight="1">
      <c r="A66" s="3112"/>
      <c r="B66" s="2844" t="s">
        <v>36</v>
      </c>
      <c r="C66" s="3116" t="s">
        <v>350</v>
      </c>
      <c r="D66" s="1546">
        <f t="shared" ref="D66:P66" si="57">+D67+D68</f>
        <v>0</v>
      </c>
      <c r="E66" s="1546">
        <f t="shared" si="57"/>
        <v>0</v>
      </c>
      <c r="F66" s="1546">
        <f t="shared" si="57"/>
        <v>0</v>
      </c>
      <c r="G66" s="1546">
        <f t="shared" si="57"/>
        <v>0</v>
      </c>
      <c r="H66" s="1546">
        <f t="shared" si="57"/>
        <v>0</v>
      </c>
      <c r="I66" s="1546">
        <f t="shared" si="57"/>
        <v>0</v>
      </c>
      <c r="J66" s="1546">
        <f t="shared" si="57"/>
        <v>0</v>
      </c>
      <c r="K66" s="1546">
        <f t="shared" si="57"/>
        <v>0</v>
      </c>
      <c r="L66" s="1546">
        <f t="shared" si="57"/>
        <v>0</v>
      </c>
      <c r="M66" s="1546">
        <f t="shared" ref="M66" si="58">+M67+M68</f>
        <v>0</v>
      </c>
      <c r="N66" s="1546">
        <f t="shared" si="57"/>
        <v>0</v>
      </c>
      <c r="O66" s="1546">
        <f t="shared" si="57"/>
        <v>0</v>
      </c>
      <c r="P66" s="1546">
        <f t="shared" si="57"/>
        <v>0</v>
      </c>
      <c r="Q66" s="1546"/>
      <c r="R66" s="1546"/>
      <c r="S66" s="1546"/>
      <c r="T66" s="1546"/>
      <c r="U66" s="1546"/>
      <c r="V66" s="1546"/>
      <c r="W66" s="1546"/>
      <c r="X66" s="1551">
        <f>+X67+X68</f>
        <v>0</v>
      </c>
      <c r="Y66" s="3114"/>
    </row>
    <row r="67" spans="1:29" ht="13.5" hidden="1" customHeight="1">
      <c r="A67" s="3112"/>
      <c r="B67" s="2809" t="s">
        <v>24</v>
      </c>
      <c r="C67" s="3117"/>
      <c r="D67" s="1547">
        <f t="shared" ref="D67:D68" si="59">SUM(M67:R67)</f>
        <v>0</v>
      </c>
      <c r="E67" s="1548">
        <f>+F67+G67+H67</f>
        <v>0</v>
      </c>
      <c r="F67" s="1548">
        <v>0</v>
      </c>
      <c r="G67" s="1548"/>
      <c r="H67" s="1550"/>
      <c r="I67" s="1550"/>
      <c r="J67" s="1550"/>
      <c r="K67" s="1548"/>
      <c r="L67" s="1548"/>
      <c r="M67" s="1548">
        <f>+L67+K67+J67+I67+E67</f>
        <v>0</v>
      </c>
      <c r="N67" s="1548"/>
      <c r="O67" s="1548">
        <v>0</v>
      </c>
      <c r="P67" s="1548">
        <v>0</v>
      </c>
      <c r="Q67" s="1548"/>
      <c r="R67" s="1548"/>
      <c r="S67" s="1548"/>
      <c r="T67" s="1548"/>
      <c r="U67" s="1548"/>
      <c r="V67" s="1548"/>
      <c r="W67" s="1548"/>
      <c r="X67" s="2810">
        <f>SUM(P67:W67)</f>
        <v>0</v>
      </c>
      <c r="Y67" s="3114"/>
    </row>
    <row r="68" spans="1:29" ht="13.5" hidden="1" customHeight="1">
      <c r="A68" s="3112"/>
      <c r="B68" s="2809" t="s">
        <v>25</v>
      </c>
      <c r="C68" s="3117"/>
      <c r="D68" s="1547">
        <f t="shared" si="59"/>
        <v>0</v>
      </c>
      <c r="E68" s="1548">
        <f>+F68+G68+H68</f>
        <v>0</v>
      </c>
      <c r="F68" s="1548"/>
      <c r="G68" s="1548"/>
      <c r="H68" s="1550"/>
      <c r="I68" s="1550"/>
      <c r="J68" s="1550"/>
      <c r="K68" s="1548"/>
      <c r="L68" s="1548"/>
      <c r="M68" s="1548">
        <f>+L68+K68+J68+I68+E68</f>
        <v>0</v>
      </c>
      <c r="N68" s="1548"/>
      <c r="O68" s="1548">
        <v>0</v>
      </c>
      <c r="P68" s="1548">
        <v>0</v>
      </c>
      <c r="Q68" s="1548"/>
      <c r="R68" s="1548"/>
      <c r="S68" s="1548"/>
      <c r="T68" s="1548"/>
      <c r="U68" s="1548"/>
      <c r="V68" s="1548"/>
      <c r="W68" s="1548"/>
      <c r="X68" s="2810">
        <f>SUM(P68:W68)</f>
        <v>0</v>
      </c>
      <c r="Y68" s="3114"/>
    </row>
    <row r="69" spans="1:29" ht="12.75" hidden="1" customHeight="1">
      <c r="A69" s="3112"/>
      <c r="B69" s="2807" t="s">
        <v>30</v>
      </c>
      <c r="C69" s="3117"/>
      <c r="D69" s="1545">
        <f>+D70</f>
        <v>0</v>
      </c>
      <c r="E69" s="1545">
        <f t="shared" ref="E69:X69" si="60">+E70</f>
        <v>0</v>
      </c>
      <c r="F69" s="1545">
        <f t="shared" si="60"/>
        <v>0</v>
      </c>
      <c r="G69" s="1545">
        <f t="shared" si="60"/>
        <v>0</v>
      </c>
      <c r="H69" s="1545">
        <f t="shared" si="60"/>
        <v>0</v>
      </c>
      <c r="I69" s="1545">
        <f t="shared" si="60"/>
        <v>0</v>
      </c>
      <c r="J69" s="1545">
        <f t="shared" si="60"/>
        <v>0</v>
      </c>
      <c r="K69" s="1545">
        <f t="shared" si="60"/>
        <v>0</v>
      </c>
      <c r="L69" s="1545">
        <f t="shared" si="60"/>
        <v>0</v>
      </c>
      <c r="M69" s="1545">
        <f t="shared" si="60"/>
        <v>0</v>
      </c>
      <c r="N69" s="1545">
        <f t="shared" si="60"/>
        <v>0</v>
      </c>
      <c r="O69" s="1545">
        <f t="shared" si="60"/>
        <v>0</v>
      </c>
      <c r="P69" s="1545">
        <f t="shared" si="60"/>
        <v>0</v>
      </c>
      <c r="Q69" s="1545"/>
      <c r="R69" s="1545"/>
      <c r="S69" s="1545"/>
      <c r="T69" s="1545"/>
      <c r="U69" s="1545"/>
      <c r="V69" s="1545"/>
      <c r="W69" s="1545"/>
      <c r="X69" s="2580">
        <f t="shared" si="60"/>
        <v>0</v>
      </c>
      <c r="Y69" s="3114"/>
    </row>
    <row r="70" spans="1:29" ht="13.5" hidden="1" customHeight="1">
      <c r="A70" s="3112"/>
      <c r="B70" s="2809" t="s">
        <v>33</v>
      </c>
      <c r="C70" s="3117"/>
      <c r="D70" s="1547">
        <f>SUM(M70:R70)</f>
        <v>0</v>
      </c>
      <c r="E70" s="1548">
        <f>+F70+G70+H70</f>
        <v>0</v>
      </c>
      <c r="F70" s="1548"/>
      <c r="G70" s="1548"/>
      <c r="H70" s="1550"/>
      <c r="I70" s="1550"/>
      <c r="J70" s="1550"/>
      <c r="K70" s="1548"/>
      <c r="L70" s="1548"/>
      <c r="M70" s="1548">
        <f>+L70+K70+J70+I70+E70</f>
        <v>0</v>
      </c>
      <c r="N70" s="1548"/>
      <c r="O70" s="1548">
        <v>0</v>
      </c>
      <c r="P70" s="1548">
        <v>0</v>
      </c>
      <c r="Q70" s="1548"/>
      <c r="R70" s="1548"/>
      <c r="S70" s="1548"/>
      <c r="T70" s="1548"/>
      <c r="U70" s="1548"/>
      <c r="V70" s="1548"/>
      <c r="W70" s="1548"/>
      <c r="X70" s="2810">
        <f>SUM(P70:W70)</f>
        <v>0</v>
      </c>
      <c r="Y70" s="3114"/>
    </row>
    <row r="71" spans="1:29" ht="13.5" hidden="1" customHeight="1">
      <c r="A71" s="3113"/>
      <c r="B71" s="2806" t="s">
        <v>34</v>
      </c>
      <c r="C71" s="2766"/>
      <c r="D71" s="2572">
        <f t="shared" ref="D71:L71" si="61">+D72+D74</f>
        <v>0</v>
      </c>
      <c r="E71" s="2572">
        <f t="shared" si="61"/>
        <v>0</v>
      </c>
      <c r="F71" s="2572">
        <f t="shared" si="61"/>
        <v>0</v>
      </c>
      <c r="G71" s="2572">
        <f t="shared" si="61"/>
        <v>0</v>
      </c>
      <c r="H71" s="2572">
        <f t="shared" si="61"/>
        <v>0</v>
      </c>
      <c r="I71" s="2572">
        <f t="shared" si="61"/>
        <v>0</v>
      </c>
      <c r="J71" s="2572">
        <f t="shared" si="61"/>
        <v>0</v>
      </c>
      <c r="K71" s="2572">
        <f t="shared" si="61"/>
        <v>0</v>
      </c>
      <c r="L71" s="2572">
        <f t="shared" si="61"/>
        <v>0</v>
      </c>
      <c r="M71" s="2572">
        <f t="shared" ref="M71" si="62">+M72+M74</f>
        <v>0</v>
      </c>
      <c r="N71" s="2572">
        <f>+N72+N74</f>
        <v>0</v>
      </c>
      <c r="O71" s="2572">
        <f>+O72+O74</f>
        <v>0</v>
      </c>
      <c r="P71" s="2572">
        <f>+P72+P74</f>
        <v>0</v>
      </c>
      <c r="Q71" s="2572"/>
      <c r="R71" s="2572"/>
      <c r="S71" s="2572"/>
      <c r="T71" s="2572"/>
      <c r="U71" s="2572"/>
      <c r="V71" s="2572"/>
      <c r="W71" s="2572"/>
      <c r="X71" s="3121" t="s">
        <v>77</v>
      </c>
      <c r="Y71" s="3125"/>
    </row>
    <row r="72" spans="1:29" ht="13.5" hidden="1" customHeight="1">
      <c r="A72" s="3113"/>
      <c r="B72" s="2844" t="s">
        <v>36</v>
      </c>
      <c r="C72" s="3118" t="s">
        <v>350</v>
      </c>
      <c r="D72" s="1545">
        <f t="shared" ref="D72:P72" si="63">+D73</f>
        <v>0</v>
      </c>
      <c r="E72" s="1545">
        <f t="shared" si="63"/>
        <v>0</v>
      </c>
      <c r="F72" s="1545">
        <f t="shared" si="63"/>
        <v>0</v>
      </c>
      <c r="G72" s="1545">
        <f t="shared" si="63"/>
        <v>0</v>
      </c>
      <c r="H72" s="1545">
        <f t="shared" si="63"/>
        <v>0</v>
      </c>
      <c r="I72" s="1545">
        <f t="shared" si="63"/>
        <v>0</v>
      </c>
      <c r="J72" s="1545">
        <f t="shared" si="63"/>
        <v>0</v>
      </c>
      <c r="K72" s="1545">
        <f t="shared" si="63"/>
        <v>0</v>
      </c>
      <c r="L72" s="1545">
        <f t="shared" si="63"/>
        <v>0</v>
      </c>
      <c r="M72" s="1545">
        <f t="shared" si="63"/>
        <v>0</v>
      </c>
      <c r="N72" s="1545">
        <f t="shared" si="63"/>
        <v>0</v>
      </c>
      <c r="O72" s="1545">
        <f t="shared" si="63"/>
        <v>0</v>
      </c>
      <c r="P72" s="1545">
        <f t="shared" si="63"/>
        <v>0</v>
      </c>
      <c r="Q72" s="1545"/>
      <c r="R72" s="1545"/>
      <c r="S72" s="1545"/>
      <c r="T72" s="1545"/>
      <c r="U72" s="1545"/>
      <c r="V72" s="1545"/>
      <c r="W72" s="1545"/>
      <c r="X72" s="3121"/>
      <c r="Y72" s="3125"/>
    </row>
    <row r="73" spans="1:29" ht="13.5" hidden="1" customHeight="1">
      <c r="A73" s="3113"/>
      <c r="B73" s="2809" t="s">
        <v>25</v>
      </c>
      <c r="C73" s="3117"/>
      <c r="D73" s="1547">
        <f>SUM(M73:R73)</f>
        <v>0</v>
      </c>
      <c r="E73" s="1548">
        <f>+F73+G73+H73</f>
        <v>0</v>
      </c>
      <c r="F73" s="1547"/>
      <c r="G73" s="1547"/>
      <c r="H73" s="1547"/>
      <c r="I73" s="1547"/>
      <c r="J73" s="1547"/>
      <c r="K73" s="1547"/>
      <c r="L73" s="1547"/>
      <c r="M73" s="1548">
        <f>+L73+K73+J73+I73+E73</f>
        <v>0</v>
      </c>
      <c r="N73" s="1547"/>
      <c r="O73" s="1547">
        <v>0</v>
      </c>
      <c r="P73" s="1547">
        <v>0</v>
      </c>
      <c r="Q73" s="1547"/>
      <c r="R73" s="1547"/>
      <c r="S73" s="1547"/>
      <c r="T73" s="1547"/>
      <c r="U73" s="1547"/>
      <c r="V73" s="1547"/>
      <c r="W73" s="1547"/>
      <c r="X73" s="3121"/>
      <c r="Y73" s="3125"/>
    </row>
    <row r="74" spans="1:29" ht="12" hidden="1" customHeight="1">
      <c r="A74" s="3113"/>
      <c r="B74" s="2807" t="s">
        <v>30</v>
      </c>
      <c r="C74" s="3119"/>
      <c r="D74" s="1545">
        <f t="shared" ref="D74:P74" si="64">+D75</f>
        <v>0</v>
      </c>
      <c r="E74" s="1545">
        <f t="shared" si="64"/>
        <v>0</v>
      </c>
      <c r="F74" s="1545">
        <f t="shared" si="64"/>
        <v>0</v>
      </c>
      <c r="G74" s="1545">
        <f t="shared" si="64"/>
        <v>0</v>
      </c>
      <c r="H74" s="1545">
        <f t="shared" si="64"/>
        <v>0</v>
      </c>
      <c r="I74" s="1545">
        <f t="shared" si="64"/>
        <v>0</v>
      </c>
      <c r="J74" s="1545">
        <f t="shared" si="64"/>
        <v>0</v>
      </c>
      <c r="K74" s="1545">
        <f t="shared" si="64"/>
        <v>0</v>
      </c>
      <c r="L74" s="1545">
        <f t="shared" si="64"/>
        <v>0</v>
      </c>
      <c r="M74" s="1545">
        <f t="shared" si="64"/>
        <v>0</v>
      </c>
      <c r="N74" s="1545">
        <f t="shared" si="64"/>
        <v>0</v>
      </c>
      <c r="O74" s="1545">
        <f t="shared" si="64"/>
        <v>0</v>
      </c>
      <c r="P74" s="1545">
        <f t="shared" si="64"/>
        <v>0</v>
      </c>
      <c r="Q74" s="1545"/>
      <c r="R74" s="1545"/>
      <c r="S74" s="1545"/>
      <c r="T74" s="1545"/>
      <c r="U74" s="1545"/>
      <c r="V74" s="1545"/>
      <c r="W74" s="1545"/>
      <c r="X74" s="3121"/>
      <c r="Y74" s="3125"/>
    </row>
    <row r="75" spans="1:29" ht="13.5" hidden="1" customHeight="1">
      <c r="A75" s="3113"/>
      <c r="B75" s="2813" t="s">
        <v>33</v>
      </c>
      <c r="C75" s="3119"/>
      <c r="D75" s="1547">
        <f>SUM(M75:R75)</f>
        <v>0</v>
      </c>
      <c r="E75" s="1548">
        <f>+F75+G75+H75</f>
        <v>0</v>
      </c>
      <c r="F75" s="1548"/>
      <c r="G75" s="1548"/>
      <c r="H75" s="1548"/>
      <c r="I75" s="1548"/>
      <c r="J75" s="1548"/>
      <c r="K75" s="1548"/>
      <c r="L75" s="1548"/>
      <c r="M75" s="1548">
        <f>+L75+K75+J75+I75+E75</f>
        <v>0</v>
      </c>
      <c r="N75" s="1548">
        <f>18449-18449</f>
        <v>0</v>
      </c>
      <c r="O75" s="1548">
        <v>0</v>
      </c>
      <c r="P75" s="1548">
        <v>0</v>
      </c>
      <c r="Q75" s="1548"/>
      <c r="R75" s="1548"/>
      <c r="S75" s="1548"/>
      <c r="T75" s="1548"/>
      <c r="U75" s="1548"/>
      <c r="V75" s="1548"/>
      <c r="W75" s="1548"/>
      <c r="X75" s="3121"/>
      <c r="Y75" s="3125"/>
    </row>
    <row r="76" spans="1:29" ht="26.25" hidden="1" customHeight="1">
      <c r="A76" s="3129" t="s">
        <v>81</v>
      </c>
      <c r="B76" s="2845"/>
      <c r="C76" s="2846" t="s">
        <v>130</v>
      </c>
      <c r="D76" s="1543"/>
      <c r="E76" s="1543"/>
      <c r="F76" s="1543"/>
      <c r="G76" s="1543"/>
      <c r="H76" s="1543"/>
      <c r="I76" s="2847"/>
      <c r="J76" s="2847"/>
      <c r="K76" s="2847"/>
      <c r="L76" s="2847"/>
      <c r="M76" s="2847"/>
      <c r="N76" s="2847"/>
      <c r="O76" s="2847"/>
      <c r="P76" s="2847"/>
      <c r="Q76" s="2847"/>
      <c r="R76" s="2847"/>
      <c r="S76" s="2847"/>
      <c r="T76" s="2847"/>
      <c r="U76" s="2847"/>
      <c r="V76" s="2847"/>
      <c r="W76" s="2847"/>
      <c r="X76" s="2686"/>
      <c r="Y76" s="3114" t="s">
        <v>149</v>
      </c>
      <c r="AC76" s="1552"/>
    </row>
    <row r="77" spans="1:29" ht="13.5" hidden="1" customHeight="1">
      <c r="A77" s="3129"/>
      <c r="B77" s="2806" t="s">
        <v>22</v>
      </c>
      <c r="C77" s="2766"/>
      <c r="D77" s="1549">
        <f t="shared" ref="D77:P77" si="65">+D78+D81</f>
        <v>0</v>
      </c>
      <c r="E77" s="1549">
        <f t="shared" si="65"/>
        <v>0</v>
      </c>
      <c r="F77" s="1549">
        <f t="shared" si="65"/>
        <v>0</v>
      </c>
      <c r="G77" s="1549">
        <f t="shared" si="65"/>
        <v>0</v>
      </c>
      <c r="H77" s="1549">
        <f t="shared" si="65"/>
        <v>0</v>
      </c>
      <c r="I77" s="1549">
        <f t="shared" si="65"/>
        <v>0</v>
      </c>
      <c r="J77" s="1549">
        <f t="shared" si="65"/>
        <v>0</v>
      </c>
      <c r="K77" s="1549">
        <f t="shared" si="65"/>
        <v>0</v>
      </c>
      <c r="L77" s="1549">
        <f t="shared" si="65"/>
        <v>0</v>
      </c>
      <c r="M77" s="1549">
        <f t="shared" ref="M77" si="66">+M78+M81</f>
        <v>0</v>
      </c>
      <c r="N77" s="1549">
        <f t="shared" si="65"/>
        <v>0</v>
      </c>
      <c r="O77" s="1549">
        <f t="shared" si="65"/>
        <v>0</v>
      </c>
      <c r="P77" s="1549">
        <f t="shared" si="65"/>
        <v>0</v>
      </c>
      <c r="Q77" s="1549"/>
      <c r="R77" s="1549"/>
      <c r="S77" s="1549"/>
      <c r="T77" s="1549"/>
      <c r="U77" s="1549"/>
      <c r="V77" s="1549"/>
      <c r="W77" s="1549"/>
      <c r="X77" s="1544">
        <f>+X78+X81</f>
        <v>0</v>
      </c>
      <c r="Y77" s="3114"/>
      <c r="Z77" s="1540">
        <f>+O77+P77+Q77+R77</f>
        <v>0</v>
      </c>
      <c r="AA77" s="1540"/>
      <c r="AB77" s="1540"/>
      <c r="AC77" s="1540"/>
    </row>
    <row r="78" spans="1:29" ht="13.5" hidden="1" customHeight="1">
      <c r="A78" s="3129"/>
      <c r="B78" s="2844" t="s">
        <v>36</v>
      </c>
      <c r="C78" s="3116" t="s">
        <v>350</v>
      </c>
      <c r="D78" s="1546">
        <f t="shared" ref="D78:P78" si="67">+D79+D80</f>
        <v>0</v>
      </c>
      <c r="E78" s="1546">
        <f t="shared" si="67"/>
        <v>0</v>
      </c>
      <c r="F78" s="1546">
        <f t="shared" si="67"/>
        <v>0</v>
      </c>
      <c r="G78" s="1546">
        <f t="shared" si="67"/>
        <v>0</v>
      </c>
      <c r="H78" s="1546">
        <f t="shared" si="67"/>
        <v>0</v>
      </c>
      <c r="I78" s="1546">
        <f t="shared" si="67"/>
        <v>0</v>
      </c>
      <c r="J78" s="1546">
        <f t="shared" si="67"/>
        <v>0</v>
      </c>
      <c r="K78" s="1546">
        <f t="shared" si="67"/>
        <v>0</v>
      </c>
      <c r="L78" s="1546">
        <f t="shared" si="67"/>
        <v>0</v>
      </c>
      <c r="M78" s="1546">
        <f t="shared" ref="M78" si="68">+M79+M80</f>
        <v>0</v>
      </c>
      <c r="N78" s="1546">
        <f t="shared" si="67"/>
        <v>0</v>
      </c>
      <c r="O78" s="1546">
        <f t="shared" si="67"/>
        <v>0</v>
      </c>
      <c r="P78" s="1546">
        <f t="shared" si="67"/>
        <v>0</v>
      </c>
      <c r="Q78" s="1546"/>
      <c r="R78" s="1546"/>
      <c r="S78" s="1546"/>
      <c r="T78" s="1546"/>
      <c r="U78" s="1546"/>
      <c r="V78" s="1546"/>
      <c r="W78" s="1546"/>
      <c r="X78" s="1551">
        <f>+X79+X80</f>
        <v>0</v>
      </c>
      <c r="Y78" s="3114"/>
    </row>
    <row r="79" spans="1:29" ht="13.5" hidden="1" customHeight="1">
      <c r="A79" s="3129"/>
      <c r="B79" s="2809" t="s">
        <v>24</v>
      </c>
      <c r="C79" s="3117"/>
      <c r="D79" s="1547">
        <f t="shared" ref="D79:D80" si="69">M79+O79+P79+Q79+R79+S79+T79+U79+V79+W79</f>
        <v>0</v>
      </c>
      <c r="E79" s="1548"/>
      <c r="F79" s="1548"/>
      <c r="G79" s="1548"/>
      <c r="H79" s="1550"/>
      <c r="I79" s="1550"/>
      <c r="J79" s="1550"/>
      <c r="K79" s="1548"/>
      <c r="L79" s="1548"/>
      <c r="M79" s="1548"/>
      <c r="N79" s="1548"/>
      <c r="O79" s="1548"/>
      <c r="P79" s="1548">
        <v>0</v>
      </c>
      <c r="Q79" s="1548"/>
      <c r="R79" s="1548"/>
      <c r="S79" s="1548"/>
      <c r="T79" s="1548"/>
      <c r="U79" s="1548"/>
      <c r="V79" s="1548"/>
      <c r="W79" s="1548"/>
      <c r="X79" s="2810">
        <f>SUM(P79:T79)</f>
        <v>0</v>
      </c>
      <c r="Y79" s="3114"/>
    </row>
    <row r="80" spans="1:29" ht="12" hidden="1" customHeight="1">
      <c r="A80" s="3129"/>
      <c r="B80" s="2809" t="s">
        <v>25</v>
      </c>
      <c r="C80" s="3117"/>
      <c r="D80" s="1547">
        <f t="shared" si="69"/>
        <v>0</v>
      </c>
      <c r="E80" s="1548"/>
      <c r="F80" s="1548"/>
      <c r="G80" s="1548"/>
      <c r="H80" s="1550"/>
      <c r="I80" s="1550"/>
      <c r="J80" s="1550"/>
      <c r="K80" s="1548"/>
      <c r="L80" s="1548"/>
      <c r="M80" s="1548"/>
      <c r="N80" s="1548"/>
      <c r="O80" s="1548"/>
      <c r="P80" s="1548">
        <v>0</v>
      </c>
      <c r="Q80" s="1548"/>
      <c r="R80" s="1548"/>
      <c r="S80" s="1548"/>
      <c r="T80" s="1548"/>
      <c r="U80" s="1548"/>
      <c r="V80" s="1548"/>
      <c r="W80" s="1548"/>
      <c r="X80" s="2810">
        <f>SUM(P80:T80)</f>
        <v>0</v>
      </c>
      <c r="Y80" s="3114"/>
    </row>
    <row r="81" spans="1:26" ht="13.5" hidden="1" customHeight="1">
      <c r="A81" s="3129"/>
      <c r="B81" s="2807" t="s">
        <v>30</v>
      </c>
      <c r="C81" s="3117"/>
      <c r="D81" s="1545">
        <f>+D82</f>
        <v>0</v>
      </c>
      <c r="E81" s="1545">
        <f t="shared" ref="E81:X81" si="70">+E82</f>
        <v>0</v>
      </c>
      <c r="F81" s="1545">
        <f t="shared" si="70"/>
        <v>0</v>
      </c>
      <c r="G81" s="1545">
        <f t="shared" si="70"/>
        <v>0</v>
      </c>
      <c r="H81" s="1545">
        <f t="shared" si="70"/>
        <v>0</v>
      </c>
      <c r="I81" s="1545">
        <f t="shared" si="70"/>
        <v>0</v>
      </c>
      <c r="J81" s="1545">
        <f t="shared" si="70"/>
        <v>0</v>
      </c>
      <c r="K81" s="1545">
        <f t="shared" si="70"/>
        <v>0</v>
      </c>
      <c r="L81" s="1545">
        <f t="shared" si="70"/>
        <v>0</v>
      </c>
      <c r="M81" s="1545">
        <f t="shared" si="70"/>
        <v>0</v>
      </c>
      <c r="N81" s="1545">
        <f t="shared" si="70"/>
        <v>0</v>
      </c>
      <c r="O81" s="1545">
        <f t="shared" si="70"/>
        <v>0</v>
      </c>
      <c r="P81" s="1545">
        <f t="shared" si="70"/>
        <v>0</v>
      </c>
      <c r="Q81" s="1545"/>
      <c r="R81" s="1545"/>
      <c r="S81" s="1545"/>
      <c r="T81" s="1545"/>
      <c r="U81" s="1545"/>
      <c r="V81" s="1545"/>
      <c r="W81" s="1545"/>
      <c r="X81" s="2580">
        <f t="shared" si="70"/>
        <v>0</v>
      </c>
      <c r="Y81" s="3114"/>
    </row>
    <row r="82" spans="1:26" ht="12.75" hidden="1" customHeight="1">
      <c r="A82" s="3129"/>
      <c r="B82" s="2809" t="s">
        <v>33</v>
      </c>
      <c r="C82" s="3117"/>
      <c r="D82" s="1547">
        <f>M82+O82+P82+Q82+R82+S82+T82+U82+V82+W82</f>
        <v>0</v>
      </c>
      <c r="E82" s="1548"/>
      <c r="F82" s="1548"/>
      <c r="G82" s="1548"/>
      <c r="H82" s="1550"/>
      <c r="I82" s="1550"/>
      <c r="J82" s="1550"/>
      <c r="K82" s="1548"/>
      <c r="L82" s="1548"/>
      <c r="M82" s="1548"/>
      <c r="N82" s="1548"/>
      <c r="O82" s="1548"/>
      <c r="P82" s="1548"/>
      <c r="Q82" s="1548"/>
      <c r="R82" s="1548"/>
      <c r="S82" s="1548"/>
      <c r="T82" s="1548"/>
      <c r="U82" s="1548"/>
      <c r="V82" s="1548"/>
      <c r="W82" s="1548"/>
      <c r="X82" s="2810">
        <f>SUM(P82:T82)</f>
        <v>0</v>
      </c>
      <c r="Y82" s="3114"/>
    </row>
    <row r="83" spans="1:26" ht="13.5" hidden="1" customHeight="1">
      <c r="A83" s="3130"/>
      <c r="B83" s="2806" t="s">
        <v>34</v>
      </c>
      <c r="C83" s="2766"/>
      <c r="D83" s="2572">
        <f t="shared" ref="D83:L83" si="71">+D84+D86</f>
        <v>0</v>
      </c>
      <c r="E83" s="2572">
        <f t="shared" si="71"/>
        <v>0</v>
      </c>
      <c r="F83" s="2572">
        <f t="shared" si="71"/>
        <v>0</v>
      </c>
      <c r="G83" s="2572">
        <f t="shared" si="71"/>
        <v>0</v>
      </c>
      <c r="H83" s="2572">
        <f t="shared" si="71"/>
        <v>0</v>
      </c>
      <c r="I83" s="2572">
        <f t="shared" si="71"/>
        <v>0</v>
      </c>
      <c r="J83" s="2572">
        <f t="shared" si="71"/>
        <v>0</v>
      </c>
      <c r="K83" s="2572">
        <f t="shared" si="71"/>
        <v>0</v>
      </c>
      <c r="L83" s="2572">
        <f t="shared" si="71"/>
        <v>0</v>
      </c>
      <c r="M83" s="2572">
        <f t="shared" ref="M83" si="72">+M84+M86</f>
        <v>0</v>
      </c>
      <c r="N83" s="2572">
        <f>+N84+N86</f>
        <v>0</v>
      </c>
      <c r="O83" s="2572">
        <f>+O84+O86</f>
        <v>0</v>
      </c>
      <c r="P83" s="2572">
        <f>+P84+P86</f>
        <v>0</v>
      </c>
      <c r="Q83" s="2572"/>
      <c r="R83" s="2572"/>
      <c r="S83" s="2572"/>
      <c r="T83" s="2572"/>
      <c r="U83" s="2572"/>
      <c r="V83" s="2572"/>
      <c r="W83" s="2572"/>
      <c r="X83" s="3121" t="s">
        <v>77</v>
      </c>
      <c r="Y83" s="3125"/>
    </row>
    <row r="84" spans="1:26" ht="13.5" hidden="1" customHeight="1">
      <c r="A84" s="3130"/>
      <c r="B84" s="2844" t="s">
        <v>36</v>
      </c>
      <c r="C84" s="3118" t="s">
        <v>350</v>
      </c>
      <c r="D84" s="1545">
        <f t="shared" ref="D84:P84" si="73">+D85</f>
        <v>0</v>
      </c>
      <c r="E84" s="1545">
        <f t="shared" si="73"/>
        <v>0</v>
      </c>
      <c r="F84" s="1545">
        <f t="shared" si="73"/>
        <v>0</v>
      </c>
      <c r="G84" s="1545">
        <f t="shared" si="73"/>
        <v>0</v>
      </c>
      <c r="H84" s="1545">
        <f t="shared" si="73"/>
        <v>0</v>
      </c>
      <c r="I84" s="1545">
        <f t="shared" si="73"/>
        <v>0</v>
      </c>
      <c r="J84" s="1545">
        <f t="shared" si="73"/>
        <v>0</v>
      </c>
      <c r="K84" s="1545">
        <f t="shared" si="73"/>
        <v>0</v>
      </c>
      <c r="L84" s="1545">
        <f t="shared" si="73"/>
        <v>0</v>
      </c>
      <c r="M84" s="1545">
        <f t="shared" si="73"/>
        <v>0</v>
      </c>
      <c r="N84" s="1545">
        <f t="shared" si="73"/>
        <v>0</v>
      </c>
      <c r="O84" s="1545">
        <f t="shared" si="73"/>
        <v>0</v>
      </c>
      <c r="P84" s="1545">
        <f t="shared" si="73"/>
        <v>0</v>
      </c>
      <c r="Q84" s="1545"/>
      <c r="R84" s="1545"/>
      <c r="S84" s="1545"/>
      <c r="T84" s="1545"/>
      <c r="U84" s="1545"/>
      <c r="V84" s="1545"/>
      <c r="W84" s="1545"/>
      <c r="X84" s="3121"/>
      <c r="Y84" s="3125"/>
    </row>
    <row r="85" spans="1:26" ht="13.5" hidden="1" customHeight="1">
      <c r="A85" s="3130"/>
      <c r="B85" s="2809" t="s">
        <v>25</v>
      </c>
      <c r="C85" s="3117"/>
      <c r="D85" s="1547">
        <f>M85+O85+P85+Q85+R85+S85+T85+U85+V85+W85</f>
        <v>0</v>
      </c>
      <c r="E85" s="1548"/>
      <c r="F85" s="1547"/>
      <c r="G85" s="1547"/>
      <c r="H85" s="1547"/>
      <c r="I85" s="1547"/>
      <c r="J85" s="1547"/>
      <c r="K85" s="1547"/>
      <c r="L85" s="1547"/>
      <c r="M85" s="1548"/>
      <c r="N85" s="1547"/>
      <c r="O85" s="1547"/>
      <c r="P85" s="1547"/>
      <c r="Q85" s="1547"/>
      <c r="R85" s="1547"/>
      <c r="S85" s="1547"/>
      <c r="T85" s="1547"/>
      <c r="U85" s="1547"/>
      <c r="V85" s="1547"/>
      <c r="W85" s="1547"/>
      <c r="X85" s="3121"/>
      <c r="Y85" s="3125"/>
    </row>
    <row r="86" spans="1:26" ht="12" hidden="1" customHeight="1">
      <c r="A86" s="3130"/>
      <c r="B86" s="2807" t="s">
        <v>30</v>
      </c>
      <c r="C86" s="3119"/>
      <c r="D86" s="1545">
        <f t="shared" ref="D86:P86" si="74">+D87</f>
        <v>0</v>
      </c>
      <c r="E86" s="1545">
        <f t="shared" si="74"/>
        <v>0</v>
      </c>
      <c r="F86" s="1545">
        <f t="shared" si="74"/>
        <v>0</v>
      </c>
      <c r="G86" s="1545">
        <f t="shared" si="74"/>
        <v>0</v>
      </c>
      <c r="H86" s="1545">
        <f t="shared" si="74"/>
        <v>0</v>
      </c>
      <c r="I86" s="1545">
        <f t="shared" si="74"/>
        <v>0</v>
      </c>
      <c r="J86" s="1545">
        <f t="shared" si="74"/>
        <v>0</v>
      </c>
      <c r="K86" s="1545">
        <f t="shared" si="74"/>
        <v>0</v>
      </c>
      <c r="L86" s="1545">
        <f t="shared" si="74"/>
        <v>0</v>
      </c>
      <c r="M86" s="1545">
        <f t="shared" si="74"/>
        <v>0</v>
      </c>
      <c r="N86" s="1545">
        <f t="shared" si="74"/>
        <v>0</v>
      </c>
      <c r="O86" s="1545">
        <f t="shared" si="74"/>
        <v>0</v>
      </c>
      <c r="P86" s="1545">
        <f t="shared" si="74"/>
        <v>0</v>
      </c>
      <c r="Q86" s="1545"/>
      <c r="R86" s="1545"/>
      <c r="S86" s="1545"/>
      <c r="T86" s="1545"/>
      <c r="U86" s="1545"/>
      <c r="V86" s="1545"/>
      <c r="W86" s="1545"/>
      <c r="X86" s="3121"/>
      <c r="Y86" s="3125"/>
    </row>
    <row r="87" spans="1:26" ht="13.5" hidden="1" customHeight="1" thickBot="1">
      <c r="A87" s="3131"/>
      <c r="B87" s="2848" t="s">
        <v>33</v>
      </c>
      <c r="C87" s="3133"/>
      <c r="D87" s="534">
        <f>M87+O87+P87+Q87+R87+S87+T87+U87+V87+W87</f>
        <v>0</v>
      </c>
      <c r="E87" s="491"/>
      <c r="F87" s="491"/>
      <c r="G87" s="491"/>
      <c r="H87" s="491"/>
      <c r="I87" s="491"/>
      <c r="J87" s="491"/>
      <c r="K87" s="491"/>
      <c r="L87" s="491"/>
      <c r="M87" s="491"/>
      <c r="N87" s="491"/>
      <c r="O87" s="491"/>
      <c r="P87" s="491"/>
      <c r="Q87" s="491"/>
      <c r="R87" s="491"/>
      <c r="S87" s="491"/>
      <c r="T87" s="491"/>
      <c r="U87" s="491"/>
      <c r="V87" s="491"/>
      <c r="W87" s="491"/>
      <c r="X87" s="3134"/>
      <c r="Y87" s="3132"/>
    </row>
    <row r="88" spans="1:26" ht="25.5" hidden="1" customHeight="1">
      <c r="A88" s="3123" t="s">
        <v>82</v>
      </c>
      <c r="B88" s="2802"/>
      <c r="C88" s="2803" t="s">
        <v>130</v>
      </c>
      <c r="D88" s="523"/>
      <c r="E88" s="523"/>
      <c r="F88" s="523"/>
      <c r="G88" s="523"/>
      <c r="H88" s="523"/>
      <c r="I88" s="524"/>
      <c r="J88" s="524"/>
      <c r="K88" s="524"/>
      <c r="L88" s="524"/>
      <c r="M88" s="524"/>
      <c r="N88" s="524"/>
      <c r="O88" s="524"/>
      <c r="P88" s="524"/>
      <c r="Q88" s="524"/>
      <c r="R88" s="524"/>
      <c r="S88" s="524"/>
      <c r="T88" s="524"/>
      <c r="U88" s="524"/>
      <c r="V88" s="524"/>
      <c r="W88" s="524"/>
      <c r="X88" s="2805"/>
      <c r="Y88" s="3124" t="s">
        <v>149</v>
      </c>
    </row>
    <row r="89" spans="1:26" ht="13.5" hidden="1" customHeight="1">
      <c r="A89" s="3112"/>
      <c r="B89" s="2806" t="s">
        <v>22</v>
      </c>
      <c r="C89" s="2766"/>
      <c r="D89" s="1549">
        <f>+D90+D93</f>
        <v>0</v>
      </c>
      <c r="E89" s="1549"/>
      <c r="F89" s="1549"/>
      <c r="G89" s="1549"/>
      <c r="H89" s="1549"/>
      <c r="I89" s="1549"/>
      <c r="J89" s="1549"/>
      <c r="K89" s="1549"/>
      <c r="L89" s="1549">
        <f t="shared" ref="L89:Q89" si="75">+L90+L93</f>
        <v>0</v>
      </c>
      <c r="M89" s="1549">
        <f t="shared" si="75"/>
        <v>0</v>
      </c>
      <c r="N89" s="1549">
        <f t="shared" si="75"/>
        <v>0</v>
      </c>
      <c r="O89" s="1549">
        <f t="shared" si="75"/>
        <v>0</v>
      </c>
      <c r="P89" s="1549">
        <f t="shared" si="75"/>
        <v>0</v>
      </c>
      <c r="Q89" s="1549">
        <f t="shared" si="75"/>
        <v>0</v>
      </c>
      <c r="R89" s="1549"/>
      <c r="S89" s="1549"/>
      <c r="T89" s="1549"/>
      <c r="U89" s="1549"/>
      <c r="V89" s="1549"/>
      <c r="W89" s="1549"/>
      <c r="X89" s="1544">
        <f>+X90+X93</f>
        <v>0</v>
      </c>
      <c r="Y89" s="3114"/>
      <c r="Z89" s="1540">
        <f>+O89+P89+Q89+R89</f>
        <v>0</v>
      </c>
    </row>
    <row r="90" spans="1:26" ht="13.5" hidden="1" customHeight="1">
      <c r="A90" s="3112"/>
      <c r="B90" s="2844" t="s">
        <v>36</v>
      </c>
      <c r="C90" s="3116" t="s">
        <v>350</v>
      </c>
      <c r="D90" s="1546">
        <f>+D91+D92</f>
        <v>0</v>
      </c>
      <c r="E90" s="1546"/>
      <c r="F90" s="1546"/>
      <c r="G90" s="1546"/>
      <c r="H90" s="1546"/>
      <c r="I90" s="1546"/>
      <c r="J90" s="1546"/>
      <c r="K90" s="1546"/>
      <c r="L90" s="1546">
        <f t="shared" ref="L90:Q90" si="76">+L91+L92</f>
        <v>0</v>
      </c>
      <c r="M90" s="1546">
        <f t="shared" si="76"/>
        <v>0</v>
      </c>
      <c r="N90" s="1546">
        <f t="shared" si="76"/>
        <v>0</v>
      </c>
      <c r="O90" s="1546">
        <f t="shared" si="76"/>
        <v>0</v>
      </c>
      <c r="P90" s="1546">
        <f t="shared" si="76"/>
        <v>0</v>
      </c>
      <c r="Q90" s="1546">
        <f t="shared" si="76"/>
        <v>0</v>
      </c>
      <c r="R90" s="1546"/>
      <c r="S90" s="1546"/>
      <c r="T90" s="1546"/>
      <c r="U90" s="1546"/>
      <c r="V90" s="1546"/>
      <c r="W90" s="1546"/>
      <c r="X90" s="1551">
        <f>+X91+X92</f>
        <v>0</v>
      </c>
      <c r="Y90" s="3114"/>
    </row>
    <row r="91" spans="1:26" ht="11.25" hidden="1" customHeight="1">
      <c r="A91" s="3112"/>
      <c r="B91" s="2809" t="s">
        <v>24</v>
      </c>
      <c r="C91" s="3117"/>
      <c r="D91" s="1547">
        <f t="shared" ref="D91:D92" si="77">M91+O91+P91+Q91+R91+S91+T91+U91+V91+W91</f>
        <v>0</v>
      </c>
      <c r="E91" s="1548"/>
      <c r="F91" s="1548"/>
      <c r="G91" s="1548"/>
      <c r="H91" s="1550"/>
      <c r="I91" s="1550"/>
      <c r="J91" s="1550"/>
      <c r="K91" s="1548"/>
      <c r="L91" s="1548"/>
      <c r="M91" s="1548"/>
      <c r="N91" s="1548"/>
      <c r="O91" s="1548"/>
      <c r="P91" s="1548"/>
      <c r="Q91" s="1548">
        <v>0</v>
      </c>
      <c r="R91" s="1548"/>
      <c r="S91" s="1548"/>
      <c r="T91" s="1548"/>
      <c r="U91" s="1548"/>
      <c r="V91" s="1548"/>
      <c r="W91" s="1548"/>
      <c r="X91" s="2810">
        <f>SUM(P91:T91)</f>
        <v>0</v>
      </c>
      <c r="Y91" s="3114"/>
    </row>
    <row r="92" spans="1:26" hidden="1">
      <c r="A92" s="3112"/>
      <c r="B92" s="2809" t="s">
        <v>25</v>
      </c>
      <c r="C92" s="3117"/>
      <c r="D92" s="1547">
        <f t="shared" si="77"/>
        <v>0</v>
      </c>
      <c r="E92" s="1548"/>
      <c r="F92" s="1548"/>
      <c r="G92" s="1548"/>
      <c r="H92" s="1550"/>
      <c r="I92" s="1550"/>
      <c r="J92" s="1550"/>
      <c r="K92" s="1548"/>
      <c r="L92" s="1548"/>
      <c r="M92" s="1548"/>
      <c r="N92" s="1548"/>
      <c r="O92" s="1548"/>
      <c r="P92" s="1548"/>
      <c r="Q92" s="1548">
        <v>0</v>
      </c>
      <c r="R92" s="1548"/>
      <c r="S92" s="1548"/>
      <c r="T92" s="1548"/>
      <c r="U92" s="1548"/>
      <c r="V92" s="1548"/>
      <c r="W92" s="1548"/>
      <c r="X92" s="2810">
        <f>SUM(P92:T92)</f>
        <v>0</v>
      </c>
      <c r="Y92" s="3114"/>
    </row>
    <row r="93" spans="1:26" ht="12.75" hidden="1" customHeight="1">
      <c r="A93" s="3112"/>
      <c r="B93" s="2807" t="s">
        <v>30</v>
      </c>
      <c r="C93" s="3117"/>
      <c r="D93" s="1545">
        <f>+D94</f>
        <v>0</v>
      </c>
      <c r="E93" s="1545"/>
      <c r="F93" s="1545"/>
      <c r="G93" s="1545"/>
      <c r="H93" s="1545"/>
      <c r="I93" s="1545"/>
      <c r="J93" s="1545"/>
      <c r="K93" s="1545"/>
      <c r="L93" s="1545">
        <f t="shared" ref="L93:Q93" si="78">+L94</f>
        <v>0</v>
      </c>
      <c r="M93" s="1545">
        <f t="shared" si="78"/>
        <v>0</v>
      </c>
      <c r="N93" s="1545">
        <f t="shared" si="78"/>
        <v>0</v>
      </c>
      <c r="O93" s="1545">
        <f t="shared" si="78"/>
        <v>0</v>
      </c>
      <c r="P93" s="1545">
        <f t="shared" si="78"/>
        <v>0</v>
      </c>
      <c r="Q93" s="1545">
        <f t="shared" si="78"/>
        <v>0</v>
      </c>
      <c r="R93" s="1545"/>
      <c r="S93" s="1545"/>
      <c r="T93" s="1545"/>
      <c r="U93" s="1545"/>
      <c r="V93" s="1545"/>
      <c r="W93" s="1545"/>
      <c r="X93" s="2580">
        <f>+X94</f>
        <v>0</v>
      </c>
      <c r="Y93" s="3114"/>
    </row>
    <row r="94" spans="1:26" hidden="1">
      <c r="A94" s="3112"/>
      <c r="B94" s="2809" t="s">
        <v>33</v>
      </c>
      <c r="C94" s="3117"/>
      <c r="D94" s="1547">
        <f>M94+O94+P94+Q94+R94+S94+T94+U94+V94+W94</f>
        <v>0</v>
      </c>
      <c r="E94" s="1548"/>
      <c r="F94" s="1548"/>
      <c r="G94" s="1548"/>
      <c r="H94" s="1550"/>
      <c r="I94" s="1550"/>
      <c r="J94" s="1550"/>
      <c r="K94" s="1548"/>
      <c r="L94" s="1548"/>
      <c r="M94" s="1548"/>
      <c r="N94" s="1548"/>
      <c r="O94" s="1548"/>
      <c r="P94" s="1548"/>
      <c r="Q94" s="1548">
        <v>0</v>
      </c>
      <c r="R94" s="1548"/>
      <c r="S94" s="1548"/>
      <c r="T94" s="1548"/>
      <c r="U94" s="1548"/>
      <c r="V94" s="1548"/>
      <c r="W94" s="1548"/>
      <c r="X94" s="2810">
        <f>SUM(P94:T94)</f>
        <v>0</v>
      </c>
      <c r="Y94" s="3114"/>
    </row>
    <row r="95" spans="1:26" ht="13.5" hidden="1" customHeight="1">
      <c r="A95" s="3112"/>
      <c r="B95" s="2806" t="s">
        <v>34</v>
      </c>
      <c r="C95" s="2766"/>
      <c r="D95" s="2572">
        <f>+D96+D98</f>
        <v>0</v>
      </c>
      <c r="E95" s="2572"/>
      <c r="F95" s="2572"/>
      <c r="G95" s="2572"/>
      <c r="H95" s="2572"/>
      <c r="I95" s="2572"/>
      <c r="J95" s="2572"/>
      <c r="K95" s="2572"/>
      <c r="L95" s="2572">
        <f t="shared" ref="L95:Q95" si="79">+L96+L98</f>
        <v>0</v>
      </c>
      <c r="M95" s="2572">
        <f t="shared" si="79"/>
        <v>0</v>
      </c>
      <c r="N95" s="2572">
        <f t="shared" si="79"/>
        <v>0</v>
      </c>
      <c r="O95" s="2572">
        <f t="shared" si="79"/>
        <v>0</v>
      </c>
      <c r="P95" s="2572">
        <f t="shared" si="79"/>
        <v>0</v>
      </c>
      <c r="Q95" s="2572">
        <f t="shared" si="79"/>
        <v>0</v>
      </c>
      <c r="R95" s="2572"/>
      <c r="S95" s="2572"/>
      <c r="T95" s="2572"/>
      <c r="U95" s="2572"/>
      <c r="V95" s="2572"/>
      <c r="W95" s="2572"/>
      <c r="X95" s="3121" t="s">
        <v>77</v>
      </c>
      <c r="Y95" s="3125"/>
    </row>
    <row r="96" spans="1:26" ht="11.25" hidden="1" customHeight="1">
      <c r="A96" s="3112"/>
      <c r="B96" s="2844" t="s">
        <v>36</v>
      </c>
      <c r="C96" s="3118" t="s">
        <v>349</v>
      </c>
      <c r="D96" s="1545">
        <f>+D97</f>
        <v>0</v>
      </c>
      <c r="E96" s="1545"/>
      <c r="F96" s="1545"/>
      <c r="G96" s="1545"/>
      <c r="H96" s="1545"/>
      <c r="I96" s="1545"/>
      <c r="J96" s="1545"/>
      <c r="K96" s="1545"/>
      <c r="L96" s="1545">
        <f t="shared" ref="L96:Q96" si="80">+L97</f>
        <v>0</v>
      </c>
      <c r="M96" s="1545">
        <f t="shared" si="80"/>
        <v>0</v>
      </c>
      <c r="N96" s="1545">
        <f t="shared" si="80"/>
        <v>0</v>
      </c>
      <c r="O96" s="1545">
        <f t="shared" si="80"/>
        <v>0</v>
      </c>
      <c r="P96" s="1545">
        <f t="shared" si="80"/>
        <v>0</v>
      </c>
      <c r="Q96" s="1545">
        <f t="shared" si="80"/>
        <v>0</v>
      </c>
      <c r="R96" s="1545"/>
      <c r="S96" s="1545"/>
      <c r="T96" s="1545"/>
      <c r="U96" s="1545"/>
      <c r="V96" s="1545"/>
      <c r="W96" s="1545"/>
      <c r="X96" s="3121"/>
      <c r="Y96" s="3125"/>
    </row>
    <row r="97" spans="1:35" ht="11.25" hidden="1" customHeight="1">
      <c r="A97" s="3112"/>
      <c r="B97" s="2809" t="s">
        <v>25</v>
      </c>
      <c r="C97" s="3117"/>
      <c r="D97" s="1547">
        <f>M97+O97+P97+Q97+R97+S97+T97+U97+V97+W97</f>
        <v>0</v>
      </c>
      <c r="E97" s="1548"/>
      <c r="F97" s="1547"/>
      <c r="G97" s="1547"/>
      <c r="H97" s="1547"/>
      <c r="I97" s="1547"/>
      <c r="J97" s="1547"/>
      <c r="K97" s="1547"/>
      <c r="L97" s="1547"/>
      <c r="M97" s="1548"/>
      <c r="N97" s="1547"/>
      <c r="O97" s="1547"/>
      <c r="P97" s="1547"/>
      <c r="Q97" s="1547"/>
      <c r="R97" s="1547"/>
      <c r="S97" s="1547"/>
      <c r="T97" s="1547"/>
      <c r="U97" s="1547"/>
      <c r="V97" s="1547"/>
      <c r="W97" s="1547"/>
      <c r="X97" s="3121"/>
      <c r="Y97" s="3125"/>
    </row>
    <row r="98" spans="1:35" ht="12" hidden="1" customHeight="1">
      <c r="A98" s="3112"/>
      <c r="B98" s="2807" t="s">
        <v>30</v>
      </c>
      <c r="C98" s="3119"/>
      <c r="D98" s="1545">
        <f>+D99</f>
        <v>0</v>
      </c>
      <c r="E98" s="1545"/>
      <c r="F98" s="1545"/>
      <c r="G98" s="1545"/>
      <c r="H98" s="1545"/>
      <c r="I98" s="1545"/>
      <c r="J98" s="1545"/>
      <c r="K98" s="1545"/>
      <c r="L98" s="1545">
        <f t="shared" ref="L98:Q98" si="81">+L99</f>
        <v>0</v>
      </c>
      <c r="M98" s="1545">
        <f t="shared" si="81"/>
        <v>0</v>
      </c>
      <c r="N98" s="1545">
        <f t="shared" si="81"/>
        <v>0</v>
      </c>
      <c r="O98" s="1545">
        <f t="shared" si="81"/>
        <v>0</v>
      </c>
      <c r="P98" s="1545">
        <f t="shared" si="81"/>
        <v>0</v>
      </c>
      <c r="Q98" s="1545">
        <f t="shared" si="81"/>
        <v>0</v>
      </c>
      <c r="R98" s="1545"/>
      <c r="S98" s="1545"/>
      <c r="T98" s="1545"/>
      <c r="U98" s="1545"/>
      <c r="V98" s="1545"/>
      <c r="W98" s="1545"/>
      <c r="X98" s="3121"/>
      <c r="Y98" s="3125"/>
    </row>
    <row r="99" spans="1:35" ht="11.25" hidden="1" customHeight="1">
      <c r="A99" s="3112"/>
      <c r="B99" s="2813" t="s">
        <v>33</v>
      </c>
      <c r="C99" s="3119"/>
      <c r="D99" s="1547">
        <f>M99+O99+P99+Q99+R99+S99+T99+U99+V99+W99</f>
        <v>0</v>
      </c>
      <c r="E99" s="1548"/>
      <c r="F99" s="1548"/>
      <c r="G99" s="1548"/>
      <c r="H99" s="1548"/>
      <c r="I99" s="1548"/>
      <c r="J99" s="1548"/>
      <c r="K99" s="1548"/>
      <c r="L99" s="1548"/>
      <c r="M99" s="1548"/>
      <c r="N99" s="1548"/>
      <c r="O99" s="1548"/>
      <c r="P99" s="1548"/>
      <c r="Q99" s="1548"/>
      <c r="R99" s="1548"/>
      <c r="S99" s="1548"/>
      <c r="T99" s="1548"/>
      <c r="U99" s="1548"/>
      <c r="V99" s="1548"/>
      <c r="W99" s="1548"/>
      <c r="X99" s="3121"/>
      <c r="Y99" s="3125"/>
    </row>
    <row r="100" spans="1:35" ht="18" hidden="1" customHeight="1">
      <c r="A100" s="3112" t="s">
        <v>83</v>
      </c>
      <c r="B100" s="2845"/>
      <c r="C100" s="2846" t="s">
        <v>130</v>
      </c>
      <c r="D100" s="1543"/>
      <c r="E100" s="1543"/>
      <c r="F100" s="1543"/>
      <c r="G100" s="1543"/>
      <c r="H100" s="1543"/>
      <c r="I100" s="2847"/>
      <c r="J100" s="2847"/>
      <c r="K100" s="2847"/>
      <c r="L100" s="2847"/>
      <c r="M100" s="2847"/>
      <c r="N100" s="2847"/>
      <c r="O100" s="2847"/>
      <c r="P100" s="2847"/>
      <c r="Q100" s="2847"/>
      <c r="R100" s="2847"/>
      <c r="S100" s="2847"/>
      <c r="T100" s="2847"/>
      <c r="U100" s="2847"/>
      <c r="V100" s="2847"/>
      <c r="W100" s="2847"/>
      <c r="X100" s="2686"/>
      <c r="Y100" s="3114" t="s">
        <v>149</v>
      </c>
      <c r="AC100" s="1552"/>
    </row>
    <row r="101" spans="1:35" ht="13.5" hidden="1" customHeight="1">
      <c r="A101" s="3112"/>
      <c r="B101" s="2806" t="s">
        <v>22</v>
      </c>
      <c r="C101" s="2766"/>
      <c r="D101" s="1549">
        <f>+D102+D105</f>
        <v>0</v>
      </c>
      <c r="E101" s="1549"/>
      <c r="F101" s="1549"/>
      <c r="G101" s="1549"/>
      <c r="H101" s="1549"/>
      <c r="I101" s="1549"/>
      <c r="J101" s="1549"/>
      <c r="K101" s="1549"/>
      <c r="L101" s="1549">
        <f t="shared" ref="L101:P101" si="82">+L102+L105</f>
        <v>0</v>
      </c>
      <c r="M101" s="1549">
        <f t="shared" si="82"/>
        <v>0</v>
      </c>
      <c r="N101" s="1549">
        <f t="shared" si="82"/>
        <v>0</v>
      </c>
      <c r="O101" s="1549">
        <f t="shared" si="82"/>
        <v>0</v>
      </c>
      <c r="P101" s="1549">
        <f t="shared" si="82"/>
        <v>0</v>
      </c>
      <c r="Q101" s="1549">
        <f t="shared" ref="Q101" si="83">+Q102+Q105</f>
        <v>0</v>
      </c>
      <c r="R101" s="1549"/>
      <c r="S101" s="1549"/>
      <c r="T101" s="1549"/>
      <c r="U101" s="1549"/>
      <c r="V101" s="1549"/>
      <c r="W101" s="1549"/>
      <c r="X101" s="1544">
        <f>+X102+X105</f>
        <v>0</v>
      </c>
      <c r="Y101" s="3114"/>
      <c r="Z101" s="1540">
        <f>+O101+P101+Q101+R101</f>
        <v>0</v>
      </c>
      <c r="AA101" s="1540"/>
      <c r="AB101" s="1540"/>
      <c r="AC101" s="1540"/>
    </row>
    <row r="102" spans="1:35" ht="14.25" hidden="1" customHeight="1">
      <c r="A102" s="3112"/>
      <c r="B102" s="2844" t="s">
        <v>36</v>
      </c>
      <c r="C102" s="3116" t="s">
        <v>350</v>
      </c>
      <c r="D102" s="1546">
        <f>+D103+D104</f>
        <v>0</v>
      </c>
      <c r="E102" s="1546"/>
      <c r="F102" s="1546"/>
      <c r="G102" s="1546"/>
      <c r="H102" s="1546"/>
      <c r="I102" s="1546"/>
      <c r="J102" s="1546"/>
      <c r="K102" s="1546"/>
      <c r="L102" s="1546">
        <f t="shared" ref="L102:P102" si="84">+L103+L104</f>
        <v>0</v>
      </c>
      <c r="M102" s="1546">
        <f t="shared" si="84"/>
        <v>0</v>
      </c>
      <c r="N102" s="1546">
        <f t="shared" si="84"/>
        <v>0</v>
      </c>
      <c r="O102" s="1546">
        <f t="shared" si="84"/>
        <v>0</v>
      </c>
      <c r="P102" s="1546">
        <f t="shared" si="84"/>
        <v>0</v>
      </c>
      <c r="Q102" s="1546">
        <f t="shared" ref="Q102" si="85">+Q103+Q104</f>
        <v>0</v>
      </c>
      <c r="R102" s="1546"/>
      <c r="S102" s="1546"/>
      <c r="T102" s="1546"/>
      <c r="U102" s="1546"/>
      <c r="V102" s="1546"/>
      <c r="W102" s="1546"/>
      <c r="X102" s="1551">
        <f>+X103+X104</f>
        <v>0</v>
      </c>
      <c r="Y102" s="3114"/>
    </row>
    <row r="103" spans="1:35" ht="13.5" hidden="1" customHeight="1">
      <c r="A103" s="3112"/>
      <c r="B103" s="2809" t="s">
        <v>24</v>
      </c>
      <c r="C103" s="3117"/>
      <c r="D103" s="1547">
        <f>M103+O103+P103+Q103+R103+S103+T103+U103+V103+W103</f>
        <v>0</v>
      </c>
      <c r="E103" s="1548"/>
      <c r="F103" s="1548"/>
      <c r="G103" s="1548"/>
      <c r="H103" s="1550"/>
      <c r="I103" s="1550"/>
      <c r="J103" s="1550"/>
      <c r="K103" s="1548"/>
      <c r="L103" s="1548"/>
      <c r="M103" s="1548"/>
      <c r="N103" s="1548"/>
      <c r="O103" s="1548"/>
      <c r="P103" s="1548"/>
      <c r="Q103" s="1548">
        <v>0</v>
      </c>
      <c r="R103" s="1548"/>
      <c r="S103" s="1548"/>
      <c r="T103" s="1548"/>
      <c r="U103" s="1548"/>
      <c r="V103" s="1548"/>
      <c r="W103" s="1548"/>
      <c r="X103" s="2810">
        <f>SUM(P103:T103)</f>
        <v>0</v>
      </c>
      <c r="Y103" s="3114"/>
    </row>
    <row r="104" spans="1:35" ht="11.25" hidden="1" customHeight="1">
      <c r="A104" s="3112"/>
      <c r="B104" s="2809" t="s">
        <v>25</v>
      </c>
      <c r="C104" s="3117"/>
      <c r="D104" s="1547">
        <f>SUM(L104:Q104)</f>
        <v>0</v>
      </c>
      <c r="E104" s="1548"/>
      <c r="F104" s="1548"/>
      <c r="G104" s="1548"/>
      <c r="H104" s="1550"/>
      <c r="I104" s="1550"/>
      <c r="J104" s="1550"/>
      <c r="K104" s="1548"/>
      <c r="L104" s="1548"/>
      <c r="M104" s="1548"/>
      <c r="N104" s="1548"/>
      <c r="O104" s="1548"/>
      <c r="P104" s="1548"/>
      <c r="Q104" s="1548"/>
      <c r="R104" s="1548"/>
      <c r="S104" s="1548"/>
      <c r="T104" s="1548"/>
      <c r="U104" s="1548"/>
      <c r="V104" s="1548"/>
      <c r="W104" s="1548"/>
      <c r="X104" s="2810">
        <f>SUM(P104:S104)</f>
        <v>0</v>
      </c>
      <c r="Y104" s="3114"/>
    </row>
    <row r="105" spans="1:35" ht="13.5" hidden="1" customHeight="1">
      <c r="A105" s="3112"/>
      <c r="B105" s="2807" t="s">
        <v>30</v>
      </c>
      <c r="C105" s="3117"/>
      <c r="D105" s="1545">
        <f>+D106</f>
        <v>0</v>
      </c>
      <c r="E105" s="1545"/>
      <c r="F105" s="1545"/>
      <c r="G105" s="1545"/>
      <c r="H105" s="1545"/>
      <c r="I105" s="1545"/>
      <c r="J105" s="1545"/>
      <c r="K105" s="1545"/>
      <c r="L105" s="1545">
        <f t="shared" ref="L105:P105" si="86">+L106</f>
        <v>0</v>
      </c>
      <c r="M105" s="1545">
        <f t="shared" si="86"/>
        <v>0</v>
      </c>
      <c r="N105" s="1545">
        <f t="shared" si="86"/>
        <v>0</v>
      </c>
      <c r="O105" s="1545">
        <f t="shared" si="86"/>
        <v>0</v>
      </c>
      <c r="P105" s="1545">
        <f t="shared" si="86"/>
        <v>0</v>
      </c>
      <c r="Q105" s="1545">
        <f t="shared" ref="Q105" si="87">+Q106</f>
        <v>0</v>
      </c>
      <c r="R105" s="1545"/>
      <c r="S105" s="1545"/>
      <c r="T105" s="1545"/>
      <c r="U105" s="1545"/>
      <c r="V105" s="1545"/>
      <c r="W105" s="1545"/>
      <c r="X105" s="2580">
        <f>+X106</f>
        <v>0</v>
      </c>
      <c r="Y105" s="3114"/>
    </row>
    <row r="106" spans="1:35" s="1553" customFormat="1" ht="15" hidden="1" customHeight="1">
      <c r="A106" s="3112"/>
      <c r="B106" s="2813" t="s">
        <v>33</v>
      </c>
      <c r="C106" s="3117"/>
      <c r="D106" s="1547">
        <f>M106+O106+P106+Q106+R106+S106+T106+U106+V106+W106</f>
        <v>0</v>
      </c>
      <c r="E106" s="1548"/>
      <c r="F106" s="1548"/>
      <c r="G106" s="1548"/>
      <c r="H106" s="1550"/>
      <c r="I106" s="1550"/>
      <c r="J106" s="1550"/>
      <c r="K106" s="1548"/>
      <c r="L106" s="1548"/>
      <c r="M106" s="1548"/>
      <c r="N106" s="1548"/>
      <c r="O106" s="1548"/>
      <c r="P106" s="1548">
        <v>0</v>
      </c>
      <c r="Q106" s="1548">
        <v>0</v>
      </c>
      <c r="R106" s="1548"/>
      <c r="S106" s="1548"/>
      <c r="T106" s="1548"/>
      <c r="U106" s="1548"/>
      <c r="V106" s="1548"/>
      <c r="W106" s="1548"/>
      <c r="X106" s="2810">
        <f>SUM(P106:T106)</f>
        <v>0</v>
      </c>
      <c r="Y106" s="3114"/>
    </row>
    <row r="107" spans="1:35" ht="13.5" hidden="1" customHeight="1">
      <c r="A107" s="3112"/>
      <c r="B107" s="2806" t="s">
        <v>34</v>
      </c>
      <c r="C107" s="2766"/>
      <c r="D107" s="2572">
        <f>+D108+D110</f>
        <v>0</v>
      </c>
      <c r="E107" s="2572"/>
      <c r="F107" s="2572"/>
      <c r="G107" s="2572"/>
      <c r="H107" s="2572"/>
      <c r="I107" s="2572"/>
      <c r="J107" s="2572"/>
      <c r="K107" s="2572"/>
      <c r="L107" s="2572">
        <f t="shared" ref="L107:P107" si="88">+L108+L110</f>
        <v>0</v>
      </c>
      <c r="M107" s="2572">
        <f t="shared" si="88"/>
        <v>0</v>
      </c>
      <c r="N107" s="2572">
        <f t="shared" si="88"/>
        <v>0</v>
      </c>
      <c r="O107" s="2572">
        <f t="shared" si="88"/>
        <v>0</v>
      </c>
      <c r="P107" s="2572">
        <f t="shared" si="88"/>
        <v>0</v>
      </c>
      <c r="Q107" s="2572">
        <f t="shared" ref="Q107" si="89">+Q108+Q110</f>
        <v>0</v>
      </c>
      <c r="R107" s="2572"/>
      <c r="S107" s="2572"/>
      <c r="T107" s="2572"/>
      <c r="U107" s="2572"/>
      <c r="V107" s="2572"/>
      <c r="W107" s="2572"/>
      <c r="X107" s="3121" t="s">
        <v>77</v>
      </c>
      <c r="Y107" s="3125"/>
    </row>
    <row r="108" spans="1:35" ht="13.5" hidden="1" customHeight="1">
      <c r="A108" s="3112"/>
      <c r="B108" s="2844" t="s">
        <v>36</v>
      </c>
      <c r="C108" s="3118" t="s">
        <v>471</v>
      </c>
      <c r="D108" s="1545">
        <f>+D109</f>
        <v>0</v>
      </c>
      <c r="E108" s="1545"/>
      <c r="F108" s="1545"/>
      <c r="G108" s="1545"/>
      <c r="H108" s="1545"/>
      <c r="I108" s="1545"/>
      <c r="J108" s="1545"/>
      <c r="K108" s="1545"/>
      <c r="L108" s="1545">
        <f t="shared" ref="L108:P108" si="90">+L109</f>
        <v>0</v>
      </c>
      <c r="M108" s="1545">
        <f t="shared" si="90"/>
        <v>0</v>
      </c>
      <c r="N108" s="1545">
        <f t="shared" si="90"/>
        <v>0</v>
      </c>
      <c r="O108" s="1545">
        <f t="shared" si="90"/>
        <v>0</v>
      </c>
      <c r="P108" s="1545">
        <f t="shared" si="90"/>
        <v>0</v>
      </c>
      <c r="Q108" s="1545">
        <f t="shared" ref="Q108" si="91">+Q109</f>
        <v>0</v>
      </c>
      <c r="R108" s="1545"/>
      <c r="S108" s="1545"/>
      <c r="T108" s="1545"/>
      <c r="U108" s="1545"/>
      <c r="V108" s="1545"/>
      <c r="W108" s="1545"/>
      <c r="X108" s="3121"/>
      <c r="Y108" s="3125"/>
    </row>
    <row r="109" spans="1:35" ht="11.25" hidden="1" customHeight="1">
      <c r="A109" s="3112"/>
      <c r="B109" s="2809" t="s">
        <v>25</v>
      </c>
      <c r="C109" s="3117"/>
      <c r="D109" s="1547">
        <f>SUM(L109:Q109)</f>
        <v>0</v>
      </c>
      <c r="E109" s="1548"/>
      <c r="F109" s="1547"/>
      <c r="G109" s="1547"/>
      <c r="H109" s="1547"/>
      <c r="I109" s="1547"/>
      <c r="J109" s="1547"/>
      <c r="K109" s="1547"/>
      <c r="L109" s="1547"/>
      <c r="M109" s="1548">
        <f>+L109+K109+J109+I109+E109+N109</f>
        <v>0</v>
      </c>
      <c r="N109" s="1547"/>
      <c r="O109" s="1547"/>
      <c r="P109" s="1547"/>
      <c r="Q109" s="1547"/>
      <c r="R109" s="1547"/>
      <c r="S109" s="1547"/>
      <c r="T109" s="1547"/>
      <c r="U109" s="1547"/>
      <c r="V109" s="1547"/>
      <c r="W109" s="1547"/>
      <c r="X109" s="3121"/>
      <c r="Y109" s="3125"/>
    </row>
    <row r="110" spans="1:35" s="1553" customFormat="1" ht="15" hidden="1" customHeight="1">
      <c r="A110" s="3112"/>
      <c r="B110" s="2849" t="s">
        <v>30</v>
      </c>
      <c r="C110" s="3119"/>
      <c r="D110" s="1545">
        <f>+D111</f>
        <v>0</v>
      </c>
      <c r="E110" s="1545"/>
      <c r="F110" s="1545"/>
      <c r="G110" s="1545"/>
      <c r="H110" s="1545"/>
      <c r="I110" s="1545"/>
      <c r="J110" s="1545"/>
      <c r="K110" s="1545"/>
      <c r="L110" s="1545">
        <f t="shared" ref="L110:P110" si="92">+L111</f>
        <v>0</v>
      </c>
      <c r="M110" s="1545">
        <f t="shared" si="92"/>
        <v>0</v>
      </c>
      <c r="N110" s="1545">
        <f t="shared" si="92"/>
        <v>0</v>
      </c>
      <c r="O110" s="1545">
        <f t="shared" si="92"/>
        <v>0</v>
      </c>
      <c r="P110" s="1545">
        <f t="shared" si="92"/>
        <v>0</v>
      </c>
      <c r="Q110" s="1545">
        <f t="shared" ref="Q110" si="93">+Q111</f>
        <v>0</v>
      </c>
      <c r="R110" s="1545"/>
      <c r="S110" s="1545"/>
      <c r="T110" s="1545"/>
      <c r="U110" s="1545"/>
      <c r="V110" s="1545"/>
      <c r="W110" s="1545"/>
      <c r="X110" s="3121"/>
      <c r="Y110" s="3125"/>
    </row>
    <row r="111" spans="1:35" ht="13.5" hidden="1" customHeight="1">
      <c r="A111" s="3112"/>
      <c r="B111" s="2813" t="s">
        <v>33</v>
      </c>
      <c r="C111" s="3119"/>
      <c r="D111" s="1547">
        <f>M111+O111+P111+Q111+R111+S111+T111+U111+V111+W111</f>
        <v>0</v>
      </c>
      <c r="E111" s="1548"/>
      <c r="F111" s="1548"/>
      <c r="G111" s="1548"/>
      <c r="H111" s="1548"/>
      <c r="I111" s="1548"/>
      <c r="J111" s="1548"/>
      <c r="K111" s="1548"/>
      <c r="L111" s="1548"/>
      <c r="M111" s="1548"/>
      <c r="N111" s="1548"/>
      <c r="O111" s="1548"/>
      <c r="P111" s="1548"/>
      <c r="Q111" s="1548">
        <v>0</v>
      </c>
      <c r="R111" s="1548"/>
      <c r="S111" s="1548"/>
      <c r="T111" s="1548"/>
      <c r="U111" s="1548"/>
      <c r="V111" s="1548"/>
      <c r="W111" s="1548"/>
      <c r="X111" s="3121"/>
      <c r="Y111" s="3125"/>
    </row>
    <row r="112" spans="1:35" hidden="1">
      <c r="A112" s="3112" t="s">
        <v>106</v>
      </c>
      <c r="B112" s="2845"/>
      <c r="C112" s="2846" t="s">
        <v>130</v>
      </c>
      <c r="D112" s="1543"/>
      <c r="E112" s="1543"/>
      <c r="F112" s="1543"/>
      <c r="G112" s="1543"/>
      <c r="H112" s="1543"/>
      <c r="I112" s="2847"/>
      <c r="J112" s="2847"/>
      <c r="K112" s="2847"/>
      <c r="L112" s="2847"/>
      <c r="M112" s="2847"/>
      <c r="N112" s="2847"/>
      <c r="O112" s="2847"/>
      <c r="P112" s="2847"/>
      <c r="Q112" s="2847"/>
      <c r="R112" s="2847"/>
      <c r="S112" s="2847"/>
      <c r="T112" s="2847"/>
      <c r="U112" s="2847"/>
      <c r="V112" s="2847"/>
      <c r="W112" s="2847"/>
      <c r="X112" s="2686"/>
      <c r="Y112" s="3114" t="s">
        <v>149</v>
      </c>
      <c r="Z112" s="1540"/>
      <c r="AA112" s="1540"/>
      <c r="AB112" s="1540"/>
      <c r="AC112" s="1540"/>
      <c r="AD112" s="1540"/>
      <c r="AE112" s="1540"/>
      <c r="AF112" s="1540"/>
      <c r="AG112" s="1540"/>
      <c r="AH112" s="1540"/>
      <c r="AI112" s="1540"/>
    </row>
    <row r="113" spans="1:27" ht="13.5" hidden="1" customHeight="1">
      <c r="A113" s="3112"/>
      <c r="B113" s="2806" t="s">
        <v>22</v>
      </c>
      <c r="C113" s="2766"/>
      <c r="D113" s="1549">
        <f t="shared" ref="D113:L113" si="94">+D114+D117</f>
        <v>0</v>
      </c>
      <c r="E113" s="1549">
        <f>+E114+E117</f>
        <v>0</v>
      </c>
      <c r="F113" s="1549">
        <f t="shared" si="94"/>
        <v>0</v>
      </c>
      <c r="G113" s="1549">
        <f t="shared" si="94"/>
        <v>0</v>
      </c>
      <c r="H113" s="1549">
        <f t="shared" si="94"/>
        <v>0</v>
      </c>
      <c r="I113" s="1549">
        <f t="shared" si="94"/>
        <v>0</v>
      </c>
      <c r="J113" s="1549">
        <f t="shared" si="94"/>
        <v>0</v>
      </c>
      <c r="K113" s="1549">
        <f t="shared" si="94"/>
        <v>0</v>
      </c>
      <c r="L113" s="1549">
        <f t="shared" si="94"/>
        <v>0</v>
      </c>
      <c r="M113" s="1549">
        <f t="shared" ref="M113" si="95">+M114+M117</f>
        <v>0</v>
      </c>
      <c r="N113" s="1549">
        <f>+N114+N117</f>
        <v>0</v>
      </c>
      <c r="O113" s="1549">
        <f>+O114+O117</f>
        <v>0</v>
      </c>
      <c r="P113" s="1549">
        <f>+P114+P117</f>
        <v>0</v>
      </c>
      <c r="Q113" s="1549"/>
      <c r="R113" s="1549"/>
      <c r="S113" s="1549"/>
      <c r="T113" s="1549"/>
      <c r="U113" s="1549"/>
      <c r="V113" s="1549"/>
      <c r="W113" s="1549"/>
      <c r="X113" s="1544">
        <f>+X114+X117</f>
        <v>0</v>
      </c>
      <c r="Y113" s="3114"/>
      <c r="Z113" s="1540">
        <f>+O113+P113+Q113+R113</f>
        <v>0</v>
      </c>
    </row>
    <row r="114" spans="1:27" ht="12.75" hidden="1" customHeight="1">
      <c r="A114" s="3112"/>
      <c r="B114" s="2844" t="s">
        <v>36</v>
      </c>
      <c r="C114" s="3116" t="s">
        <v>351</v>
      </c>
      <c r="D114" s="1546">
        <f t="shared" ref="D114:L114" si="96">+D115+D116</f>
        <v>0</v>
      </c>
      <c r="E114" s="1546">
        <f t="shared" si="96"/>
        <v>0</v>
      </c>
      <c r="F114" s="1546">
        <f t="shared" si="96"/>
        <v>0</v>
      </c>
      <c r="G114" s="1546">
        <f t="shared" si="96"/>
        <v>0</v>
      </c>
      <c r="H114" s="1546">
        <f t="shared" si="96"/>
        <v>0</v>
      </c>
      <c r="I114" s="1546">
        <f t="shared" si="96"/>
        <v>0</v>
      </c>
      <c r="J114" s="1546">
        <f t="shared" si="96"/>
        <v>0</v>
      </c>
      <c r="K114" s="1546">
        <f t="shared" si="96"/>
        <v>0</v>
      </c>
      <c r="L114" s="1546">
        <f t="shared" si="96"/>
        <v>0</v>
      </c>
      <c r="M114" s="1546">
        <f t="shared" ref="M114" si="97">+M115+M116</f>
        <v>0</v>
      </c>
      <c r="N114" s="1546">
        <f>+N115+N116</f>
        <v>0</v>
      </c>
      <c r="O114" s="1546">
        <f>+O115+O116</f>
        <v>0</v>
      </c>
      <c r="P114" s="1546">
        <f>+P115+P116</f>
        <v>0</v>
      </c>
      <c r="Q114" s="1546"/>
      <c r="R114" s="1546"/>
      <c r="S114" s="1546"/>
      <c r="T114" s="1546"/>
      <c r="U114" s="1546"/>
      <c r="V114" s="1546"/>
      <c r="W114" s="1546"/>
      <c r="X114" s="1551">
        <f>+X115+X116</f>
        <v>0</v>
      </c>
      <c r="Y114" s="3114"/>
    </row>
    <row r="115" spans="1:27" ht="13.5" hidden="1" customHeight="1">
      <c r="A115" s="3112"/>
      <c r="B115" s="2809" t="s">
        <v>24</v>
      </c>
      <c r="C115" s="3117"/>
      <c r="D115" s="1547">
        <f>+E115+I115+J115+K115+L115</f>
        <v>0</v>
      </c>
      <c r="E115" s="1548">
        <f>+F115+G115+H115</f>
        <v>0</v>
      </c>
      <c r="F115" s="1548">
        <v>0</v>
      </c>
      <c r="G115" s="1548"/>
      <c r="H115" s="1550"/>
      <c r="I115" s="1550"/>
      <c r="J115" s="1550"/>
      <c r="K115" s="1548">
        <v>0</v>
      </c>
      <c r="L115" s="1548">
        <v>0</v>
      </c>
      <c r="M115" s="1548"/>
      <c r="N115" s="1548"/>
      <c r="O115" s="1548"/>
      <c r="P115" s="1548"/>
      <c r="Q115" s="1548"/>
      <c r="R115" s="1548"/>
      <c r="S115" s="1548"/>
      <c r="T115" s="1548"/>
      <c r="U115" s="1548"/>
      <c r="V115" s="1548"/>
      <c r="W115" s="1548"/>
      <c r="X115" s="2810"/>
      <c r="Y115" s="3114"/>
    </row>
    <row r="116" spans="1:27" ht="13.5" hidden="1" customHeight="1">
      <c r="A116" s="3112"/>
      <c r="B116" s="2809" t="s">
        <v>25</v>
      </c>
      <c r="C116" s="3117"/>
      <c r="D116" s="1547">
        <f t="shared" ref="D116" si="98">SUM(M116:R116)</f>
        <v>0</v>
      </c>
      <c r="E116" s="1548">
        <f>+F116+G116+H116</f>
        <v>0</v>
      </c>
      <c r="F116" s="1548"/>
      <c r="G116" s="1548"/>
      <c r="H116" s="1550"/>
      <c r="I116" s="1550"/>
      <c r="J116" s="1550"/>
      <c r="K116" s="1548"/>
      <c r="L116" s="1548"/>
      <c r="M116" s="1548">
        <f t="shared" ref="M116" si="99">+L116+K116+J116+I116+E116</f>
        <v>0</v>
      </c>
      <c r="N116" s="1548"/>
      <c r="O116" s="1548">
        <v>0</v>
      </c>
      <c r="P116" s="1548">
        <v>0</v>
      </c>
      <c r="Q116" s="1548"/>
      <c r="R116" s="1548"/>
      <c r="S116" s="1548"/>
      <c r="T116" s="1548"/>
      <c r="U116" s="1548"/>
      <c r="V116" s="1548"/>
      <c r="W116" s="1548"/>
      <c r="X116" s="2810">
        <f>SUM(P116:S116)</f>
        <v>0</v>
      </c>
      <c r="Y116" s="3114"/>
    </row>
    <row r="117" spans="1:27" ht="12.75" hidden="1" customHeight="1">
      <c r="A117" s="3112"/>
      <c r="B117" s="2807" t="s">
        <v>30</v>
      </c>
      <c r="C117" s="3117"/>
      <c r="D117" s="1545">
        <f>+D118</f>
        <v>0</v>
      </c>
      <c r="E117" s="1545">
        <f t="shared" ref="E117:X117" si="100">+E118</f>
        <v>0</v>
      </c>
      <c r="F117" s="1545">
        <f t="shared" si="100"/>
        <v>0</v>
      </c>
      <c r="G117" s="1545">
        <f t="shared" si="100"/>
        <v>0</v>
      </c>
      <c r="H117" s="1545">
        <f t="shared" si="100"/>
        <v>0</v>
      </c>
      <c r="I117" s="1545">
        <f t="shared" si="100"/>
        <v>0</v>
      </c>
      <c r="J117" s="1545">
        <f t="shared" si="100"/>
        <v>0</v>
      </c>
      <c r="K117" s="1545">
        <f t="shared" si="100"/>
        <v>0</v>
      </c>
      <c r="L117" s="1545">
        <f t="shared" si="100"/>
        <v>0</v>
      </c>
      <c r="M117" s="1545">
        <f t="shared" si="100"/>
        <v>0</v>
      </c>
      <c r="N117" s="1545">
        <f t="shared" si="100"/>
        <v>0</v>
      </c>
      <c r="O117" s="1545">
        <f t="shared" si="100"/>
        <v>0</v>
      </c>
      <c r="P117" s="1545">
        <f t="shared" si="100"/>
        <v>0</v>
      </c>
      <c r="Q117" s="1545"/>
      <c r="R117" s="1545"/>
      <c r="S117" s="1545"/>
      <c r="T117" s="1545"/>
      <c r="U117" s="1545"/>
      <c r="V117" s="1545"/>
      <c r="W117" s="1545"/>
      <c r="X117" s="2580">
        <f t="shared" si="100"/>
        <v>0</v>
      </c>
      <c r="Y117" s="3114"/>
    </row>
    <row r="118" spans="1:27" ht="12" hidden="1" customHeight="1">
      <c r="A118" s="3112"/>
      <c r="B118" s="2809" t="s">
        <v>33</v>
      </c>
      <c r="C118" s="3117"/>
      <c r="D118" s="1547">
        <f t="shared" ref="D118" si="101">SUM(M118:R118)</f>
        <v>0</v>
      </c>
      <c r="E118" s="1548">
        <f>+F118+G118+H118</f>
        <v>0</v>
      </c>
      <c r="F118" s="1548">
        <v>0</v>
      </c>
      <c r="G118" s="1548"/>
      <c r="H118" s="1550"/>
      <c r="I118" s="1550"/>
      <c r="J118" s="1550"/>
      <c r="K118" s="1548"/>
      <c r="L118" s="1548"/>
      <c r="M118" s="1548">
        <f t="shared" ref="M118" si="102">+L118+K118+J118+I118+E118</f>
        <v>0</v>
      </c>
      <c r="N118" s="1548"/>
      <c r="O118" s="1548">
        <v>0</v>
      </c>
      <c r="P118" s="1548">
        <v>0</v>
      </c>
      <c r="Q118" s="1548"/>
      <c r="R118" s="1548"/>
      <c r="S118" s="1548"/>
      <c r="T118" s="1548"/>
      <c r="U118" s="1548"/>
      <c r="V118" s="1548"/>
      <c r="W118" s="1548"/>
      <c r="X118" s="2810">
        <f>SUM(P118:S118)</f>
        <v>0</v>
      </c>
      <c r="Y118" s="3114"/>
    </row>
    <row r="119" spans="1:27" ht="10.5" hidden="1" customHeight="1">
      <c r="A119" s="3112"/>
      <c r="B119" s="2806" t="s">
        <v>34</v>
      </c>
      <c r="C119" s="2766"/>
      <c r="D119" s="2572">
        <f t="shared" ref="D119:L119" si="103">+D120+D122</f>
        <v>0</v>
      </c>
      <c r="E119" s="2572">
        <f t="shared" si="103"/>
        <v>0</v>
      </c>
      <c r="F119" s="2572">
        <f t="shared" si="103"/>
        <v>0</v>
      </c>
      <c r="G119" s="2572">
        <f t="shared" si="103"/>
        <v>0</v>
      </c>
      <c r="H119" s="2572">
        <f t="shared" si="103"/>
        <v>0</v>
      </c>
      <c r="I119" s="2572">
        <f t="shared" si="103"/>
        <v>0</v>
      </c>
      <c r="J119" s="2572">
        <f t="shared" si="103"/>
        <v>0</v>
      </c>
      <c r="K119" s="2572">
        <f t="shared" si="103"/>
        <v>0</v>
      </c>
      <c r="L119" s="2572">
        <f t="shared" si="103"/>
        <v>0</v>
      </c>
      <c r="M119" s="2572">
        <f t="shared" ref="M119" si="104">+M120+M122</f>
        <v>0</v>
      </c>
      <c r="N119" s="2572">
        <f>+N120+N122</f>
        <v>0</v>
      </c>
      <c r="O119" s="2572">
        <f>+O120+O122</f>
        <v>0</v>
      </c>
      <c r="P119" s="2572">
        <f>+P120+P122</f>
        <v>0</v>
      </c>
      <c r="Q119" s="2572"/>
      <c r="R119" s="2572"/>
      <c r="S119" s="2572"/>
      <c r="T119" s="2572"/>
      <c r="U119" s="2572"/>
      <c r="V119" s="2572"/>
      <c r="W119" s="2572"/>
      <c r="X119" s="3121" t="s">
        <v>77</v>
      </c>
      <c r="Y119" s="3114"/>
    </row>
    <row r="120" spans="1:27" ht="13.5" hidden="1" customHeight="1">
      <c r="A120" s="3112"/>
      <c r="B120" s="2844" t="s">
        <v>36</v>
      </c>
      <c r="C120" s="3118" t="s">
        <v>350</v>
      </c>
      <c r="D120" s="1545">
        <f t="shared" ref="D120:P120" si="105">+D121</f>
        <v>0</v>
      </c>
      <c r="E120" s="1545">
        <f t="shared" si="105"/>
        <v>0</v>
      </c>
      <c r="F120" s="1545">
        <f t="shared" si="105"/>
        <v>0</v>
      </c>
      <c r="G120" s="1545">
        <f t="shared" si="105"/>
        <v>0</v>
      </c>
      <c r="H120" s="1545">
        <f t="shared" si="105"/>
        <v>0</v>
      </c>
      <c r="I120" s="1545">
        <f t="shared" si="105"/>
        <v>0</v>
      </c>
      <c r="J120" s="1545">
        <f t="shared" si="105"/>
        <v>0</v>
      </c>
      <c r="K120" s="1545">
        <f t="shared" si="105"/>
        <v>0</v>
      </c>
      <c r="L120" s="1545">
        <f t="shared" si="105"/>
        <v>0</v>
      </c>
      <c r="M120" s="1545">
        <f t="shared" si="105"/>
        <v>0</v>
      </c>
      <c r="N120" s="1545">
        <f t="shared" si="105"/>
        <v>0</v>
      </c>
      <c r="O120" s="1545">
        <f t="shared" si="105"/>
        <v>0</v>
      </c>
      <c r="P120" s="1545">
        <f t="shared" si="105"/>
        <v>0</v>
      </c>
      <c r="Q120" s="1545"/>
      <c r="R120" s="1545"/>
      <c r="S120" s="1545"/>
      <c r="T120" s="1545"/>
      <c r="U120" s="1545"/>
      <c r="V120" s="1545"/>
      <c r="W120" s="1545"/>
      <c r="X120" s="3121"/>
      <c r="Y120" s="3114"/>
    </row>
    <row r="121" spans="1:27" ht="11.25" hidden="1" customHeight="1">
      <c r="A121" s="3112"/>
      <c r="B121" s="2809" t="s">
        <v>25</v>
      </c>
      <c r="C121" s="3117"/>
      <c r="D121" s="1547">
        <f t="shared" ref="D121" si="106">SUM(M121:R121)</f>
        <v>0</v>
      </c>
      <c r="E121" s="1548">
        <f>+F121+G121+H121</f>
        <v>0</v>
      </c>
      <c r="F121" s="1547"/>
      <c r="G121" s="1547"/>
      <c r="H121" s="1547"/>
      <c r="I121" s="1547"/>
      <c r="J121" s="1547"/>
      <c r="K121" s="1547"/>
      <c r="L121" s="1547"/>
      <c r="M121" s="1548">
        <f t="shared" ref="M121" si="107">+L121+K121+J121+I121+E121</f>
        <v>0</v>
      </c>
      <c r="N121" s="1547"/>
      <c r="O121" s="1547">
        <v>0</v>
      </c>
      <c r="P121" s="1547">
        <v>0</v>
      </c>
      <c r="Q121" s="1547"/>
      <c r="R121" s="1547"/>
      <c r="S121" s="1547"/>
      <c r="T121" s="1547"/>
      <c r="U121" s="1547"/>
      <c r="V121" s="1547"/>
      <c r="W121" s="1547"/>
      <c r="X121" s="3121"/>
      <c r="Y121" s="3114"/>
    </row>
    <row r="122" spans="1:27" ht="12" hidden="1" customHeight="1">
      <c r="A122" s="3112"/>
      <c r="B122" s="2807" t="s">
        <v>30</v>
      </c>
      <c r="C122" s="3119"/>
      <c r="D122" s="1545">
        <f t="shared" ref="D122:P122" si="108">+D123</f>
        <v>0</v>
      </c>
      <c r="E122" s="1545">
        <f t="shared" si="108"/>
        <v>0</v>
      </c>
      <c r="F122" s="1545">
        <f t="shared" si="108"/>
        <v>0</v>
      </c>
      <c r="G122" s="1545">
        <f t="shared" si="108"/>
        <v>0</v>
      </c>
      <c r="H122" s="1545">
        <f t="shared" si="108"/>
        <v>0</v>
      </c>
      <c r="I122" s="1545">
        <f t="shared" si="108"/>
        <v>0</v>
      </c>
      <c r="J122" s="1545">
        <f t="shared" si="108"/>
        <v>0</v>
      </c>
      <c r="K122" s="1545">
        <f t="shared" si="108"/>
        <v>0</v>
      </c>
      <c r="L122" s="1545">
        <f t="shared" si="108"/>
        <v>0</v>
      </c>
      <c r="M122" s="1545">
        <f t="shared" si="108"/>
        <v>0</v>
      </c>
      <c r="N122" s="1545">
        <f t="shared" si="108"/>
        <v>0</v>
      </c>
      <c r="O122" s="1545">
        <f t="shared" si="108"/>
        <v>0</v>
      </c>
      <c r="P122" s="1545">
        <f t="shared" si="108"/>
        <v>0</v>
      </c>
      <c r="Q122" s="1545"/>
      <c r="R122" s="1545"/>
      <c r="S122" s="1545"/>
      <c r="T122" s="1545"/>
      <c r="U122" s="1545"/>
      <c r="V122" s="1545"/>
      <c r="W122" s="1545"/>
      <c r="X122" s="3121"/>
      <c r="Y122" s="3114"/>
    </row>
    <row r="123" spans="1:27" ht="12.75" hidden="1" customHeight="1">
      <c r="A123" s="3112"/>
      <c r="B123" s="1539" t="s">
        <v>33</v>
      </c>
      <c r="C123" s="3119"/>
      <c r="D123" s="1547">
        <f>SUM(M123:R123)</f>
        <v>0</v>
      </c>
      <c r="E123" s="1548">
        <f>+F123+G123+H123</f>
        <v>0</v>
      </c>
      <c r="F123" s="1548"/>
      <c r="G123" s="1548"/>
      <c r="H123" s="1548"/>
      <c r="I123" s="1548"/>
      <c r="J123" s="1548"/>
      <c r="K123" s="1548"/>
      <c r="L123" s="1548"/>
      <c r="M123" s="1548">
        <f>+L123+K123+J123+I123+E123</f>
        <v>0</v>
      </c>
      <c r="N123" s="1548"/>
      <c r="O123" s="1548">
        <v>0</v>
      </c>
      <c r="P123" s="1548">
        <v>0</v>
      </c>
      <c r="Q123" s="1548"/>
      <c r="R123" s="1548"/>
      <c r="S123" s="1548"/>
      <c r="T123" s="1548"/>
      <c r="U123" s="1548"/>
      <c r="V123" s="1548"/>
      <c r="W123" s="1548"/>
      <c r="X123" s="3121"/>
      <c r="Y123" s="3114"/>
    </row>
    <row r="124" spans="1:27" ht="22.9" hidden="1" customHeight="1">
      <c r="A124" s="3112" t="s">
        <v>138</v>
      </c>
      <c r="B124" s="2845"/>
      <c r="C124" s="2846" t="s">
        <v>130</v>
      </c>
      <c r="D124" s="1543"/>
      <c r="E124" s="1543"/>
      <c r="F124" s="1543"/>
      <c r="G124" s="1543"/>
      <c r="H124" s="1543"/>
      <c r="I124" s="2847"/>
      <c r="J124" s="2847"/>
      <c r="K124" s="2847"/>
      <c r="L124" s="2847"/>
      <c r="M124" s="2847"/>
      <c r="N124" s="2847"/>
      <c r="O124" s="2847"/>
      <c r="P124" s="2847"/>
      <c r="Q124" s="2847"/>
      <c r="R124" s="2847"/>
      <c r="S124" s="2847"/>
      <c r="T124" s="2847"/>
      <c r="U124" s="2847"/>
      <c r="V124" s="2847"/>
      <c r="W124" s="2847"/>
      <c r="X124" s="2686"/>
      <c r="Y124" s="3114" t="s">
        <v>149</v>
      </c>
      <c r="Z124" s="1540"/>
      <c r="AA124" s="1540"/>
    </row>
    <row r="125" spans="1:27" ht="23.45" hidden="1" customHeight="1">
      <c r="A125" s="3112"/>
      <c r="B125" s="2806" t="s">
        <v>22</v>
      </c>
      <c r="C125" s="2766"/>
      <c r="D125" s="1549">
        <f t="shared" ref="D125:L125" si="109">+D126+D129</f>
        <v>0</v>
      </c>
      <c r="E125" s="1549">
        <f t="shared" si="109"/>
        <v>0</v>
      </c>
      <c r="F125" s="1549">
        <f t="shared" si="109"/>
        <v>0</v>
      </c>
      <c r="G125" s="1549">
        <f t="shared" si="109"/>
        <v>0</v>
      </c>
      <c r="H125" s="1549">
        <f t="shared" si="109"/>
        <v>0</v>
      </c>
      <c r="I125" s="1549">
        <f t="shared" si="109"/>
        <v>0</v>
      </c>
      <c r="J125" s="1549">
        <f t="shared" si="109"/>
        <v>0</v>
      </c>
      <c r="K125" s="1549">
        <f t="shared" si="109"/>
        <v>0</v>
      </c>
      <c r="L125" s="1549">
        <f t="shared" si="109"/>
        <v>0</v>
      </c>
      <c r="M125" s="1549">
        <f t="shared" ref="M125" si="110">+M126+M129</f>
        <v>0</v>
      </c>
      <c r="N125" s="1549">
        <f>+N126+N129</f>
        <v>0</v>
      </c>
      <c r="O125" s="1549">
        <f>+O126+O129</f>
        <v>0</v>
      </c>
      <c r="P125" s="1549">
        <f>+P126+P129</f>
        <v>0</v>
      </c>
      <c r="Q125" s="1549"/>
      <c r="R125" s="1549"/>
      <c r="S125" s="1549"/>
      <c r="T125" s="1549"/>
      <c r="U125" s="1549"/>
      <c r="V125" s="1549"/>
      <c r="W125" s="1549"/>
      <c r="X125" s="1544">
        <f>+X126+X129</f>
        <v>0</v>
      </c>
      <c r="Y125" s="3114"/>
      <c r="Z125" s="1540">
        <f>+O125+P125+Q125+R125</f>
        <v>0</v>
      </c>
    </row>
    <row r="126" spans="1:27" ht="23.45" hidden="1" customHeight="1">
      <c r="A126" s="3112"/>
      <c r="B126" s="2844" t="s">
        <v>36</v>
      </c>
      <c r="C126" s="3116" t="s">
        <v>350</v>
      </c>
      <c r="D126" s="1546">
        <f t="shared" ref="D126:L126" si="111">+D127+D128</f>
        <v>0</v>
      </c>
      <c r="E126" s="1546">
        <f t="shared" si="111"/>
        <v>0</v>
      </c>
      <c r="F126" s="1546">
        <f t="shared" si="111"/>
        <v>0</v>
      </c>
      <c r="G126" s="1546">
        <f t="shared" si="111"/>
        <v>0</v>
      </c>
      <c r="H126" s="1546">
        <f t="shared" si="111"/>
        <v>0</v>
      </c>
      <c r="I126" s="1546">
        <f t="shared" si="111"/>
        <v>0</v>
      </c>
      <c r="J126" s="1546">
        <f t="shared" si="111"/>
        <v>0</v>
      </c>
      <c r="K126" s="1546">
        <f t="shared" si="111"/>
        <v>0</v>
      </c>
      <c r="L126" s="1546">
        <f t="shared" si="111"/>
        <v>0</v>
      </c>
      <c r="M126" s="1546">
        <f t="shared" ref="M126" si="112">+M127+M128</f>
        <v>0</v>
      </c>
      <c r="N126" s="1546">
        <f>+N127+N128</f>
        <v>0</v>
      </c>
      <c r="O126" s="1546">
        <f>+O127+O128</f>
        <v>0</v>
      </c>
      <c r="P126" s="1546">
        <f>+P127+P128</f>
        <v>0</v>
      </c>
      <c r="Q126" s="1546"/>
      <c r="R126" s="1546"/>
      <c r="S126" s="1546"/>
      <c r="T126" s="1546"/>
      <c r="U126" s="1546"/>
      <c r="V126" s="1546"/>
      <c r="W126" s="1546"/>
      <c r="X126" s="1551">
        <f>+X127+X128</f>
        <v>0</v>
      </c>
      <c r="Y126" s="3114"/>
    </row>
    <row r="127" spans="1:27" ht="22.9" hidden="1" customHeight="1">
      <c r="A127" s="3112"/>
      <c r="B127" s="2809" t="s">
        <v>24</v>
      </c>
      <c r="C127" s="3117"/>
      <c r="D127" s="1547">
        <f>M127+O127+P127+Q127+R127+S127+T127+U127+V127+W127</f>
        <v>0</v>
      </c>
      <c r="E127" s="1548"/>
      <c r="F127" s="1548"/>
      <c r="G127" s="1548"/>
      <c r="H127" s="1550"/>
      <c r="I127" s="1550"/>
      <c r="J127" s="1550"/>
      <c r="K127" s="1548"/>
      <c r="L127" s="1548"/>
      <c r="M127" s="1548"/>
      <c r="N127" s="1550"/>
      <c r="O127" s="1548"/>
      <c r="P127" s="1548">
        <v>0</v>
      </c>
      <c r="Q127" s="1548"/>
      <c r="R127" s="1548"/>
      <c r="S127" s="1548"/>
      <c r="T127" s="1548"/>
      <c r="U127" s="1548"/>
      <c r="V127" s="1548"/>
      <c r="W127" s="1548"/>
      <c r="X127" s="2810">
        <f>SUM(P127:T127)</f>
        <v>0</v>
      </c>
      <c r="Y127" s="3114"/>
    </row>
    <row r="128" spans="1:27" ht="22.9" hidden="1" customHeight="1">
      <c r="A128" s="3112"/>
      <c r="B128" s="2809" t="s">
        <v>25</v>
      </c>
      <c r="C128" s="3117"/>
      <c r="D128" s="1547">
        <f>M128+O128+P128+Q128+R128+S128+T128+U128+V128+W128</f>
        <v>0</v>
      </c>
      <c r="E128" s="1548"/>
      <c r="F128" s="1548"/>
      <c r="G128" s="1548"/>
      <c r="H128" s="1550"/>
      <c r="I128" s="1550"/>
      <c r="J128" s="1550"/>
      <c r="K128" s="1548"/>
      <c r="L128" s="1548"/>
      <c r="M128" s="1548"/>
      <c r="N128" s="1548"/>
      <c r="O128" s="1548"/>
      <c r="P128" s="1548">
        <v>0</v>
      </c>
      <c r="Q128" s="1548"/>
      <c r="R128" s="1548"/>
      <c r="S128" s="1548"/>
      <c r="T128" s="1548"/>
      <c r="U128" s="1548"/>
      <c r="V128" s="1548"/>
      <c r="W128" s="1548"/>
      <c r="X128" s="2810">
        <f>SUM(O128:R128)</f>
        <v>0</v>
      </c>
      <c r="Y128" s="3114"/>
      <c r="Z128" s="1540"/>
    </row>
    <row r="129" spans="1:26" ht="22.9" hidden="1" customHeight="1">
      <c r="A129" s="3112"/>
      <c r="B129" s="2807" t="s">
        <v>30</v>
      </c>
      <c r="C129" s="3117"/>
      <c r="D129" s="1545">
        <f>+D130</f>
        <v>0</v>
      </c>
      <c r="E129" s="1545">
        <f t="shared" ref="E129:X129" si="113">+E130</f>
        <v>0</v>
      </c>
      <c r="F129" s="1545">
        <f t="shared" si="113"/>
        <v>0</v>
      </c>
      <c r="G129" s="1545">
        <f t="shared" si="113"/>
        <v>0</v>
      </c>
      <c r="H129" s="1545">
        <f t="shared" si="113"/>
        <v>0</v>
      </c>
      <c r="I129" s="1545">
        <f t="shared" si="113"/>
        <v>0</v>
      </c>
      <c r="J129" s="1545">
        <f t="shared" si="113"/>
        <v>0</v>
      </c>
      <c r="K129" s="1545">
        <f t="shared" si="113"/>
        <v>0</v>
      </c>
      <c r="L129" s="1545">
        <f t="shared" si="113"/>
        <v>0</v>
      </c>
      <c r="M129" s="1545">
        <f t="shared" si="113"/>
        <v>0</v>
      </c>
      <c r="N129" s="1545">
        <f t="shared" si="113"/>
        <v>0</v>
      </c>
      <c r="O129" s="1545">
        <f t="shared" si="113"/>
        <v>0</v>
      </c>
      <c r="P129" s="1545">
        <f t="shared" si="113"/>
        <v>0</v>
      </c>
      <c r="Q129" s="1545"/>
      <c r="R129" s="1545"/>
      <c r="S129" s="1545"/>
      <c r="T129" s="1545"/>
      <c r="U129" s="1545"/>
      <c r="V129" s="1545"/>
      <c r="W129" s="1545"/>
      <c r="X129" s="2580">
        <f t="shared" si="113"/>
        <v>0</v>
      </c>
      <c r="Y129" s="3114"/>
    </row>
    <row r="130" spans="1:26" ht="22.15" hidden="1" customHeight="1">
      <c r="A130" s="3112"/>
      <c r="B130" s="2809" t="s">
        <v>33</v>
      </c>
      <c r="C130" s="3117"/>
      <c r="D130" s="1547">
        <f>M130+O130+P130+Q130+R130+S130+T130+U130+V130+W130</f>
        <v>0</v>
      </c>
      <c r="E130" s="1548"/>
      <c r="F130" s="1548"/>
      <c r="G130" s="1548"/>
      <c r="H130" s="1550"/>
      <c r="I130" s="1550"/>
      <c r="J130" s="1550"/>
      <c r="K130" s="1548"/>
      <c r="L130" s="1548"/>
      <c r="M130" s="1548"/>
      <c r="N130" s="1548"/>
      <c r="O130" s="1548"/>
      <c r="P130" s="1548">
        <v>0</v>
      </c>
      <c r="Q130" s="1548"/>
      <c r="R130" s="1548"/>
      <c r="S130" s="1548"/>
      <c r="T130" s="1548"/>
      <c r="U130" s="1548"/>
      <c r="V130" s="1548"/>
      <c r="W130" s="1548"/>
      <c r="X130" s="2810">
        <f>SUM(P130:T130)</f>
        <v>0</v>
      </c>
      <c r="Y130" s="3114"/>
    </row>
    <row r="131" spans="1:26" ht="21.6" hidden="1" customHeight="1">
      <c r="A131" s="3112"/>
      <c r="B131" s="2806" t="s">
        <v>34</v>
      </c>
      <c r="C131" s="2766"/>
      <c r="D131" s="2572">
        <f t="shared" ref="D131:L131" si="114">+D132+D134</f>
        <v>0</v>
      </c>
      <c r="E131" s="2572">
        <f t="shared" si="114"/>
        <v>0</v>
      </c>
      <c r="F131" s="2572">
        <f t="shared" si="114"/>
        <v>0</v>
      </c>
      <c r="G131" s="2572">
        <f t="shared" si="114"/>
        <v>0</v>
      </c>
      <c r="H131" s="2572">
        <f t="shared" si="114"/>
        <v>0</v>
      </c>
      <c r="I131" s="2572">
        <f t="shared" si="114"/>
        <v>0</v>
      </c>
      <c r="J131" s="2572">
        <f t="shared" si="114"/>
        <v>0</v>
      </c>
      <c r="K131" s="2572">
        <f t="shared" si="114"/>
        <v>0</v>
      </c>
      <c r="L131" s="2572">
        <f t="shared" si="114"/>
        <v>0</v>
      </c>
      <c r="M131" s="2572">
        <f t="shared" ref="M131" si="115">+M132+M134</f>
        <v>0</v>
      </c>
      <c r="N131" s="2572">
        <f>+N132+N134</f>
        <v>0</v>
      </c>
      <c r="O131" s="2572">
        <f>+O132+O134</f>
        <v>0</v>
      </c>
      <c r="P131" s="2572">
        <f>+P132+P134</f>
        <v>0</v>
      </c>
      <c r="Q131" s="2572"/>
      <c r="R131" s="2572"/>
      <c r="S131" s="2572"/>
      <c r="T131" s="2572"/>
      <c r="U131" s="2572"/>
      <c r="V131" s="2572"/>
      <c r="W131" s="2572"/>
      <c r="X131" s="3121" t="s">
        <v>77</v>
      </c>
      <c r="Y131" s="3115"/>
    </row>
    <row r="132" spans="1:26" ht="21" hidden="1" customHeight="1">
      <c r="A132" s="3112"/>
      <c r="B132" s="2844" t="s">
        <v>36</v>
      </c>
      <c r="C132" s="3118" t="s">
        <v>350</v>
      </c>
      <c r="D132" s="1545">
        <f t="shared" ref="D132:P132" si="116">+D133</f>
        <v>0</v>
      </c>
      <c r="E132" s="1545">
        <f t="shared" si="116"/>
        <v>0</v>
      </c>
      <c r="F132" s="1545">
        <f t="shared" si="116"/>
        <v>0</v>
      </c>
      <c r="G132" s="1545">
        <f t="shared" si="116"/>
        <v>0</v>
      </c>
      <c r="H132" s="1545">
        <f t="shared" si="116"/>
        <v>0</v>
      </c>
      <c r="I132" s="1545">
        <f t="shared" si="116"/>
        <v>0</v>
      </c>
      <c r="J132" s="1545">
        <f t="shared" si="116"/>
        <v>0</v>
      </c>
      <c r="K132" s="1545">
        <f t="shared" si="116"/>
        <v>0</v>
      </c>
      <c r="L132" s="1545">
        <f t="shared" si="116"/>
        <v>0</v>
      </c>
      <c r="M132" s="1545">
        <f t="shared" si="116"/>
        <v>0</v>
      </c>
      <c r="N132" s="1545">
        <f t="shared" si="116"/>
        <v>0</v>
      </c>
      <c r="O132" s="1545">
        <f t="shared" si="116"/>
        <v>0</v>
      </c>
      <c r="P132" s="1545">
        <f t="shared" si="116"/>
        <v>0</v>
      </c>
      <c r="Q132" s="1545"/>
      <c r="R132" s="1545"/>
      <c r="S132" s="1545"/>
      <c r="T132" s="1545"/>
      <c r="U132" s="1545"/>
      <c r="V132" s="1545"/>
      <c r="W132" s="1545"/>
      <c r="X132" s="3121"/>
      <c r="Y132" s="3115"/>
    </row>
    <row r="133" spans="1:26" ht="21" hidden="1" customHeight="1">
      <c r="A133" s="3112"/>
      <c r="B133" s="2809" t="s">
        <v>25</v>
      </c>
      <c r="C133" s="3117"/>
      <c r="D133" s="1547">
        <f>M133+O133+P133+Q133+R133+S133+T133+U133+V133+W133</f>
        <v>0</v>
      </c>
      <c r="E133" s="1548"/>
      <c r="F133" s="1547"/>
      <c r="G133" s="1547"/>
      <c r="H133" s="1547"/>
      <c r="I133" s="1547"/>
      <c r="J133" s="1547"/>
      <c r="K133" s="1547"/>
      <c r="L133" s="1547"/>
      <c r="M133" s="1548"/>
      <c r="N133" s="1547"/>
      <c r="O133" s="1547"/>
      <c r="P133" s="1547"/>
      <c r="Q133" s="1547"/>
      <c r="R133" s="1547"/>
      <c r="S133" s="1547"/>
      <c r="T133" s="1547"/>
      <c r="U133" s="1547"/>
      <c r="V133" s="1547"/>
      <c r="W133" s="1547"/>
      <c r="X133" s="3121"/>
      <c r="Y133" s="3115"/>
    </row>
    <row r="134" spans="1:26" ht="36.6" hidden="1" customHeight="1">
      <c r="A134" s="3112"/>
      <c r="B134" s="2807" t="s">
        <v>30</v>
      </c>
      <c r="C134" s="3119"/>
      <c r="D134" s="1545">
        <f t="shared" ref="D134:P134" si="117">+D135</f>
        <v>0</v>
      </c>
      <c r="E134" s="1545">
        <f t="shared" si="117"/>
        <v>0</v>
      </c>
      <c r="F134" s="1545">
        <f t="shared" si="117"/>
        <v>0</v>
      </c>
      <c r="G134" s="1545">
        <f t="shared" si="117"/>
        <v>0</v>
      </c>
      <c r="H134" s="1545">
        <f t="shared" si="117"/>
        <v>0</v>
      </c>
      <c r="I134" s="1545">
        <f t="shared" si="117"/>
        <v>0</v>
      </c>
      <c r="J134" s="1545">
        <f t="shared" si="117"/>
        <v>0</v>
      </c>
      <c r="K134" s="1545">
        <f t="shared" si="117"/>
        <v>0</v>
      </c>
      <c r="L134" s="1545">
        <f t="shared" si="117"/>
        <v>0</v>
      </c>
      <c r="M134" s="1545">
        <f t="shared" si="117"/>
        <v>0</v>
      </c>
      <c r="N134" s="1545">
        <f t="shared" si="117"/>
        <v>0</v>
      </c>
      <c r="O134" s="1545">
        <f t="shared" si="117"/>
        <v>0</v>
      </c>
      <c r="P134" s="1545">
        <f t="shared" si="117"/>
        <v>0</v>
      </c>
      <c r="Q134" s="1545"/>
      <c r="R134" s="1545"/>
      <c r="S134" s="1545"/>
      <c r="T134" s="1545"/>
      <c r="U134" s="1545"/>
      <c r="V134" s="1545"/>
      <c r="W134" s="1545"/>
      <c r="X134" s="3121"/>
      <c r="Y134" s="3115"/>
    </row>
    <row r="135" spans="1:26" ht="18" hidden="1" customHeight="1">
      <c r="A135" s="3112"/>
      <c r="B135" s="2850" t="s">
        <v>33</v>
      </c>
      <c r="C135" s="3119"/>
      <c r="D135" s="1547">
        <f>M135+O135+P135+Q135+R135+S135+T135+U135+V135+W135</f>
        <v>0</v>
      </c>
      <c r="E135" s="1548"/>
      <c r="F135" s="1548"/>
      <c r="G135" s="1548"/>
      <c r="H135" s="1548"/>
      <c r="I135" s="1548"/>
      <c r="J135" s="1548"/>
      <c r="K135" s="1548"/>
      <c r="L135" s="1548"/>
      <c r="M135" s="1548"/>
      <c r="N135" s="1548"/>
      <c r="O135" s="1548"/>
      <c r="P135" s="1548"/>
      <c r="Q135" s="1548"/>
      <c r="R135" s="1548"/>
      <c r="S135" s="1548"/>
      <c r="T135" s="1548"/>
      <c r="U135" s="1548"/>
      <c r="V135" s="1548"/>
      <c r="W135" s="1548"/>
      <c r="X135" s="3121"/>
      <c r="Y135" s="3115"/>
    </row>
    <row r="136" spans="1:26" ht="18" hidden="1" customHeight="1">
      <c r="A136" s="3112" t="s">
        <v>108</v>
      </c>
      <c r="B136" s="2845"/>
      <c r="C136" s="2846"/>
      <c r="D136" s="1543"/>
      <c r="E136" s="1543"/>
      <c r="F136" s="1543"/>
      <c r="G136" s="1543"/>
      <c r="H136" s="1543"/>
      <c r="I136" s="2847"/>
      <c r="J136" s="2847"/>
      <c r="K136" s="2847"/>
      <c r="L136" s="2847"/>
      <c r="M136" s="2847"/>
      <c r="N136" s="2847"/>
      <c r="O136" s="2847"/>
      <c r="P136" s="2847"/>
      <c r="Q136" s="2847"/>
      <c r="R136" s="2847"/>
      <c r="S136" s="2847"/>
      <c r="T136" s="2847"/>
      <c r="U136" s="2847"/>
      <c r="V136" s="2847"/>
      <c r="W136" s="2847"/>
      <c r="X136" s="2686"/>
      <c r="Y136" s="3114" t="s">
        <v>149</v>
      </c>
    </row>
    <row r="137" spans="1:26" ht="19.149999999999999" hidden="1" customHeight="1">
      <c r="A137" s="3112"/>
      <c r="B137" s="2806" t="s">
        <v>22</v>
      </c>
      <c r="C137" s="2766"/>
      <c r="D137" s="1549">
        <f t="shared" ref="D137:P137" si="118">+D138+D141</f>
        <v>0</v>
      </c>
      <c r="E137" s="1549">
        <f t="shared" si="118"/>
        <v>0</v>
      </c>
      <c r="F137" s="1549">
        <f t="shared" si="118"/>
        <v>0</v>
      </c>
      <c r="G137" s="1549">
        <f t="shared" si="118"/>
        <v>0</v>
      </c>
      <c r="H137" s="1549">
        <f t="shared" si="118"/>
        <v>0</v>
      </c>
      <c r="I137" s="1549">
        <f t="shared" si="118"/>
        <v>0</v>
      </c>
      <c r="J137" s="1549">
        <f t="shared" si="118"/>
        <v>0</v>
      </c>
      <c r="K137" s="1549">
        <f t="shared" si="118"/>
        <v>0</v>
      </c>
      <c r="L137" s="1549">
        <f t="shared" si="118"/>
        <v>0</v>
      </c>
      <c r="M137" s="1549">
        <f t="shared" ref="M137" si="119">+M138+M141</f>
        <v>0</v>
      </c>
      <c r="N137" s="1549">
        <f t="shared" si="118"/>
        <v>0</v>
      </c>
      <c r="O137" s="1549">
        <f t="shared" si="118"/>
        <v>0</v>
      </c>
      <c r="P137" s="1549">
        <f t="shared" si="118"/>
        <v>0</v>
      </c>
      <c r="Q137" s="1549"/>
      <c r="R137" s="1549"/>
      <c r="S137" s="1549"/>
      <c r="T137" s="1549"/>
      <c r="U137" s="1549"/>
      <c r="V137" s="1549"/>
      <c r="W137" s="1549"/>
      <c r="X137" s="1544">
        <f>+X138+X141</f>
        <v>0</v>
      </c>
      <c r="Y137" s="3114"/>
      <c r="Z137" s="1540">
        <f>+O137+P137+Q137+R137</f>
        <v>0</v>
      </c>
    </row>
    <row r="138" spans="1:26" ht="19.149999999999999" hidden="1" customHeight="1">
      <c r="A138" s="3112"/>
      <c r="B138" s="2844" t="s">
        <v>36</v>
      </c>
      <c r="C138" s="3116" t="s">
        <v>350</v>
      </c>
      <c r="D138" s="1546">
        <f t="shared" ref="D138:P138" si="120">+D139+D140</f>
        <v>0</v>
      </c>
      <c r="E138" s="1546">
        <f t="shared" si="120"/>
        <v>0</v>
      </c>
      <c r="F138" s="1546">
        <f t="shared" si="120"/>
        <v>0</v>
      </c>
      <c r="G138" s="1546">
        <f t="shared" si="120"/>
        <v>0</v>
      </c>
      <c r="H138" s="1546">
        <f t="shared" si="120"/>
        <v>0</v>
      </c>
      <c r="I138" s="1546">
        <f t="shared" si="120"/>
        <v>0</v>
      </c>
      <c r="J138" s="1546">
        <f t="shared" si="120"/>
        <v>0</v>
      </c>
      <c r="K138" s="1546">
        <f t="shared" si="120"/>
        <v>0</v>
      </c>
      <c r="L138" s="1546">
        <f t="shared" si="120"/>
        <v>0</v>
      </c>
      <c r="M138" s="1546">
        <f t="shared" ref="M138" si="121">+M139+M140</f>
        <v>0</v>
      </c>
      <c r="N138" s="1546">
        <f t="shared" si="120"/>
        <v>0</v>
      </c>
      <c r="O138" s="1546">
        <f t="shared" si="120"/>
        <v>0</v>
      </c>
      <c r="P138" s="1546">
        <f t="shared" si="120"/>
        <v>0</v>
      </c>
      <c r="Q138" s="1546"/>
      <c r="R138" s="1546"/>
      <c r="S138" s="1546"/>
      <c r="T138" s="1546"/>
      <c r="U138" s="1546"/>
      <c r="V138" s="1546"/>
      <c r="W138" s="1546"/>
      <c r="X138" s="1551">
        <f>+X139+X140</f>
        <v>0</v>
      </c>
      <c r="Y138" s="3114"/>
    </row>
    <row r="139" spans="1:26" ht="20.45" hidden="1" customHeight="1">
      <c r="A139" s="3112"/>
      <c r="B139" s="2809" t="s">
        <v>24</v>
      </c>
      <c r="C139" s="3117"/>
      <c r="D139" s="1547">
        <f t="shared" ref="D139" si="122">SUM(M139:R139)</f>
        <v>0</v>
      </c>
      <c r="E139" s="1548">
        <f>+F139+G139+H139</f>
        <v>0</v>
      </c>
      <c r="F139" s="1548"/>
      <c r="G139" s="1548"/>
      <c r="H139" s="1548"/>
      <c r="I139" s="1550"/>
      <c r="J139" s="1550"/>
      <c r="K139" s="1548"/>
      <c r="L139" s="1548"/>
      <c r="M139" s="1548">
        <f t="shared" ref="M139" si="123">+L139+K139+J139+I139+E139</f>
        <v>0</v>
      </c>
      <c r="N139" s="1548"/>
      <c r="O139" s="1548"/>
      <c r="P139" s="1548">
        <v>0</v>
      </c>
      <c r="Q139" s="1548"/>
      <c r="R139" s="1548"/>
      <c r="S139" s="1548"/>
      <c r="T139" s="1548"/>
      <c r="U139" s="1548"/>
      <c r="V139" s="1548"/>
      <c r="W139" s="1548"/>
      <c r="X139" s="2810">
        <f>SUM(P139:S139)</f>
        <v>0</v>
      </c>
      <c r="Y139" s="3114"/>
    </row>
    <row r="140" spans="1:26" ht="18.600000000000001" hidden="1" customHeight="1">
      <c r="A140" s="3112"/>
      <c r="B140" s="2809" t="s">
        <v>25</v>
      </c>
      <c r="C140" s="3117"/>
      <c r="D140" s="1547">
        <f>+E140+I140+J140+K140+L140+N140+O140</f>
        <v>0</v>
      </c>
      <c r="E140" s="1548">
        <f>+F140+G140+H140</f>
        <v>0</v>
      </c>
      <c r="F140" s="1548"/>
      <c r="G140" s="1548">
        <v>0</v>
      </c>
      <c r="H140" s="1550"/>
      <c r="I140" s="1550"/>
      <c r="J140" s="1550"/>
      <c r="K140" s="1548">
        <v>0</v>
      </c>
      <c r="L140" s="1548">
        <v>0</v>
      </c>
      <c r="M140" s="1548"/>
      <c r="N140" s="1548">
        <v>0</v>
      </c>
      <c r="O140" s="1548">
        <v>0</v>
      </c>
      <c r="P140" s="1548">
        <v>0</v>
      </c>
      <c r="Q140" s="1548"/>
      <c r="R140" s="1548"/>
      <c r="S140" s="1548"/>
      <c r="T140" s="1548"/>
      <c r="U140" s="1548"/>
      <c r="V140" s="1548"/>
      <c r="W140" s="1548"/>
      <c r="X140" s="2810">
        <f>SUM(O140:R140)</f>
        <v>0</v>
      </c>
      <c r="Y140" s="3114"/>
    </row>
    <row r="141" spans="1:26" ht="18" hidden="1" customHeight="1">
      <c r="A141" s="3112"/>
      <c r="B141" s="2807" t="s">
        <v>30</v>
      </c>
      <c r="C141" s="3117"/>
      <c r="D141" s="1545">
        <f>+D142</f>
        <v>0</v>
      </c>
      <c r="E141" s="1545">
        <f t="shared" ref="E141:X141" si="124">+E142</f>
        <v>0</v>
      </c>
      <c r="F141" s="1545">
        <f t="shared" si="124"/>
        <v>0</v>
      </c>
      <c r="G141" s="1545">
        <f t="shared" si="124"/>
        <v>0</v>
      </c>
      <c r="H141" s="1545">
        <f t="shared" si="124"/>
        <v>0</v>
      </c>
      <c r="I141" s="1545">
        <f t="shared" si="124"/>
        <v>0</v>
      </c>
      <c r="J141" s="1545">
        <f t="shared" si="124"/>
        <v>0</v>
      </c>
      <c r="K141" s="1545">
        <f t="shared" si="124"/>
        <v>0</v>
      </c>
      <c r="L141" s="1545">
        <f t="shared" si="124"/>
        <v>0</v>
      </c>
      <c r="M141" s="1545">
        <f t="shared" si="124"/>
        <v>0</v>
      </c>
      <c r="N141" s="1545">
        <f t="shared" si="124"/>
        <v>0</v>
      </c>
      <c r="O141" s="1545">
        <f t="shared" si="124"/>
        <v>0</v>
      </c>
      <c r="P141" s="1545">
        <f t="shared" si="124"/>
        <v>0</v>
      </c>
      <c r="Q141" s="1545"/>
      <c r="R141" s="1545"/>
      <c r="S141" s="1545"/>
      <c r="T141" s="1545"/>
      <c r="U141" s="1545"/>
      <c r="V141" s="1545"/>
      <c r="W141" s="1545"/>
      <c r="X141" s="2580">
        <f t="shared" si="124"/>
        <v>0</v>
      </c>
      <c r="Y141" s="3114"/>
    </row>
    <row r="142" spans="1:26" ht="16.149999999999999" hidden="1" customHeight="1">
      <c r="A142" s="3112"/>
      <c r="B142" s="2809" t="s">
        <v>33</v>
      </c>
      <c r="C142" s="3117"/>
      <c r="D142" s="1547">
        <f t="shared" ref="D142" si="125">SUM(M142:R142)</f>
        <v>0</v>
      </c>
      <c r="E142" s="1548">
        <f>+F142+G142+H142</f>
        <v>0</v>
      </c>
      <c r="F142" s="1548"/>
      <c r="G142" s="1548"/>
      <c r="H142" s="1548"/>
      <c r="I142" s="1550"/>
      <c r="J142" s="1550"/>
      <c r="K142" s="1548"/>
      <c r="L142" s="1548"/>
      <c r="M142" s="1548">
        <f t="shared" ref="M142" si="126">+L142+K142+J142+I142+E142</f>
        <v>0</v>
      </c>
      <c r="N142" s="1548"/>
      <c r="O142" s="1548"/>
      <c r="P142" s="1548">
        <v>0</v>
      </c>
      <c r="Q142" s="1548"/>
      <c r="R142" s="1548"/>
      <c r="S142" s="1548"/>
      <c r="T142" s="1548"/>
      <c r="U142" s="1548"/>
      <c r="V142" s="1548"/>
      <c r="W142" s="1548"/>
      <c r="X142" s="2810">
        <f>SUM(P142:S142)</f>
        <v>0</v>
      </c>
      <c r="Y142" s="3114"/>
    </row>
    <row r="143" spans="1:26" ht="22.15" hidden="1" customHeight="1">
      <c r="A143" s="3112"/>
      <c r="B143" s="2806" t="s">
        <v>34</v>
      </c>
      <c r="C143" s="2766"/>
      <c r="D143" s="2572">
        <f t="shared" ref="D143:L143" si="127">+D144+D146</f>
        <v>0</v>
      </c>
      <c r="E143" s="2572">
        <f t="shared" si="127"/>
        <v>0</v>
      </c>
      <c r="F143" s="2572">
        <f t="shared" si="127"/>
        <v>0</v>
      </c>
      <c r="G143" s="2572">
        <f t="shared" si="127"/>
        <v>0</v>
      </c>
      <c r="H143" s="2572">
        <f t="shared" si="127"/>
        <v>0</v>
      </c>
      <c r="I143" s="2572">
        <f t="shared" si="127"/>
        <v>0</v>
      </c>
      <c r="J143" s="2572">
        <f t="shared" si="127"/>
        <v>0</v>
      </c>
      <c r="K143" s="2572">
        <f t="shared" si="127"/>
        <v>0</v>
      </c>
      <c r="L143" s="2572">
        <f t="shared" si="127"/>
        <v>0</v>
      </c>
      <c r="M143" s="2572">
        <f t="shared" ref="M143" si="128">+M144+M146</f>
        <v>0</v>
      </c>
      <c r="N143" s="2572">
        <f>+N144+N146</f>
        <v>0</v>
      </c>
      <c r="O143" s="2572">
        <f>+O144+O146</f>
        <v>0</v>
      </c>
      <c r="P143" s="2572">
        <f>+P144+P146</f>
        <v>0</v>
      </c>
      <c r="Q143" s="2572"/>
      <c r="R143" s="2572"/>
      <c r="S143" s="2572"/>
      <c r="T143" s="2572"/>
      <c r="U143" s="2572"/>
      <c r="V143" s="2572"/>
      <c r="W143" s="2572"/>
      <c r="X143" s="3121" t="s">
        <v>77</v>
      </c>
      <c r="Y143" s="3115"/>
    </row>
    <row r="144" spans="1:26" ht="22.15" hidden="1" customHeight="1">
      <c r="A144" s="3112"/>
      <c r="B144" s="2844" t="s">
        <v>36</v>
      </c>
      <c r="C144" s="3118" t="s">
        <v>351</v>
      </c>
      <c r="D144" s="1545">
        <f t="shared" ref="D144:P144" si="129">+D145</f>
        <v>0</v>
      </c>
      <c r="E144" s="1545">
        <f t="shared" si="129"/>
        <v>0</v>
      </c>
      <c r="F144" s="1545">
        <f t="shared" si="129"/>
        <v>0</v>
      </c>
      <c r="G144" s="1545">
        <f t="shared" si="129"/>
        <v>0</v>
      </c>
      <c r="H144" s="1545">
        <f t="shared" si="129"/>
        <v>0</v>
      </c>
      <c r="I144" s="1545">
        <f t="shared" si="129"/>
        <v>0</v>
      </c>
      <c r="J144" s="1545">
        <f t="shared" si="129"/>
        <v>0</v>
      </c>
      <c r="K144" s="1545">
        <f t="shared" si="129"/>
        <v>0</v>
      </c>
      <c r="L144" s="1545">
        <f t="shared" si="129"/>
        <v>0</v>
      </c>
      <c r="M144" s="1545">
        <f t="shared" si="129"/>
        <v>0</v>
      </c>
      <c r="N144" s="1545">
        <f t="shared" si="129"/>
        <v>0</v>
      </c>
      <c r="O144" s="1545">
        <f t="shared" si="129"/>
        <v>0</v>
      </c>
      <c r="P144" s="1545">
        <f t="shared" si="129"/>
        <v>0</v>
      </c>
      <c r="Q144" s="1545"/>
      <c r="R144" s="1545"/>
      <c r="S144" s="1545"/>
      <c r="T144" s="1545"/>
      <c r="U144" s="1545"/>
      <c r="V144" s="1545"/>
      <c r="W144" s="1545"/>
      <c r="X144" s="3121"/>
      <c r="Y144" s="3115"/>
    </row>
    <row r="145" spans="1:25" ht="21" hidden="1" customHeight="1">
      <c r="A145" s="3112"/>
      <c r="B145" s="2809" t="s">
        <v>25</v>
      </c>
      <c r="C145" s="3117"/>
      <c r="D145" s="1547">
        <f>+E145+I145+J145+K145+L145+N145+O145</f>
        <v>0</v>
      </c>
      <c r="E145" s="1548">
        <f>+F145+G145+H145</f>
        <v>0</v>
      </c>
      <c r="F145" s="1547"/>
      <c r="G145" s="1547"/>
      <c r="H145" s="1547"/>
      <c r="I145" s="1547"/>
      <c r="J145" s="1547"/>
      <c r="K145" s="1547">
        <v>0</v>
      </c>
      <c r="L145" s="1547">
        <v>0</v>
      </c>
      <c r="M145" s="1547">
        <v>0</v>
      </c>
      <c r="N145" s="1547">
        <v>0</v>
      </c>
      <c r="O145" s="1547">
        <v>0</v>
      </c>
      <c r="P145" s="1547">
        <v>0</v>
      </c>
      <c r="Q145" s="1547"/>
      <c r="R145" s="1547"/>
      <c r="S145" s="1547"/>
      <c r="T145" s="1547"/>
      <c r="U145" s="1547"/>
      <c r="V145" s="1547"/>
      <c r="W145" s="1547"/>
      <c r="X145" s="3121"/>
      <c r="Y145" s="3115"/>
    </row>
    <row r="146" spans="1:25" ht="20.45" hidden="1" customHeight="1">
      <c r="A146" s="3112"/>
      <c r="B146" s="2807" t="s">
        <v>30</v>
      </c>
      <c r="C146" s="3119"/>
      <c r="D146" s="1545">
        <f t="shared" ref="D146:P146" si="130">+D147</f>
        <v>0</v>
      </c>
      <c r="E146" s="1545">
        <f t="shared" si="130"/>
        <v>0</v>
      </c>
      <c r="F146" s="1545">
        <f t="shared" si="130"/>
        <v>0</v>
      </c>
      <c r="G146" s="1545">
        <f t="shared" si="130"/>
        <v>0</v>
      </c>
      <c r="H146" s="1545">
        <f t="shared" si="130"/>
        <v>0</v>
      </c>
      <c r="I146" s="1545">
        <f t="shared" si="130"/>
        <v>0</v>
      </c>
      <c r="J146" s="1545">
        <f t="shared" si="130"/>
        <v>0</v>
      </c>
      <c r="K146" s="1545">
        <f t="shared" si="130"/>
        <v>0</v>
      </c>
      <c r="L146" s="1545">
        <f t="shared" si="130"/>
        <v>0</v>
      </c>
      <c r="M146" s="1545">
        <f t="shared" si="130"/>
        <v>0</v>
      </c>
      <c r="N146" s="1545">
        <f t="shared" si="130"/>
        <v>0</v>
      </c>
      <c r="O146" s="1545">
        <f t="shared" si="130"/>
        <v>0</v>
      </c>
      <c r="P146" s="1545">
        <f t="shared" si="130"/>
        <v>0</v>
      </c>
      <c r="Q146" s="1545"/>
      <c r="R146" s="1545"/>
      <c r="S146" s="1545"/>
      <c r="T146" s="1545"/>
      <c r="U146" s="1545"/>
      <c r="V146" s="1545"/>
      <c r="W146" s="1545"/>
      <c r="X146" s="3121"/>
      <c r="Y146" s="3115"/>
    </row>
    <row r="147" spans="1:25" ht="21.6" hidden="1" customHeight="1">
      <c r="A147" s="3112"/>
      <c r="B147" s="2813" t="s">
        <v>33</v>
      </c>
      <c r="C147" s="3119"/>
      <c r="D147" s="1547">
        <f>SUM(M147:R147)</f>
        <v>0</v>
      </c>
      <c r="E147" s="1548">
        <f>+F147+G147+H147</f>
        <v>0</v>
      </c>
      <c r="F147" s="1548"/>
      <c r="G147" s="1548"/>
      <c r="H147" s="1548"/>
      <c r="I147" s="1548"/>
      <c r="J147" s="1548"/>
      <c r="K147" s="1548">
        <v>0</v>
      </c>
      <c r="L147" s="1548"/>
      <c r="M147" s="1548">
        <f>+L147+K147+J147+I147+E147</f>
        <v>0</v>
      </c>
      <c r="N147" s="1548"/>
      <c r="O147" s="1548">
        <v>0</v>
      </c>
      <c r="P147" s="1548">
        <v>0</v>
      </c>
      <c r="Q147" s="1548"/>
      <c r="R147" s="1548"/>
      <c r="S147" s="1548"/>
      <c r="T147" s="1548"/>
      <c r="U147" s="1548"/>
      <c r="V147" s="1548"/>
      <c r="W147" s="1548"/>
      <c r="X147" s="3121"/>
      <c r="Y147" s="3115"/>
    </row>
    <row r="148" spans="1:25" ht="27" customHeight="1">
      <c r="A148" s="3129" t="s">
        <v>81</v>
      </c>
      <c r="B148" s="2851" t="s">
        <v>453</v>
      </c>
      <c r="C148" s="2852" t="s">
        <v>130</v>
      </c>
      <c r="D148" s="2300"/>
      <c r="E148" s="2300"/>
      <c r="F148" s="2300"/>
      <c r="G148" s="2300"/>
      <c r="H148" s="2300"/>
      <c r="I148" s="2853"/>
      <c r="J148" s="2853"/>
      <c r="K148" s="2853"/>
      <c r="L148" s="2853"/>
      <c r="M148" s="2853"/>
      <c r="N148" s="2853"/>
      <c r="O148" s="2853"/>
      <c r="P148" s="2853"/>
      <c r="Q148" s="2853"/>
      <c r="R148" s="2853"/>
      <c r="S148" s="2853"/>
      <c r="T148" s="2853"/>
      <c r="U148" s="2853"/>
      <c r="V148" s="2853"/>
      <c r="W148" s="2853"/>
      <c r="X148" s="2409"/>
      <c r="Y148" s="3179" t="s">
        <v>541</v>
      </c>
    </row>
    <row r="149" spans="1:25" ht="12" customHeight="1">
      <c r="A149" s="3129"/>
      <c r="B149" s="2854" t="s">
        <v>22</v>
      </c>
      <c r="C149" s="2855"/>
      <c r="D149" s="2474">
        <f t="shared" ref="D149:R149" si="131">+D150+D153</f>
        <v>4954868</v>
      </c>
      <c r="E149" s="2474">
        <f t="shared" si="131"/>
        <v>0</v>
      </c>
      <c r="F149" s="2474">
        <f t="shared" si="131"/>
        <v>0</v>
      </c>
      <c r="G149" s="2474">
        <f t="shared" si="131"/>
        <v>0</v>
      </c>
      <c r="H149" s="2474">
        <f t="shared" si="131"/>
        <v>0</v>
      </c>
      <c r="I149" s="2474">
        <f t="shared" si="131"/>
        <v>0</v>
      </c>
      <c r="J149" s="2474">
        <f t="shared" si="131"/>
        <v>0</v>
      </c>
      <c r="K149" s="2474">
        <f t="shared" si="131"/>
        <v>0</v>
      </c>
      <c r="L149" s="2474">
        <f t="shared" si="131"/>
        <v>0</v>
      </c>
      <c r="M149" s="2474">
        <f t="shared" si="131"/>
        <v>0</v>
      </c>
      <c r="N149" s="2474">
        <f t="shared" si="131"/>
        <v>0</v>
      </c>
      <c r="O149" s="2474">
        <f t="shared" si="131"/>
        <v>448847</v>
      </c>
      <c r="P149" s="2474">
        <f t="shared" si="131"/>
        <v>1718021</v>
      </c>
      <c r="Q149" s="2474">
        <f t="shared" si="131"/>
        <v>1394000</v>
      </c>
      <c r="R149" s="2474">
        <f t="shared" si="131"/>
        <v>1394000</v>
      </c>
      <c r="S149" s="2474"/>
      <c r="T149" s="2474"/>
      <c r="U149" s="2474"/>
      <c r="V149" s="2474"/>
      <c r="W149" s="2474"/>
      <c r="X149" s="2383">
        <f t="shared" ref="X149" si="132">+X150+X153</f>
        <v>4506021</v>
      </c>
      <c r="Y149" s="3179"/>
    </row>
    <row r="150" spans="1:25" ht="12" customHeight="1">
      <c r="A150" s="3129"/>
      <c r="B150" s="2856" t="s">
        <v>36</v>
      </c>
      <c r="C150" s="3182" t="s">
        <v>150</v>
      </c>
      <c r="D150" s="2401">
        <f t="shared" ref="D150:R150" si="133">+D151+D152</f>
        <v>778906</v>
      </c>
      <c r="E150" s="2401">
        <f t="shared" si="133"/>
        <v>0</v>
      </c>
      <c r="F150" s="2401">
        <f t="shared" si="133"/>
        <v>0</v>
      </c>
      <c r="G150" s="2401">
        <f t="shared" si="133"/>
        <v>0</v>
      </c>
      <c r="H150" s="2401">
        <f t="shared" si="133"/>
        <v>0</v>
      </c>
      <c r="I150" s="2401">
        <f t="shared" si="133"/>
        <v>0</v>
      </c>
      <c r="J150" s="2401">
        <f t="shared" si="133"/>
        <v>0</v>
      </c>
      <c r="K150" s="2401">
        <f t="shared" si="133"/>
        <v>0</v>
      </c>
      <c r="L150" s="2401">
        <f t="shared" si="133"/>
        <v>0</v>
      </c>
      <c r="M150" s="2401">
        <f t="shared" si="133"/>
        <v>0</v>
      </c>
      <c r="N150" s="2401">
        <f t="shared" si="133"/>
        <v>0</v>
      </c>
      <c r="O150" s="2401">
        <f t="shared" si="133"/>
        <v>70559</v>
      </c>
      <c r="P150" s="2401">
        <f t="shared" si="133"/>
        <v>270073</v>
      </c>
      <c r="Q150" s="2401">
        <f t="shared" si="133"/>
        <v>219137</v>
      </c>
      <c r="R150" s="2401">
        <f t="shared" si="133"/>
        <v>219137</v>
      </c>
      <c r="S150" s="2401"/>
      <c r="T150" s="2401"/>
      <c r="U150" s="2401"/>
      <c r="V150" s="2401"/>
      <c r="W150" s="2401"/>
      <c r="X150" s="2309">
        <f t="shared" ref="X150" si="134">+X151+X152</f>
        <v>708347</v>
      </c>
      <c r="Y150" s="3179"/>
    </row>
    <row r="151" spans="1:25" ht="12" customHeight="1">
      <c r="A151" s="3129"/>
      <c r="B151" s="2857" t="s">
        <v>24</v>
      </c>
      <c r="C151" s="3183"/>
      <c r="D151" s="2392">
        <f>M151+O151+P151+Q151+R151+S151+T151+U151+V151+W151</f>
        <v>778906</v>
      </c>
      <c r="E151" s="2312"/>
      <c r="F151" s="2312"/>
      <c r="G151" s="2312"/>
      <c r="H151" s="2336"/>
      <c r="I151" s="2336"/>
      <c r="J151" s="2336"/>
      <c r="K151" s="2312"/>
      <c r="L151" s="2312"/>
      <c r="M151" s="2312">
        <f t="shared" ref="M151" si="135">+L151+K151+J151+I151+E151</f>
        <v>0</v>
      </c>
      <c r="N151" s="2336"/>
      <c r="O151" s="2312">
        <f>257772-123006-64207</f>
        <v>70559</v>
      </c>
      <c r="P151" s="2312">
        <f>219137+50946-10</f>
        <v>270073</v>
      </c>
      <c r="Q151" s="2312">
        <v>219137</v>
      </c>
      <c r="R151" s="2312">
        <v>219137</v>
      </c>
      <c r="S151" s="2312"/>
      <c r="T151" s="2312"/>
      <c r="U151" s="2312"/>
      <c r="V151" s="2312"/>
      <c r="W151" s="2312"/>
      <c r="X151" s="2858">
        <f>SUM(P151:T151)</f>
        <v>708347</v>
      </c>
      <c r="Y151" s="3179"/>
    </row>
    <row r="152" spans="1:25" ht="12" hidden="1" customHeight="1">
      <c r="A152" s="3129"/>
      <c r="B152" s="2857" t="s">
        <v>25</v>
      </c>
      <c r="C152" s="3183"/>
      <c r="D152" s="2392"/>
      <c r="E152" s="2312"/>
      <c r="F152" s="2312"/>
      <c r="G152" s="2312"/>
      <c r="H152" s="2336"/>
      <c r="I152" s="2336"/>
      <c r="J152" s="2336"/>
      <c r="K152" s="2312"/>
      <c r="L152" s="2312"/>
      <c r="M152" s="2312"/>
      <c r="N152" s="2312"/>
      <c r="O152" s="2312">
        <v>0</v>
      </c>
      <c r="P152" s="2312">
        <v>0</v>
      </c>
      <c r="Q152" s="2312"/>
      <c r="R152" s="2312"/>
      <c r="S152" s="2312"/>
      <c r="T152" s="2312"/>
      <c r="U152" s="2312"/>
      <c r="V152" s="2312"/>
      <c r="W152" s="2312"/>
      <c r="X152" s="2858">
        <f>SUM(O152:R152)</f>
        <v>0</v>
      </c>
      <c r="Y152" s="3179"/>
    </row>
    <row r="153" spans="1:25" ht="12" customHeight="1">
      <c r="A153" s="3129"/>
      <c r="B153" s="2859" t="s">
        <v>30</v>
      </c>
      <c r="C153" s="3183"/>
      <c r="D153" s="2391">
        <f>+D154</f>
        <v>4175962</v>
      </c>
      <c r="E153" s="2391">
        <f t="shared" ref="E153:R153" si="136">+E154</f>
        <v>0</v>
      </c>
      <c r="F153" s="2391">
        <f t="shared" si="136"/>
        <v>0</v>
      </c>
      <c r="G153" s="2391">
        <f t="shared" si="136"/>
        <v>0</v>
      </c>
      <c r="H153" s="2391">
        <f t="shared" si="136"/>
        <v>0</v>
      </c>
      <c r="I153" s="2391">
        <f t="shared" si="136"/>
        <v>0</v>
      </c>
      <c r="J153" s="2391">
        <f t="shared" si="136"/>
        <v>0</v>
      </c>
      <c r="K153" s="2391">
        <f t="shared" si="136"/>
        <v>0</v>
      </c>
      <c r="L153" s="2391">
        <f t="shared" si="136"/>
        <v>0</v>
      </c>
      <c r="M153" s="2391">
        <f t="shared" si="136"/>
        <v>0</v>
      </c>
      <c r="N153" s="2391">
        <f t="shared" si="136"/>
        <v>0</v>
      </c>
      <c r="O153" s="2391">
        <f t="shared" si="136"/>
        <v>378288</v>
      </c>
      <c r="P153" s="2391">
        <f t="shared" si="136"/>
        <v>1447948</v>
      </c>
      <c r="Q153" s="2391">
        <f t="shared" si="136"/>
        <v>1174863</v>
      </c>
      <c r="R153" s="2391">
        <f t="shared" si="136"/>
        <v>1174863</v>
      </c>
      <c r="S153" s="2391"/>
      <c r="T153" s="2391"/>
      <c r="U153" s="2391"/>
      <c r="V153" s="2391"/>
      <c r="W153" s="2391"/>
      <c r="X153" s="2860">
        <f t="shared" ref="X153" si="137">+X154</f>
        <v>3797674</v>
      </c>
      <c r="Y153" s="3179"/>
    </row>
    <row r="154" spans="1:25" ht="11.25" customHeight="1">
      <c r="A154" s="3129"/>
      <c r="B154" s="2857" t="s">
        <v>33</v>
      </c>
      <c r="C154" s="3183"/>
      <c r="D154" s="2392">
        <f>M154+O154+P154+Q154+R154+S154+T154+U154+V154+W154</f>
        <v>4175962</v>
      </c>
      <c r="E154" s="2312"/>
      <c r="F154" s="2312"/>
      <c r="G154" s="2312"/>
      <c r="H154" s="2336"/>
      <c r="I154" s="2336"/>
      <c r="J154" s="2336"/>
      <c r="K154" s="2312"/>
      <c r="L154" s="2312"/>
      <c r="M154" s="2312">
        <f t="shared" ref="M154" si="138">+L154+K154+J154+I154+E154</f>
        <v>0</v>
      </c>
      <c r="N154" s="2312"/>
      <c r="O154" s="2312">
        <f>1382000-659477-344235</f>
        <v>378288</v>
      </c>
      <c r="P154" s="2312">
        <f>1174863+273137-52</f>
        <v>1447948</v>
      </c>
      <c r="Q154" s="2312">
        <v>1174863</v>
      </c>
      <c r="R154" s="2312">
        <v>1174863</v>
      </c>
      <c r="S154" s="2312"/>
      <c r="T154" s="2312"/>
      <c r="U154" s="2312"/>
      <c r="V154" s="2312"/>
      <c r="W154" s="2312"/>
      <c r="X154" s="2858">
        <f>SUM(P154:T154)</f>
        <v>3797674</v>
      </c>
      <c r="Y154" s="3179"/>
    </row>
    <row r="155" spans="1:25" ht="12" customHeight="1">
      <c r="A155" s="3129"/>
      <c r="B155" s="2854" t="s">
        <v>34</v>
      </c>
      <c r="C155" s="2855"/>
      <c r="D155" s="2861">
        <f t="shared" ref="D155:M155" si="139">+D156+D158</f>
        <v>4175962</v>
      </c>
      <c r="E155" s="2861">
        <f t="shared" si="139"/>
        <v>0</v>
      </c>
      <c r="F155" s="2861">
        <f t="shared" si="139"/>
        <v>0</v>
      </c>
      <c r="G155" s="2861">
        <f t="shared" si="139"/>
        <v>0</v>
      </c>
      <c r="H155" s="2861">
        <f t="shared" si="139"/>
        <v>0</v>
      </c>
      <c r="I155" s="2861">
        <f t="shared" si="139"/>
        <v>0</v>
      </c>
      <c r="J155" s="2861">
        <f t="shared" si="139"/>
        <v>0</v>
      </c>
      <c r="K155" s="2861">
        <f t="shared" si="139"/>
        <v>0</v>
      </c>
      <c r="L155" s="2861">
        <f t="shared" si="139"/>
        <v>0</v>
      </c>
      <c r="M155" s="2861">
        <f t="shared" si="139"/>
        <v>0</v>
      </c>
      <c r="N155" s="2861">
        <f>+N156+N158</f>
        <v>0</v>
      </c>
      <c r="O155" s="2861">
        <f>+O156+O158</f>
        <v>378288</v>
      </c>
      <c r="P155" s="2861">
        <f>+P156+P158</f>
        <v>1447948</v>
      </c>
      <c r="Q155" s="2861">
        <f>+Q156+Q158</f>
        <v>1174863</v>
      </c>
      <c r="R155" s="2861">
        <f>+R156+R158</f>
        <v>1174863</v>
      </c>
      <c r="S155" s="2861"/>
      <c r="T155" s="2861"/>
      <c r="U155" s="2861"/>
      <c r="V155" s="2861"/>
      <c r="W155" s="2861"/>
      <c r="X155" s="3186" t="s">
        <v>77</v>
      </c>
      <c r="Y155" s="3180"/>
    </row>
    <row r="156" spans="1:25" ht="12" hidden="1" customHeight="1">
      <c r="A156" s="3129"/>
      <c r="B156" s="2856" t="s">
        <v>36</v>
      </c>
      <c r="C156" s="3184" t="s">
        <v>150</v>
      </c>
      <c r="D156" s="2391">
        <f t="shared" ref="D156:R156" si="140">+D157</f>
        <v>0</v>
      </c>
      <c r="E156" s="2391">
        <f t="shared" si="140"/>
        <v>0</v>
      </c>
      <c r="F156" s="2391">
        <f t="shared" si="140"/>
        <v>0</v>
      </c>
      <c r="G156" s="2391">
        <f t="shared" si="140"/>
        <v>0</v>
      </c>
      <c r="H156" s="2391">
        <f t="shared" si="140"/>
        <v>0</v>
      </c>
      <c r="I156" s="2391">
        <f t="shared" si="140"/>
        <v>0</v>
      </c>
      <c r="J156" s="2391">
        <f t="shared" si="140"/>
        <v>0</v>
      </c>
      <c r="K156" s="2391">
        <f t="shared" si="140"/>
        <v>0</v>
      </c>
      <c r="L156" s="2391">
        <f t="shared" si="140"/>
        <v>0</v>
      </c>
      <c r="M156" s="2391">
        <f t="shared" si="140"/>
        <v>0</v>
      </c>
      <c r="N156" s="2391">
        <f t="shared" si="140"/>
        <v>0</v>
      </c>
      <c r="O156" s="2391">
        <f t="shared" si="140"/>
        <v>0</v>
      </c>
      <c r="P156" s="2391">
        <f t="shared" si="140"/>
        <v>0</v>
      </c>
      <c r="Q156" s="2391">
        <f t="shared" si="140"/>
        <v>0</v>
      </c>
      <c r="R156" s="2391">
        <f t="shared" si="140"/>
        <v>0</v>
      </c>
      <c r="S156" s="2391"/>
      <c r="T156" s="2391"/>
      <c r="U156" s="2391"/>
      <c r="V156" s="2391"/>
      <c r="W156" s="2391"/>
      <c r="X156" s="3186"/>
      <c r="Y156" s="3180"/>
    </row>
    <row r="157" spans="1:25" ht="12" hidden="1" customHeight="1">
      <c r="A157" s="3129"/>
      <c r="B157" s="2857" t="s">
        <v>25</v>
      </c>
      <c r="C157" s="3183"/>
      <c r="D157" s="2392"/>
      <c r="E157" s="2312"/>
      <c r="F157" s="2392"/>
      <c r="G157" s="2392"/>
      <c r="H157" s="2392"/>
      <c r="I157" s="2392"/>
      <c r="J157" s="2392"/>
      <c r="K157" s="2392"/>
      <c r="L157" s="2392">
        <v>0</v>
      </c>
      <c r="M157" s="2392">
        <v>0</v>
      </c>
      <c r="N157" s="2392">
        <v>0</v>
      </c>
      <c r="O157" s="2392">
        <v>0</v>
      </c>
      <c r="P157" s="2392">
        <v>0</v>
      </c>
      <c r="Q157" s="2392"/>
      <c r="R157" s="2392"/>
      <c r="S157" s="2392"/>
      <c r="T157" s="2392"/>
      <c r="U157" s="2392"/>
      <c r="V157" s="2392"/>
      <c r="W157" s="2392"/>
      <c r="X157" s="3186"/>
      <c r="Y157" s="3180"/>
    </row>
    <row r="158" spans="1:25" ht="12" customHeight="1">
      <c r="A158" s="3129"/>
      <c r="B158" s="2859" t="s">
        <v>30</v>
      </c>
      <c r="C158" s="3185"/>
      <c r="D158" s="2391">
        <f t="shared" ref="D158:R158" si="141">+D159</f>
        <v>4175962</v>
      </c>
      <c r="E158" s="2391">
        <f t="shared" si="141"/>
        <v>0</v>
      </c>
      <c r="F158" s="2391">
        <f t="shared" si="141"/>
        <v>0</v>
      </c>
      <c r="G158" s="2391">
        <f t="shared" si="141"/>
        <v>0</v>
      </c>
      <c r="H158" s="2391">
        <f t="shared" si="141"/>
        <v>0</v>
      </c>
      <c r="I158" s="2391">
        <f t="shared" si="141"/>
        <v>0</v>
      </c>
      <c r="J158" s="2391">
        <f t="shared" si="141"/>
        <v>0</v>
      </c>
      <c r="K158" s="2391">
        <f t="shared" si="141"/>
        <v>0</v>
      </c>
      <c r="L158" s="2391">
        <f t="shared" si="141"/>
        <v>0</v>
      </c>
      <c r="M158" s="2391">
        <f t="shared" si="141"/>
        <v>0</v>
      </c>
      <c r="N158" s="2391">
        <f t="shared" si="141"/>
        <v>0</v>
      </c>
      <c r="O158" s="2391">
        <f t="shared" si="141"/>
        <v>378288</v>
      </c>
      <c r="P158" s="2391">
        <f t="shared" si="141"/>
        <v>1447948</v>
      </c>
      <c r="Q158" s="2391">
        <f t="shared" si="141"/>
        <v>1174863</v>
      </c>
      <c r="R158" s="2391">
        <f t="shared" si="141"/>
        <v>1174863</v>
      </c>
      <c r="S158" s="2391"/>
      <c r="T158" s="2391"/>
      <c r="U158" s="2391"/>
      <c r="V158" s="2391"/>
      <c r="W158" s="2391"/>
      <c r="X158" s="3186"/>
      <c r="Y158" s="3180"/>
    </row>
    <row r="159" spans="1:25" ht="12" customHeight="1" thickBot="1">
      <c r="A159" s="3178"/>
      <c r="B159" s="2862" t="s">
        <v>33</v>
      </c>
      <c r="C159" s="3133"/>
      <c r="D159" s="534">
        <f>M159+O159+P159+Q159+R159+S159+T159+U159+V159+W159</f>
        <v>4175962</v>
      </c>
      <c r="E159" s="491">
        <v>0</v>
      </c>
      <c r="F159" s="491"/>
      <c r="G159" s="491"/>
      <c r="H159" s="491"/>
      <c r="I159" s="491">
        <v>0</v>
      </c>
      <c r="J159" s="491">
        <v>0</v>
      </c>
      <c r="K159" s="491">
        <v>0</v>
      </c>
      <c r="L159" s="491">
        <v>0</v>
      </c>
      <c r="M159" s="491">
        <f>+L159+K159+J159+I159+E159</f>
        <v>0</v>
      </c>
      <c r="N159" s="491">
        <v>0</v>
      </c>
      <c r="O159" s="491">
        <f>1382000-659477-344235</f>
        <v>378288</v>
      </c>
      <c r="P159" s="491">
        <f>1174863+273137-52</f>
        <v>1447948</v>
      </c>
      <c r="Q159" s="491">
        <v>1174863</v>
      </c>
      <c r="R159" s="491">
        <v>1174863</v>
      </c>
      <c r="S159" s="491"/>
      <c r="T159" s="491"/>
      <c r="U159" s="491"/>
      <c r="V159" s="491"/>
      <c r="W159" s="491"/>
      <c r="X159" s="3134"/>
      <c r="Y159" s="3181"/>
    </row>
    <row r="160" spans="1:25" ht="28.5" customHeight="1">
      <c r="A160" s="3123" t="s">
        <v>82</v>
      </c>
      <c r="B160" s="2802" t="s">
        <v>454</v>
      </c>
      <c r="C160" s="2803" t="s">
        <v>98</v>
      </c>
      <c r="D160" s="523"/>
      <c r="E160" s="523"/>
      <c r="F160" s="523"/>
      <c r="G160" s="523"/>
      <c r="H160" s="523"/>
      <c r="I160" s="524"/>
      <c r="J160" s="524"/>
      <c r="K160" s="524"/>
      <c r="L160" s="524"/>
      <c r="M160" s="524"/>
      <c r="N160" s="524"/>
      <c r="O160" s="524"/>
      <c r="P160" s="524"/>
      <c r="Q160" s="524"/>
      <c r="R160" s="524"/>
      <c r="S160" s="524"/>
      <c r="T160" s="524"/>
      <c r="U160" s="524"/>
      <c r="V160" s="524"/>
      <c r="W160" s="524"/>
      <c r="X160" s="2805"/>
      <c r="Y160" s="3124" t="s">
        <v>542</v>
      </c>
    </row>
    <row r="161" spans="1:27" ht="12" customHeight="1">
      <c r="A161" s="3129"/>
      <c r="B161" s="2806" t="s">
        <v>22</v>
      </c>
      <c r="C161" s="2766"/>
      <c r="D161" s="1549">
        <f t="shared" ref="D161:P161" si="142">+D162+D165</f>
        <v>20171</v>
      </c>
      <c r="E161" s="1549">
        <f t="shared" si="142"/>
        <v>0</v>
      </c>
      <c r="F161" s="1549">
        <f t="shared" si="142"/>
        <v>0</v>
      </c>
      <c r="G161" s="1549">
        <f t="shared" si="142"/>
        <v>0</v>
      </c>
      <c r="H161" s="1549">
        <f t="shared" si="142"/>
        <v>0</v>
      </c>
      <c r="I161" s="1549">
        <f t="shared" si="142"/>
        <v>0</v>
      </c>
      <c r="J161" s="1549">
        <f t="shared" si="142"/>
        <v>0</v>
      </c>
      <c r="K161" s="1549">
        <f t="shared" si="142"/>
        <v>0</v>
      </c>
      <c r="L161" s="1549">
        <f t="shared" si="142"/>
        <v>0</v>
      </c>
      <c r="M161" s="1549">
        <f t="shared" si="142"/>
        <v>0</v>
      </c>
      <c r="N161" s="1549">
        <f t="shared" si="142"/>
        <v>0</v>
      </c>
      <c r="O161" s="1549">
        <f t="shared" si="142"/>
        <v>0</v>
      </c>
      <c r="P161" s="1549">
        <f t="shared" si="142"/>
        <v>20171</v>
      </c>
      <c r="Q161" s="1549"/>
      <c r="R161" s="1549"/>
      <c r="S161" s="1549"/>
      <c r="T161" s="1549"/>
      <c r="U161" s="1549"/>
      <c r="V161" s="1549"/>
      <c r="W161" s="1549"/>
      <c r="X161" s="1544">
        <f t="shared" ref="X161" si="143">+X162+X165</f>
        <v>20171</v>
      </c>
      <c r="Y161" s="3114"/>
    </row>
    <row r="162" spans="1:27" ht="12" customHeight="1">
      <c r="A162" s="3129"/>
      <c r="B162" s="2844" t="s">
        <v>36</v>
      </c>
      <c r="C162" s="3116" t="s">
        <v>150</v>
      </c>
      <c r="D162" s="1546">
        <f t="shared" ref="D162:P162" si="144">+D163+D164</f>
        <v>3171</v>
      </c>
      <c r="E162" s="1546">
        <f t="shared" si="144"/>
        <v>0</v>
      </c>
      <c r="F162" s="1546">
        <f t="shared" si="144"/>
        <v>0</v>
      </c>
      <c r="G162" s="1546">
        <f t="shared" si="144"/>
        <v>0</v>
      </c>
      <c r="H162" s="1546">
        <f t="shared" si="144"/>
        <v>0</v>
      </c>
      <c r="I162" s="1546">
        <f t="shared" si="144"/>
        <v>0</v>
      </c>
      <c r="J162" s="1546">
        <f t="shared" si="144"/>
        <v>0</v>
      </c>
      <c r="K162" s="1546">
        <f t="shared" si="144"/>
        <v>0</v>
      </c>
      <c r="L162" s="1546">
        <f t="shared" si="144"/>
        <v>0</v>
      </c>
      <c r="M162" s="1546">
        <f t="shared" si="144"/>
        <v>0</v>
      </c>
      <c r="N162" s="1546">
        <f t="shared" si="144"/>
        <v>0</v>
      </c>
      <c r="O162" s="1546">
        <f t="shared" si="144"/>
        <v>0</v>
      </c>
      <c r="P162" s="1546">
        <f t="shared" si="144"/>
        <v>3171</v>
      </c>
      <c r="Q162" s="1546"/>
      <c r="R162" s="1546"/>
      <c r="S162" s="1546"/>
      <c r="T162" s="1546"/>
      <c r="U162" s="1546"/>
      <c r="V162" s="1546"/>
      <c r="W162" s="1546"/>
      <c r="X162" s="1551">
        <f t="shared" ref="X162" si="145">+X163+X164</f>
        <v>3171</v>
      </c>
      <c r="Y162" s="3114"/>
    </row>
    <row r="163" spans="1:27" ht="12" customHeight="1">
      <c r="A163" s="3129"/>
      <c r="B163" s="2809" t="s">
        <v>24</v>
      </c>
      <c r="C163" s="3117"/>
      <c r="D163" s="1547">
        <f>M163+O163+P163+Q163+R163+S163+T163+U163+V163+W163</f>
        <v>3171</v>
      </c>
      <c r="E163" s="1548"/>
      <c r="F163" s="1548"/>
      <c r="G163" s="1548"/>
      <c r="H163" s="1550"/>
      <c r="I163" s="1550"/>
      <c r="J163" s="1550"/>
      <c r="K163" s="1548"/>
      <c r="L163" s="1548"/>
      <c r="M163" s="1548">
        <f t="shared" ref="M163" si="146">+L163+K163+J163+I163+E163</f>
        <v>0</v>
      </c>
      <c r="N163" s="1550"/>
      <c r="O163" s="1548"/>
      <c r="P163" s="1548">
        <v>3171</v>
      </c>
      <c r="Q163" s="1548"/>
      <c r="R163" s="1548"/>
      <c r="S163" s="1548"/>
      <c r="T163" s="1548"/>
      <c r="U163" s="1548"/>
      <c r="V163" s="1548"/>
      <c r="W163" s="1548"/>
      <c r="X163" s="2810">
        <f>SUM(P163:T163)</f>
        <v>3171</v>
      </c>
      <c r="Y163" s="3114"/>
    </row>
    <row r="164" spans="1:27" ht="12" hidden="1" customHeight="1">
      <c r="A164" s="3129"/>
      <c r="B164" s="2809" t="s">
        <v>25</v>
      </c>
      <c r="C164" s="3117"/>
      <c r="D164" s="1547"/>
      <c r="E164" s="1548"/>
      <c r="F164" s="1548"/>
      <c r="G164" s="1548"/>
      <c r="H164" s="1550"/>
      <c r="I164" s="1550"/>
      <c r="J164" s="1550"/>
      <c r="K164" s="1548"/>
      <c r="L164" s="1548"/>
      <c r="M164" s="1548"/>
      <c r="N164" s="1548"/>
      <c r="O164" s="1548">
        <v>0</v>
      </c>
      <c r="P164" s="1548">
        <v>0</v>
      </c>
      <c r="Q164" s="1548"/>
      <c r="R164" s="1548"/>
      <c r="S164" s="1548"/>
      <c r="T164" s="1548"/>
      <c r="U164" s="1548"/>
      <c r="V164" s="1548"/>
      <c r="W164" s="1548"/>
      <c r="X164" s="2810">
        <f>SUM(O164:R164)</f>
        <v>0</v>
      </c>
      <c r="Y164" s="3114"/>
    </row>
    <row r="165" spans="1:27" ht="12" customHeight="1">
      <c r="A165" s="3129"/>
      <c r="B165" s="2807" t="s">
        <v>30</v>
      </c>
      <c r="C165" s="3117"/>
      <c r="D165" s="1545">
        <f>+D166</f>
        <v>17000</v>
      </c>
      <c r="E165" s="1545">
        <f t="shared" ref="E165:P165" si="147">+E166</f>
        <v>0</v>
      </c>
      <c r="F165" s="1545">
        <f t="shared" si="147"/>
        <v>0</v>
      </c>
      <c r="G165" s="1545">
        <f t="shared" si="147"/>
        <v>0</v>
      </c>
      <c r="H165" s="1545">
        <f t="shared" si="147"/>
        <v>0</v>
      </c>
      <c r="I165" s="1545">
        <f t="shared" si="147"/>
        <v>0</v>
      </c>
      <c r="J165" s="1545">
        <f t="shared" si="147"/>
        <v>0</v>
      </c>
      <c r="K165" s="1545">
        <f t="shared" si="147"/>
        <v>0</v>
      </c>
      <c r="L165" s="1545">
        <f t="shared" si="147"/>
        <v>0</v>
      </c>
      <c r="M165" s="1545">
        <f t="shared" si="147"/>
        <v>0</v>
      </c>
      <c r="N165" s="1545">
        <f t="shared" si="147"/>
        <v>0</v>
      </c>
      <c r="O165" s="1545">
        <f t="shared" si="147"/>
        <v>0</v>
      </c>
      <c r="P165" s="1545">
        <f t="shared" si="147"/>
        <v>17000</v>
      </c>
      <c r="Q165" s="1545"/>
      <c r="R165" s="1545"/>
      <c r="S165" s="1545"/>
      <c r="T165" s="1545"/>
      <c r="U165" s="1545"/>
      <c r="V165" s="1545"/>
      <c r="W165" s="1545"/>
      <c r="X165" s="2580">
        <f t="shared" ref="X165" si="148">+X166</f>
        <v>17000</v>
      </c>
      <c r="Y165" s="3114"/>
    </row>
    <row r="166" spans="1:27" ht="12" customHeight="1">
      <c r="A166" s="3129"/>
      <c r="B166" s="2809" t="s">
        <v>33</v>
      </c>
      <c r="C166" s="3117"/>
      <c r="D166" s="1547">
        <f>M166+O166+P166+Q166+R166+S166+T166+U166+V166+W166</f>
        <v>17000</v>
      </c>
      <c r="E166" s="1548"/>
      <c r="F166" s="1548"/>
      <c r="G166" s="1548"/>
      <c r="H166" s="1550"/>
      <c r="I166" s="1550"/>
      <c r="J166" s="1550"/>
      <c r="K166" s="1548"/>
      <c r="L166" s="1548"/>
      <c r="M166" s="1548">
        <f t="shared" ref="M166" si="149">+L166+K166+J166+I166+E166</f>
        <v>0</v>
      </c>
      <c r="N166" s="1548"/>
      <c r="O166" s="1548"/>
      <c r="P166" s="1548">
        <v>17000</v>
      </c>
      <c r="Q166" s="1548"/>
      <c r="R166" s="1548"/>
      <c r="S166" s="1548"/>
      <c r="T166" s="1548"/>
      <c r="U166" s="1548"/>
      <c r="V166" s="1548"/>
      <c r="W166" s="1548"/>
      <c r="X166" s="2810">
        <f>SUM(P166:T166)</f>
        <v>17000</v>
      </c>
      <c r="Y166" s="3114"/>
    </row>
    <row r="167" spans="1:27" ht="12" customHeight="1">
      <c r="A167" s="3129"/>
      <c r="B167" s="2806" t="s">
        <v>34</v>
      </c>
      <c r="C167" s="2766"/>
      <c r="D167" s="2572">
        <f t="shared" ref="D167:M167" si="150">+D168+D170</f>
        <v>17000</v>
      </c>
      <c r="E167" s="2572">
        <f t="shared" si="150"/>
        <v>0</v>
      </c>
      <c r="F167" s="2572">
        <f t="shared" si="150"/>
        <v>0</v>
      </c>
      <c r="G167" s="2572">
        <f t="shared" si="150"/>
        <v>0</v>
      </c>
      <c r="H167" s="2572">
        <f t="shared" si="150"/>
        <v>0</v>
      </c>
      <c r="I167" s="2572">
        <f t="shared" si="150"/>
        <v>0</v>
      </c>
      <c r="J167" s="2572">
        <f t="shared" si="150"/>
        <v>0</v>
      </c>
      <c r="K167" s="2572">
        <f t="shared" si="150"/>
        <v>0</v>
      </c>
      <c r="L167" s="2572">
        <f t="shared" si="150"/>
        <v>0</v>
      </c>
      <c r="M167" s="2572">
        <f t="shared" si="150"/>
        <v>0</v>
      </c>
      <c r="N167" s="2572">
        <f>+N168+N170</f>
        <v>0</v>
      </c>
      <c r="O167" s="2572">
        <f>+O168+O170</f>
        <v>0</v>
      </c>
      <c r="P167" s="2572">
        <f>+P168+P170</f>
        <v>17000</v>
      </c>
      <c r="Q167" s="2572"/>
      <c r="R167" s="2572"/>
      <c r="S167" s="2572"/>
      <c r="T167" s="2572"/>
      <c r="U167" s="2572"/>
      <c r="V167" s="2572"/>
      <c r="W167" s="2572"/>
      <c r="X167" s="3121" t="s">
        <v>77</v>
      </c>
      <c r="Y167" s="3115"/>
    </row>
    <row r="168" spans="1:27" ht="12" hidden="1" customHeight="1">
      <c r="A168" s="3129"/>
      <c r="B168" s="2844" t="s">
        <v>36</v>
      </c>
      <c r="C168" s="3118" t="s">
        <v>150</v>
      </c>
      <c r="D168" s="1545">
        <f t="shared" ref="D168:P168" si="151">+D169</f>
        <v>0</v>
      </c>
      <c r="E168" s="1545">
        <f t="shared" si="151"/>
        <v>0</v>
      </c>
      <c r="F168" s="1545">
        <f t="shared" si="151"/>
        <v>0</v>
      </c>
      <c r="G168" s="1545">
        <f t="shared" si="151"/>
        <v>0</v>
      </c>
      <c r="H168" s="1545">
        <f t="shared" si="151"/>
        <v>0</v>
      </c>
      <c r="I168" s="1545">
        <f t="shared" si="151"/>
        <v>0</v>
      </c>
      <c r="J168" s="1545">
        <f t="shared" si="151"/>
        <v>0</v>
      </c>
      <c r="K168" s="1545">
        <f t="shared" si="151"/>
        <v>0</v>
      </c>
      <c r="L168" s="1545">
        <f t="shared" si="151"/>
        <v>0</v>
      </c>
      <c r="M168" s="1545">
        <f t="shared" si="151"/>
        <v>0</v>
      </c>
      <c r="N168" s="1545">
        <f t="shared" si="151"/>
        <v>0</v>
      </c>
      <c r="O168" s="1545">
        <f t="shared" si="151"/>
        <v>0</v>
      </c>
      <c r="P168" s="1545">
        <f t="shared" si="151"/>
        <v>0</v>
      </c>
      <c r="Q168" s="1545"/>
      <c r="R168" s="1545"/>
      <c r="S168" s="1545"/>
      <c r="T168" s="1545"/>
      <c r="U168" s="1545"/>
      <c r="V168" s="1545"/>
      <c r="W168" s="1545"/>
      <c r="X168" s="3121"/>
      <c r="Y168" s="3115"/>
    </row>
    <row r="169" spans="1:27" ht="12" hidden="1" customHeight="1">
      <c r="A169" s="3129"/>
      <c r="B169" s="2809" t="s">
        <v>25</v>
      </c>
      <c r="C169" s="3117"/>
      <c r="D169" s="1547"/>
      <c r="E169" s="1548"/>
      <c r="F169" s="1547"/>
      <c r="G169" s="1547"/>
      <c r="H169" s="1547"/>
      <c r="I169" s="1547"/>
      <c r="J169" s="1547"/>
      <c r="K169" s="1547"/>
      <c r="L169" s="1547">
        <v>0</v>
      </c>
      <c r="M169" s="1547">
        <v>0</v>
      </c>
      <c r="N169" s="1547">
        <v>0</v>
      </c>
      <c r="O169" s="1547">
        <v>0</v>
      </c>
      <c r="P169" s="1547">
        <v>0</v>
      </c>
      <c r="Q169" s="1547"/>
      <c r="R169" s="1547"/>
      <c r="S169" s="1547"/>
      <c r="T169" s="1547"/>
      <c r="U169" s="1547"/>
      <c r="V169" s="1547"/>
      <c r="W169" s="1547"/>
      <c r="X169" s="3121"/>
      <c r="Y169" s="3115"/>
    </row>
    <row r="170" spans="1:27" ht="12" customHeight="1">
      <c r="A170" s="3129"/>
      <c r="B170" s="2807" t="s">
        <v>30</v>
      </c>
      <c r="C170" s="3119"/>
      <c r="D170" s="1545">
        <f t="shared" ref="D170:P170" si="152">+D171</f>
        <v>17000</v>
      </c>
      <c r="E170" s="1545">
        <f t="shared" si="152"/>
        <v>0</v>
      </c>
      <c r="F170" s="1545">
        <f t="shared" si="152"/>
        <v>0</v>
      </c>
      <c r="G170" s="1545">
        <f t="shared" si="152"/>
        <v>0</v>
      </c>
      <c r="H170" s="1545">
        <f t="shared" si="152"/>
        <v>0</v>
      </c>
      <c r="I170" s="1545">
        <f t="shared" si="152"/>
        <v>0</v>
      </c>
      <c r="J170" s="1545">
        <f t="shared" si="152"/>
        <v>0</v>
      </c>
      <c r="K170" s="1545">
        <f t="shared" si="152"/>
        <v>0</v>
      </c>
      <c r="L170" s="1545">
        <f t="shared" si="152"/>
        <v>0</v>
      </c>
      <c r="M170" s="1545">
        <f t="shared" si="152"/>
        <v>0</v>
      </c>
      <c r="N170" s="1545">
        <f t="shared" si="152"/>
        <v>0</v>
      </c>
      <c r="O170" s="1545">
        <f t="shared" si="152"/>
        <v>0</v>
      </c>
      <c r="P170" s="1545">
        <f t="shared" si="152"/>
        <v>17000</v>
      </c>
      <c r="Q170" s="1545"/>
      <c r="R170" s="1545"/>
      <c r="S170" s="1545"/>
      <c r="T170" s="1545"/>
      <c r="U170" s="1545"/>
      <c r="V170" s="1545"/>
      <c r="W170" s="1545"/>
      <c r="X170" s="3121"/>
      <c r="Y170" s="3115"/>
    </row>
    <row r="171" spans="1:27" ht="15.75" customHeight="1" thickBot="1">
      <c r="A171" s="3178"/>
      <c r="B171" s="2215" t="s">
        <v>33</v>
      </c>
      <c r="C171" s="3133"/>
      <c r="D171" s="534">
        <f>M171+O171+P171+Q171+R171+S171+T171+U171+V171+W171</f>
        <v>17000</v>
      </c>
      <c r="E171" s="491">
        <v>0</v>
      </c>
      <c r="F171" s="491"/>
      <c r="G171" s="491"/>
      <c r="H171" s="491"/>
      <c r="I171" s="491">
        <v>0</v>
      </c>
      <c r="J171" s="491">
        <v>0</v>
      </c>
      <c r="K171" s="491">
        <v>0</v>
      </c>
      <c r="L171" s="491">
        <v>0</v>
      </c>
      <c r="M171" s="491">
        <f>+L171+K171+J171+I171+E171</f>
        <v>0</v>
      </c>
      <c r="N171" s="491">
        <v>0</v>
      </c>
      <c r="O171" s="491"/>
      <c r="P171" s="491">
        <v>17000</v>
      </c>
      <c r="Q171" s="491"/>
      <c r="R171" s="491"/>
      <c r="S171" s="491"/>
      <c r="T171" s="491"/>
      <c r="U171" s="491"/>
      <c r="V171" s="491"/>
      <c r="W171" s="491"/>
      <c r="X171" s="3134"/>
      <c r="Y171" s="3181"/>
    </row>
    <row r="172" spans="1:27" ht="36" hidden="1" customHeight="1">
      <c r="A172" s="3123" t="s">
        <v>107</v>
      </c>
      <c r="B172" s="2802"/>
      <c r="C172" s="2803" t="s">
        <v>130</v>
      </c>
      <c r="D172" s="523"/>
      <c r="E172" s="523"/>
      <c r="F172" s="523"/>
      <c r="G172" s="523"/>
      <c r="H172" s="523"/>
      <c r="I172" s="524"/>
      <c r="J172" s="524"/>
      <c r="K172" s="524"/>
      <c r="L172" s="524"/>
      <c r="M172" s="524"/>
      <c r="N172" s="524"/>
      <c r="O172" s="524"/>
      <c r="P172" s="524"/>
      <c r="Q172" s="524"/>
      <c r="R172" s="524"/>
      <c r="S172" s="524"/>
      <c r="T172" s="524"/>
      <c r="U172" s="524"/>
      <c r="V172" s="524"/>
      <c r="W172" s="524"/>
      <c r="X172" s="2805"/>
      <c r="Y172" s="3124" t="s">
        <v>151</v>
      </c>
    </row>
    <row r="173" spans="1:27" ht="10.5" hidden="1" customHeight="1">
      <c r="A173" s="3112"/>
      <c r="B173" s="2806" t="s">
        <v>22</v>
      </c>
      <c r="C173" s="2766"/>
      <c r="D173" s="1549">
        <f t="shared" ref="D173:O173" si="153">+D174+D177</f>
        <v>0</v>
      </c>
      <c r="E173" s="1549">
        <f t="shared" si="153"/>
        <v>0</v>
      </c>
      <c r="F173" s="1549">
        <f t="shared" si="153"/>
        <v>0</v>
      </c>
      <c r="G173" s="1549">
        <f t="shared" si="153"/>
        <v>0</v>
      </c>
      <c r="H173" s="1549">
        <f t="shared" si="153"/>
        <v>0</v>
      </c>
      <c r="I173" s="1549">
        <f t="shared" si="153"/>
        <v>0</v>
      </c>
      <c r="J173" s="1549">
        <f t="shared" si="153"/>
        <v>0</v>
      </c>
      <c r="K173" s="1549">
        <f t="shared" si="153"/>
        <v>0</v>
      </c>
      <c r="L173" s="1549">
        <f t="shared" si="153"/>
        <v>0</v>
      </c>
      <c r="M173" s="1549">
        <f t="shared" si="153"/>
        <v>0</v>
      </c>
      <c r="N173" s="1549">
        <f t="shared" si="153"/>
        <v>0</v>
      </c>
      <c r="O173" s="1549">
        <f t="shared" si="153"/>
        <v>0</v>
      </c>
      <c r="P173" s="1549">
        <f t="shared" ref="P173" si="154">+P174+P177</f>
        <v>0</v>
      </c>
      <c r="Q173" s="1549"/>
      <c r="R173" s="1549"/>
      <c r="S173" s="1549"/>
      <c r="T173" s="1549"/>
      <c r="U173" s="1549"/>
      <c r="V173" s="1549"/>
      <c r="W173" s="1549"/>
      <c r="X173" s="1544">
        <f>+X174+X177</f>
        <v>0</v>
      </c>
      <c r="Y173" s="3114"/>
      <c r="Z173" s="1540">
        <f>+O173+P173+Q173+R173</f>
        <v>0</v>
      </c>
      <c r="AA173" s="1540"/>
    </row>
    <row r="174" spans="1:27" ht="13.5" hidden="1" customHeight="1">
      <c r="A174" s="3112"/>
      <c r="B174" s="2844" t="s">
        <v>36</v>
      </c>
      <c r="C174" s="3116" t="s">
        <v>350</v>
      </c>
      <c r="D174" s="1546">
        <f t="shared" ref="D174:O174" si="155">+D175+D176</f>
        <v>0</v>
      </c>
      <c r="E174" s="1546">
        <f t="shared" si="155"/>
        <v>0</v>
      </c>
      <c r="F174" s="1546">
        <f t="shared" si="155"/>
        <v>0</v>
      </c>
      <c r="G174" s="1546">
        <f t="shared" si="155"/>
        <v>0</v>
      </c>
      <c r="H174" s="1546">
        <f t="shared" si="155"/>
        <v>0</v>
      </c>
      <c r="I174" s="1546">
        <f t="shared" si="155"/>
        <v>0</v>
      </c>
      <c r="J174" s="1546">
        <f t="shared" si="155"/>
        <v>0</v>
      </c>
      <c r="K174" s="1546">
        <f t="shared" si="155"/>
        <v>0</v>
      </c>
      <c r="L174" s="1546">
        <f t="shared" si="155"/>
        <v>0</v>
      </c>
      <c r="M174" s="1546">
        <f t="shared" si="155"/>
        <v>0</v>
      </c>
      <c r="N174" s="1546">
        <f t="shared" si="155"/>
        <v>0</v>
      </c>
      <c r="O174" s="1546">
        <f t="shared" si="155"/>
        <v>0</v>
      </c>
      <c r="P174" s="1546">
        <f t="shared" ref="P174" si="156">+P175+P176</f>
        <v>0</v>
      </c>
      <c r="Q174" s="1546"/>
      <c r="R174" s="1546"/>
      <c r="S174" s="1546"/>
      <c r="T174" s="1546"/>
      <c r="U174" s="1546"/>
      <c r="V174" s="1546"/>
      <c r="W174" s="1546"/>
      <c r="X174" s="1551">
        <f>+X175+X176</f>
        <v>0</v>
      </c>
      <c r="Y174" s="3114"/>
    </row>
    <row r="175" spans="1:27" ht="13.5" hidden="1" customHeight="1">
      <c r="A175" s="3112"/>
      <c r="B175" s="2809" t="s">
        <v>24</v>
      </c>
      <c r="C175" s="3117"/>
      <c r="D175" s="1550">
        <f>+E175+I175+J175+K175+L175</f>
        <v>0</v>
      </c>
      <c r="E175" s="1550">
        <f>+F175+G175+H175</f>
        <v>0</v>
      </c>
      <c r="F175" s="1548"/>
      <c r="G175" s="1548"/>
      <c r="H175" s="1550"/>
      <c r="I175" s="1550"/>
      <c r="J175" s="1550"/>
      <c r="K175" s="1548"/>
      <c r="L175" s="1548"/>
      <c r="M175" s="1548"/>
      <c r="N175" s="1548"/>
      <c r="O175" s="1548"/>
      <c r="P175" s="1548">
        <v>0</v>
      </c>
      <c r="Q175" s="1548"/>
      <c r="R175" s="1548"/>
      <c r="S175" s="1548"/>
      <c r="T175" s="1548"/>
      <c r="U175" s="1548"/>
      <c r="V175" s="1548"/>
      <c r="W175" s="1548"/>
      <c r="X175" s="2810">
        <f>SUM(P175:T175)</f>
        <v>0</v>
      </c>
      <c r="Y175" s="3114"/>
    </row>
    <row r="176" spans="1:27" hidden="1">
      <c r="A176" s="3112"/>
      <c r="B176" s="2809" t="s">
        <v>25</v>
      </c>
      <c r="C176" s="3117"/>
      <c r="D176" s="1547">
        <f>M176+O176+P176+Q176+R176+S176+T176+U176+V176+W176</f>
        <v>0</v>
      </c>
      <c r="E176" s="1550">
        <f>+F176+G176+H176</f>
        <v>0</v>
      </c>
      <c r="F176" s="1548"/>
      <c r="G176" s="1548">
        <v>0</v>
      </c>
      <c r="H176" s="1550"/>
      <c r="I176" s="1550"/>
      <c r="J176" s="1550"/>
      <c r="K176" s="1548"/>
      <c r="L176" s="1548"/>
      <c r="M176" s="1548"/>
      <c r="N176" s="1548"/>
      <c r="O176" s="1548"/>
      <c r="P176" s="1548">
        <v>0</v>
      </c>
      <c r="Q176" s="1548"/>
      <c r="R176" s="1548"/>
      <c r="S176" s="1548"/>
      <c r="T176" s="1548"/>
      <c r="U176" s="1548"/>
      <c r="V176" s="1548"/>
      <c r="W176" s="1548"/>
      <c r="X176" s="2810">
        <f>SUM(P176:T176)</f>
        <v>0</v>
      </c>
      <c r="Y176" s="3114"/>
    </row>
    <row r="177" spans="1:27" ht="12.75" hidden="1" customHeight="1">
      <c r="A177" s="3112"/>
      <c r="B177" s="2807" t="s">
        <v>30</v>
      </c>
      <c r="C177" s="3117"/>
      <c r="D177" s="1545">
        <f>+D178</f>
        <v>0</v>
      </c>
      <c r="E177" s="1545">
        <f t="shared" ref="E177:O177" si="157">+E178</f>
        <v>0</v>
      </c>
      <c r="F177" s="1545">
        <f t="shared" si="157"/>
        <v>0</v>
      </c>
      <c r="G177" s="1545">
        <f t="shared" si="157"/>
        <v>0</v>
      </c>
      <c r="H177" s="1545">
        <f t="shared" si="157"/>
        <v>0</v>
      </c>
      <c r="I177" s="1545">
        <f t="shared" si="157"/>
        <v>0</v>
      </c>
      <c r="J177" s="1545">
        <f t="shared" si="157"/>
        <v>0</v>
      </c>
      <c r="K177" s="1545">
        <f t="shared" si="157"/>
        <v>0</v>
      </c>
      <c r="L177" s="1545">
        <f t="shared" si="157"/>
        <v>0</v>
      </c>
      <c r="M177" s="1545">
        <f t="shared" si="157"/>
        <v>0</v>
      </c>
      <c r="N177" s="1545">
        <f t="shared" si="157"/>
        <v>0</v>
      </c>
      <c r="O177" s="1545">
        <f t="shared" si="157"/>
        <v>0</v>
      </c>
      <c r="P177" s="1545">
        <f t="shared" ref="P177:X177" si="158">+P178</f>
        <v>0</v>
      </c>
      <c r="Q177" s="1545"/>
      <c r="R177" s="1545"/>
      <c r="S177" s="1545"/>
      <c r="T177" s="1545"/>
      <c r="U177" s="1545"/>
      <c r="V177" s="1545"/>
      <c r="W177" s="1545"/>
      <c r="X177" s="2580">
        <f t="shared" si="158"/>
        <v>0</v>
      </c>
      <c r="Y177" s="3114"/>
    </row>
    <row r="178" spans="1:27" ht="11.25" hidden="1" customHeight="1">
      <c r="A178" s="3112"/>
      <c r="B178" s="2809" t="s">
        <v>33</v>
      </c>
      <c r="C178" s="3117"/>
      <c r="D178" s="1547">
        <f>M178+O178+P178+Q178+R178+S178+T178+U178+V178+W178</f>
        <v>0</v>
      </c>
      <c r="E178" s="1550">
        <f>+F178+G178+H178</f>
        <v>0</v>
      </c>
      <c r="F178" s="1548"/>
      <c r="G178" s="1548"/>
      <c r="H178" s="1550"/>
      <c r="I178" s="1550"/>
      <c r="J178" s="1550"/>
      <c r="K178" s="1548"/>
      <c r="L178" s="1548"/>
      <c r="M178" s="1548"/>
      <c r="N178" s="1548"/>
      <c r="O178" s="1548"/>
      <c r="P178" s="1548">
        <v>0</v>
      </c>
      <c r="Q178" s="1548">
        <v>0</v>
      </c>
      <c r="R178" s="1548"/>
      <c r="S178" s="1548"/>
      <c r="T178" s="1548"/>
      <c r="U178" s="1548"/>
      <c r="V178" s="1548"/>
      <c r="W178" s="1548"/>
      <c r="X178" s="2810">
        <f>SUM(P178:T178)</f>
        <v>0</v>
      </c>
      <c r="Y178" s="3114"/>
    </row>
    <row r="179" spans="1:27" ht="13.5" hidden="1" customHeight="1">
      <c r="A179" s="3112"/>
      <c r="B179" s="2806" t="s">
        <v>34</v>
      </c>
      <c r="C179" s="2766"/>
      <c r="D179" s="2572">
        <f t="shared" ref="D179:M179" si="159">+D180+D182</f>
        <v>0</v>
      </c>
      <c r="E179" s="2572">
        <f t="shared" si="159"/>
        <v>0</v>
      </c>
      <c r="F179" s="2572">
        <f t="shared" si="159"/>
        <v>0</v>
      </c>
      <c r="G179" s="2572">
        <f t="shared" si="159"/>
        <v>0</v>
      </c>
      <c r="H179" s="2572">
        <f t="shared" si="159"/>
        <v>0</v>
      </c>
      <c r="I179" s="2572">
        <f t="shared" si="159"/>
        <v>0</v>
      </c>
      <c r="J179" s="2572">
        <f t="shared" si="159"/>
        <v>0</v>
      </c>
      <c r="K179" s="2572">
        <f t="shared" si="159"/>
        <v>0</v>
      </c>
      <c r="L179" s="2572">
        <f t="shared" si="159"/>
        <v>0</v>
      </c>
      <c r="M179" s="2572">
        <f t="shared" si="159"/>
        <v>0</v>
      </c>
      <c r="N179" s="2572">
        <f>+N180+N182</f>
        <v>0</v>
      </c>
      <c r="O179" s="2572">
        <f>+O180+O182</f>
        <v>0</v>
      </c>
      <c r="P179" s="2572">
        <f>+P180+P182</f>
        <v>0</v>
      </c>
      <c r="Q179" s="2572">
        <f>+Q180+Q182</f>
        <v>0</v>
      </c>
      <c r="R179" s="2572"/>
      <c r="S179" s="2572"/>
      <c r="T179" s="2572"/>
      <c r="U179" s="2572"/>
      <c r="V179" s="2572"/>
      <c r="W179" s="2572"/>
      <c r="X179" s="3120" t="s">
        <v>77</v>
      </c>
      <c r="Y179" s="3115"/>
    </row>
    <row r="180" spans="1:27" ht="13.5" hidden="1" customHeight="1">
      <c r="A180" s="3112"/>
      <c r="B180" s="2844" t="s">
        <v>36</v>
      </c>
      <c r="C180" s="3118" t="s">
        <v>350</v>
      </c>
      <c r="D180" s="1545">
        <f t="shared" ref="D180:O180" si="160">+D181</f>
        <v>0</v>
      </c>
      <c r="E180" s="1545">
        <f t="shared" si="160"/>
        <v>0</v>
      </c>
      <c r="F180" s="1545">
        <f t="shared" si="160"/>
        <v>0</v>
      </c>
      <c r="G180" s="1545">
        <f t="shared" si="160"/>
        <v>0</v>
      </c>
      <c r="H180" s="1545">
        <f t="shared" si="160"/>
        <v>0</v>
      </c>
      <c r="I180" s="1545">
        <f t="shared" si="160"/>
        <v>0</v>
      </c>
      <c r="J180" s="1545">
        <f t="shared" si="160"/>
        <v>0</v>
      </c>
      <c r="K180" s="1545">
        <f t="shared" si="160"/>
        <v>0</v>
      </c>
      <c r="L180" s="1545">
        <f t="shared" si="160"/>
        <v>0</v>
      </c>
      <c r="M180" s="1545">
        <f t="shared" si="160"/>
        <v>0</v>
      </c>
      <c r="N180" s="1545">
        <f t="shared" si="160"/>
        <v>0</v>
      </c>
      <c r="O180" s="1545">
        <f t="shared" si="160"/>
        <v>0</v>
      </c>
      <c r="P180" s="1545">
        <f t="shared" ref="P180:Q180" si="161">+P181</f>
        <v>0</v>
      </c>
      <c r="Q180" s="1545">
        <f t="shared" si="161"/>
        <v>0</v>
      </c>
      <c r="R180" s="1545"/>
      <c r="S180" s="1545"/>
      <c r="T180" s="1545"/>
      <c r="U180" s="1545"/>
      <c r="V180" s="1545"/>
      <c r="W180" s="1545"/>
      <c r="X180" s="3120"/>
      <c r="Y180" s="3115"/>
    </row>
    <row r="181" spans="1:27" ht="11.25" hidden="1" customHeight="1">
      <c r="A181" s="3112"/>
      <c r="B181" s="2809" t="s">
        <v>25</v>
      </c>
      <c r="C181" s="3117"/>
      <c r="D181" s="1547">
        <f>M181+O181+P181+Q181+R181+S181+T181+U181+V181+W181</f>
        <v>0</v>
      </c>
      <c r="E181" s="1547">
        <f>+F181+G181+H181</f>
        <v>0</v>
      </c>
      <c r="F181" s="1547"/>
      <c r="G181" s="1547"/>
      <c r="H181" s="1547"/>
      <c r="I181" s="1547"/>
      <c r="J181" s="1547"/>
      <c r="K181" s="1547"/>
      <c r="L181" s="1547"/>
      <c r="M181" s="1548"/>
      <c r="N181" s="1547"/>
      <c r="O181" s="1547"/>
      <c r="P181" s="1547">
        <v>0</v>
      </c>
      <c r="Q181" s="1547">
        <v>0</v>
      </c>
      <c r="R181" s="1547"/>
      <c r="S181" s="1547"/>
      <c r="T181" s="1547"/>
      <c r="U181" s="1547"/>
      <c r="V181" s="1547"/>
      <c r="W181" s="1547"/>
      <c r="X181" s="3120"/>
      <c r="Y181" s="3115"/>
    </row>
    <row r="182" spans="1:27" ht="12" hidden="1" customHeight="1">
      <c r="A182" s="3112"/>
      <c r="B182" s="2807" t="s">
        <v>30</v>
      </c>
      <c r="C182" s="3119"/>
      <c r="D182" s="1545">
        <f t="shared" ref="D182:O182" si="162">+D183</f>
        <v>0</v>
      </c>
      <c r="E182" s="1545">
        <f t="shared" si="162"/>
        <v>0</v>
      </c>
      <c r="F182" s="1545">
        <f t="shared" si="162"/>
        <v>0</v>
      </c>
      <c r="G182" s="1545">
        <f t="shared" si="162"/>
        <v>0</v>
      </c>
      <c r="H182" s="1545">
        <f t="shared" si="162"/>
        <v>0</v>
      </c>
      <c r="I182" s="1545">
        <f t="shared" si="162"/>
        <v>0</v>
      </c>
      <c r="J182" s="1545">
        <f t="shared" si="162"/>
        <v>0</v>
      </c>
      <c r="K182" s="1545">
        <f t="shared" si="162"/>
        <v>0</v>
      </c>
      <c r="L182" s="1545">
        <f t="shared" si="162"/>
        <v>0</v>
      </c>
      <c r="M182" s="1545">
        <f t="shared" si="162"/>
        <v>0</v>
      </c>
      <c r="N182" s="1545">
        <f t="shared" si="162"/>
        <v>0</v>
      </c>
      <c r="O182" s="1545">
        <f t="shared" si="162"/>
        <v>0</v>
      </c>
      <c r="P182" s="1545">
        <f t="shared" ref="P182:Q182" si="163">+P183</f>
        <v>0</v>
      </c>
      <c r="Q182" s="1545">
        <f t="shared" si="163"/>
        <v>0</v>
      </c>
      <c r="R182" s="1545"/>
      <c r="S182" s="1545"/>
      <c r="T182" s="1545"/>
      <c r="U182" s="1545"/>
      <c r="V182" s="1545"/>
      <c r="W182" s="1545"/>
      <c r="X182" s="3120"/>
      <c r="Y182" s="3115"/>
    </row>
    <row r="183" spans="1:27" ht="12.75" hidden="1" customHeight="1">
      <c r="A183" s="3112"/>
      <c r="B183" s="2809" t="s">
        <v>33</v>
      </c>
      <c r="C183" s="3119"/>
      <c r="D183" s="1547">
        <f>M183+O183+P183+Q183+R183+S183+T183+U183+V183+W183</f>
        <v>0</v>
      </c>
      <c r="E183" s="1548">
        <f>+F183+G183+H183</f>
        <v>0</v>
      </c>
      <c r="F183" s="1548"/>
      <c r="G183" s="1548"/>
      <c r="H183" s="1548"/>
      <c r="I183" s="1548"/>
      <c r="J183" s="1548"/>
      <c r="K183" s="1548"/>
      <c r="L183" s="1548"/>
      <c r="M183" s="1548"/>
      <c r="N183" s="1548"/>
      <c r="O183" s="1548"/>
      <c r="P183" s="1548">
        <v>0</v>
      </c>
      <c r="Q183" s="1548">
        <v>0</v>
      </c>
      <c r="R183" s="1548"/>
      <c r="S183" s="1548"/>
      <c r="T183" s="1548"/>
      <c r="U183" s="1548"/>
      <c r="V183" s="1548"/>
      <c r="W183" s="1548"/>
      <c r="X183" s="3120"/>
      <c r="Y183" s="3115"/>
    </row>
    <row r="184" spans="1:27" ht="65.25" hidden="1" customHeight="1">
      <c r="A184" s="3112" t="s">
        <v>108</v>
      </c>
      <c r="B184" s="2845"/>
      <c r="C184" s="2846" t="s">
        <v>130</v>
      </c>
      <c r="D184" s="1543"/>
      <c r="E184" s="1543"/>
      <c r="F184" s="1543"/>
      <c r="G184" s="1543"/>
      <c r="H184" s="1543"/>
      <c r="I184" s="2847"/>
      <c r="J184" s="2847"/>
      <c r="K184" s="2847"/>
      <c r="L184" s="2847"/>
      <c r="M184" s="2847"/>
      <c r="N184" s="2847"/>
      <c r="O184" s="2847"/>
      <c r="P184" s="2847"/>
      <c r="Q184" s="2847"/>
      <c r="R184" s="1543"/>
      <c r="S184" s="1543"/>
      <c r="T184" s="1543"/>
      <c r="U184" s="1543"/>
      <c r="V184" s="1543"/>
      <c r="W184" s="1543"/>
      <c r="X184" s="2686"/>
      <c r="Y184" s="3114" t="s">
        <v>151</v>
      </c>
    </row>
    <row r="185" spans="1:27" ht="11.25" hidden="1" customHeight="1">
      <c r="A185" s="3112"/>
      <c r="B185" s="2806" t="s">
        <v>22</v>
      </c>
      <c r="C185" s="2766"/>
      <c r="D185" s="1549">
        <f t="shared" ref="D185:O185" si="164">+D186+D189</f>
        <v>0</v>
      </c>
      <c r="E185" s="1549">
        <f t="shared" si="164"/>
        <v>0</v>
      </c>
      <c r="F185" s="1549">
        <f t="shared" si="164"/>
        <v>0</v>
      </c>
      <c r="G185" s="1549">
        <f t="shared" si="164"/>
        <v>0</v>
      </c>
      <c r="H185" s="1549">
        <f t="shared" si="164"/>
        <v>0</v>
      </c>
      <c r="I185" s="1549">
        <f t="shared" si="164"/>
        <v>0</v>
      </c>
      <c r="J185" s="1549">
        <f t="shared" si="164"/>
        <v>0</v>
      </c>
      <c r="K185" s="1549">
        <f t="shared" si="164"/>
        <v>0</v>
      </c>
      <c r="L185" s="1549">
        <f t="shared" si="164"/>
        <v>0</v>
      </c>
      <c r="M185" s="1549">
        <f t="shared" si="164"/>
        <v>0</v>
      </c>
      <c r="N185" s="1549">
        <f t="shared" si="164"/>
        <v>0</v>
      </c>
      <c r="O185" s="1549">
        <f t="shared" si="164"/>
        <v>0</v>
      </c>
      <c r="P185" s="1549">
        <f t="shared" ref="P185" si="165">+P186+P189</f>
        <v>0</v>
      </c>
      <c r="Q185" s="1549">
        <f>+Q186+Q189</f>
        <v>0</v>
      </c>
      <c r="R185" s="1549">
        <f t="shared" ref="R185:T185" si="166">+R186+R189</f>
        <v>0</v>
      </c>
      <c r="S185" s="1549">
        <f t="shared" si="166"/>
        <v>0</v>
      </c>
      <c r="T185" s="1549">
        <f t="shared" si="166"/>
        <v>0</v>
      </c>
      <c r="U185" s="1549"/>
      <c r="V185" s="1549"/>
      <c r="W185" s="1549"/>
      <c r="X185" s="1544">
        <f>+X186+X189</f>
        <v>0</v>
      </c>
      <c r="Y185" s="3114"/>
      <c r="Z185" s="1540">
        <f>+O185+P185+Q185+R185</f>
        <v>0</v>
      </c>
      <c r="AA185" s="1540"/>
    </row>
    <row r="186" spans="1:27" ht="11.25" hidden="1" customHeight="1">
      <c r="A186" s="3112"/>
      <c r="B186" s="2844" t="s">
        <v>36</v>
      </c>
      <c r="C186" s="3116" t="s">
        <v>350</v>
      </c>
      <c r="D186" s="1546">
        <f t="shared" ref="D186:O186" si="167">+D187+D188</f>
        <v>0</v>
      </c>
      <c r="E186" s="1546">
        <f t="shared" si="167"/>
        <v>0</v>
      </c>
      <c r="F186" s="1546">
        <f t="shared" si="167"/>
        <v>0</v>
      </c>
      <c r="G186" s="1546">
        <f t="shared" si="167"/>
        <v>0</v>
      </c>
      <c r="H186" s="1546">
        <f t="shared" si="167"/>
        <v>0</v>
      </c>
      <c r="I186" s="1546">
        <f t="shared" si="167"/>
        <v>0</v>
      </c>
      <c r="J186" s="1546">
        <f t="shared" si="167"/>
        <v>0</v>
      </c>
      <c r="K186" s="1546">
        <f t="shared" si="167"/>
        <v>0</v>
      </c>
      <c r="L186" s="1546">
        <f t="shared" si="167"/>
        <v>0</v>
      </c>
      <c r="M186" s="1546">
        <f t="shared" si="167"/>
        <v>0</v>
      </c>
      <c r="N186" s="1546">
        <f t="shared" si="167"/>
        <v>0</v>
      </c>
      <c r="O186" s="1546">
        <f t="shared" si="167"/>
        <v>0</v>
      </c>
      <c r="P186" s="1546">
        <f t="shared" ref="P186" si="168">+P187+P188</f>
        <v>0</v>
      </c>
      <c r="Q186" s="1546">
        <f>+Q187+Q188</f>
        <v>0</v>
      </c>
      <c r="R186" s="1546">
        <f t="shared" ref="R186:T186" si="169">+R187+R188</f>
        <v>0</v>
      </c>
      <c r="S186" s="1546">
        <f t="shared" si="169"/>
        <v>0</v>
      </c>
      <c r="T186" s="1546">
        <f t="shared" si="169"/>
        <v>0</v>
      </c>
      <c r="U186" s="1546"/>
      <c r="V186" s="1546"/>
      <c r="W186" s="1546"/>
      <c r="X186" s="1551">
        <f>+X187+X188</f>
        <v>0</v>
      </c>
      <c r="Y186" s="3114"/>
    </row>
    <row r="187" spans="1:27" ht="11.25" hidden="1" customHeight="1">
      <c r="A187" s="3112"/>
      <c r="B187" s="2809" t="s">
        <v>24</v>
      </c>
      <c r="C187" s="3117"/>
      <c r="D187" s="1547">
        <f>+E187+I187+J187+K187+L187</f>
        <v>0</v>
      </c>
      <c r="E187" s="1550">
        <f>+F187+G187+H187</f>
        <v>0</v>
      </c>
      <c r="F187" s="1548"/>
      <c r="G187" s="1548"/>
      <c r="H187" s="1550"/>
      <c r="I187" s="1550"/>
      <c r="J187" s="1550"/>
      <c r="K187" s="1548"/>
      <c r="L187" s="1548"/>
      <c r="M187" s="1548"/>
      <c r="N187" s="1548"/>
      <c r="O187" s="1548"/>
      <c r="P187" s="1548"/>
      <c r="Q187" s="1548"/>
      <c r="R187" s="1548"/>
      <c r="S187" s="1548"/>
      <c r="T187" s="1548"/>
      <c r="U187" s="1548"/>
      <c r="V187" s="1548"/>
      <c r="W187" s="1548"/>
      <c r="X187" s="2810">
        <f>+L187+M187+O187</f>
        <v>0</v>
      </c>
      <c r="Y187" s="3114"/>
    </row>
    <row r="188" spans="1:27" ht="11.25" hidden="1" customHeight="1">
      <c r="A188" s="3112"/>
      <c r="B188" s="2809" t="s">
        <v>25</v>
      </c>
      <c r="C188" s="3117"/>
      <c r="D188" s="1547">
        <f>+E188+I188+J188+K188+L188+N188+O188+P188</f>
        <v>0</v>
      </c>
      <c r="E188" s="1550">
        <f>+F188+G188+H188</f>
        <v>0</v>
      </c>
      <c r="F188" s="1548"/>
      <c r="G188" s="1548">
        <v>0</v>
      </c>
      <c r="H188" s="1550"/>
      <c r="I188" s="1550">
        <v>0</v>
      </c>
      <c r="J188" s="1550">
        <v>0</v>
      </c>
      <c r="K188" s="1548">
        <v>0</v>
      </c>
      <c r="L188" s="1548">
        <v>0</v>
      </c>
      <c r="M188" s="1548">
        <v>0</v>
      </c>
      <c r="N188" s="1548">
        <v>0</v>
      </c>
      <c r="O188" s="1548">
        <v>0</v>
      </c>
      <c r="P188" s="1548"/>
      <c r="Q188" s="1548"/>
      <c r="R188" s="1548"/>
      <c r="S188" s="1548"/>
      <c r="T188" s="1548"/>
      <c r="U188" s="1548"/>
      <c r="V188" s="1548"/>
      <c r="W188" s="1548"/>
      <c r="X188" s="2810">
        <f>SUM(O188:R188)</f>
        <v>0</v>
      </c>
      <c r="Y188" s="3114"/>
    </row>
    <row r="189" spans="1:27" ht="12.75" hidden="1" customHeight="1">
      <c r="A189" s="3112"/>
      <c r="B189" s="2807" t="s">
        <v>30</v>
      </c>
      <c r="C189" s="3117"/>
      <c r="D189" s="1545">
        <f>+D190</f>
        <v>0</v>
      </c>
      <c r="E189" s="1545">
        <f t="shared" ref="E189:O189" si="170">+E190</f>
        <v>0</v>
      </c>
      <c r="F189" s="1545">
        <f t="shared" si="170"/>
        <v>0</v>
      </c>
      <c r="G189" s="1545">
        <f t="shared" si="170"/>
        <v>0</v>
      </c>
      <c r="H189" s="1545">
        <f t="shared" si="170"/>
        <v>0</v>
      </c>
      <c r="I189" s="1545">
        <f t="shared" si="170"/>
        <v>0</v>
      </c>
      <c r="J189" s="1545">
        <f t="shared" si="170"/>
        <v>0</v>
      </c>
      <c r="K189" s="1545">
        <f t="shared" si="170"/>
        <v>0</v>
      </c>
      <c r="L189" s="1545">
        <f t="shared" si="170"/>
        <v>0</v>
      </c>
      <c r="M189" s="1545">
        <f t="shared" si="170"/>
        <v>0</v>
      </c>
      <c r="N189" s="1545">
        <f t="shared" si="170"/>
        <v>0</v>
      </c>
      <c r="O189" s="1545">
        <f t="shared" si="170"/>
        <v>0</v>
      </c>
      <c r="P189" s="1545">
        <f t="shared" ref="P189:X189" si="171">+P190</f>
        <v>0</v>
      </c>
      <c r="Q189" s="1545">
        <f t="shared" si="171"/>
        <v>0</v>
      </c>
      <c r="R189" s="1545">
        <f t="shared" si="171"/>
        <v>0</v>
      </c>
      <c r="S189" s="1545">
        <f t="shared" si="171"/>
        <v>0</v>
      </c>
      <c r="T189" s="1545">
        <f t="shared" si="171"/>
        <v>0</v>
      </c>
      <c r="U189" s="1545"/>
      <c r="V189" s="1545"/>
      <c r="W189" s="1545"/>
      <c r="X189" s="2580">
        <f t="shared" si="171"/>
        <v>0</v>
      </c>
      <c r="Y189" s="3114"/>
    </row>
    <row r="190" spans="1:27" ht="11.25" hidden="1" customHeight="1">
      <c r="A190" s="3112"/>
      <c r="B190" s="2809" t="s">
        <v>33</v>
      </c>
      <c r="C190" s="3117"/>
      <c r="D190" s="1547">
        <f>M190+O190+P190+Q190+R190+S190+T190+U190+V190+W190</f>
        <v>0</v>
      </c>
      <c r="E190" s="1550">
        <f>+F190+G190+H190</f>
        <v>0</v>
      </c>
      <c r="F190" s="1548"/>
      <c r="G190" s="1548"/>
      <c r="H190" s="1550"/>
      <c r="I190" s="1550">
        <v>0</v>
      </c>
      <c r="J190" s="1550"/>
      <c r="K190" s="1548"/>
      <c r="L190" s="1548"/>
      <c r="M190" s="1548"/>
      <c r="N190" s="1548"/>
      <c r="O190" s="1548"/>
      <c r="P190" s="1548"/>
      <c r="Q190" s="1548">
        <v>0</v>
      </c>
      <c r="R190" s="1548">
        <v>0</v>
      </c>
      <c r="S190" s="1548">
        <v>0</v>
      </c>
      <c r="T190" s="1548">
        <v>0</v>
      </c>
      <c r="U190" s="1548"/>
      <c r="V190" s="1548"/>
      <c r="W190" s="1548"/>
      <c r="X190" s="2810">
        <f>SUM(P190:T190)</f>
        <v>0</v>
      </c>
      <c r="Y190" s="3114"/>
    </row>
    <row r="191" spans="1:27" ht="11.25" hidden="1" customHeight="1">
      <c r="A191" s="3113"/>
      <c r="B191" s="2806" t="s">
        <v>34</v>
      </c>
      <c r="C191" s="2766"/>
      <c r="D191" s="2572">
        <f t="shared" ref="D191:L191" si="172">+D192+D194</f>
        <v>0</v>
      </c>
      <c r="E191" s="2572">
        <f t="shared" si="172"/>
        <v>0</v>
      </c>
      <c r="F191" s="2572">
        <f t="shared" si="172"/>
        <v>0</v>
      </c>
      <c r="G191" s="2572">
        <f t="shared" si="172"/>
        <v>0</v>
      </c>
      <c r="H191" s="2572">
        <f t="shared" si="172"/>
        <v>0</v>
      </c>
      <c r="I191" s="2572">
        <f t="shared" si="172"/>
        <v>0</v>
      </c>
      <c r="J191" s="2572">
        <f t="shared" si="172"/>
        <v>0</v>
      </c>
      <c r="K191" s="2572">
        <f t="shared" si="172"/>
        <v>0</v>
      </c>
      <c r="L191" s="2572">
        <f t="shared" si="172"/>
        <v>0</v>
      </c>
      <c r="M191" s="2572">
        <f>+M192+M194</f>
        <v>0</v>
      </c>
      <c r="N191" s="2572">
        <f>+N192+N194</f>
        <v>0</v>
      </c>
      <c r="O191" s="2572">
        <f>+O192+O194</f>
        <v>0</v>
      </c>
      <c r="P191" s="2572">
        <f>+P192+P194</f>
        <v>0</v>
      </c>
      <c r="Q191" s="2572">
        <f>+Q192+Q194</f>
        <v>0</v>
      </c>
      <c r="R191" s="2572">
        <f t="shared" ref="R191:T191" si="173">+R192+R194</f>
        <v>0</v>
      </c>
      <c r="S191" s="2572">
        <f t="shared" si="173"/>
        <v>0</v>
      </c>
      <c r="T191" s="2572">
        <f t="shared" si="173"/>
        <v>0</v>
      </c>
      <c r="U191" s="2572"/>
      <c r="V191" s="2572"/>
      <c r="W191" s="2572"/>
      <c r="X191" s="3120" t="s">
        <v>77</v>
      </c>
      <c r="Y191" s="3115"/>
    </row>
    <row r="192" spans="1:27" ht="11.25" hidden="1" customHeight="1">
      <c r="A192" s="3113"/>
      <c r="B192" s="2844" t="s">
        <v>36</v>
      </c>
      <c r="C192" s="3118" t="s">
        <v>350</v>
      </c>
      <c r="D192" s="1545">
        <f t="shared" ref="D192:O192" si="174">+D193</f>
        <v>0</v>
      </c>
      <c r="E192" s="1545">
        <f t="shared" si="174"/>
        <v>0</v>
      </c>
      <c r="F192" s="1545">
        <f t="shared" si="174"/>
        <v>0</v>
      </c>
      <c r="G192" s="1545">
        <f t="shared" si="174"/>
        <v>0</v>
      </c>
      <c r="H192" s="1545">
        <f t="shared" si="174"/>
        <v>0</v>
      </c>
      <c r="I192" s="1545">
        <f t="shared" si="174"/>
        <v>0</v>
      </c>
      <c r="J192" s="1545">
        <f t="shared" si="174"/>
        <v>0</v>
      </c>
      <c r="K192" s="1545">
        <f t="shared" si="174"/>
        <v>0</v>
      </c>
      <c r="L192" s="1545">
        <f t="shared" si="174"/>
        <v>0</v>
      </c>
      <c r="M192" s="1545">
        <f t="shared" si="174"/>
        <v>0</v>
      </c>
      <c r="N192" s="1545">
        <f t="shared" si="174"/>
        <v>0</v>
      </c>
      <c r="O192" s="1545">
        <f t="shared" si="174"/>
        <v>0</v>
      </c>
      <c r="P192" s="1545">
        <f t="shared" ref="P192" si="175">+P193</f>
        <v>0</v>
      </c>
      <c r="Q192" s="1545">
        <v>0</v>
      </c>
      <c r="R192" s="1545">
        <v>0</v>
      </c>
      <c r="S192" s="1545">
        <v>0</v>
      </c>
      <c r="T192" s="1545">
        <v>0</v>
      </c>
      <c r="U192" s="1545"/>
      <c r="V192" s="1545"/>
      <c r="W192" s="1545"/>
      <c r="X192" s="3120"/>
      <c r="Y192" s="3115"/>
    </row>
    <row r="193" spans="1:29" ht="19.149999999999999" hidden="1" customHeight="1">
      <c r="A193" s="3113"/>
      <c r="B193" s="2809" t="s">
        <v>25</v>
      </c>
      <c r="C193" s="3117"/>
      <c r="D193" s="1547">
        <f>+E193+I193+J193+K193+L193+N193+O193+P193</f>
        <v>0</v>
      </c>
      <c r="E193" s="1547">
        <f>+F193+G193+H193</f>
        <v>0</v>
      </c>
      <c r="F193" s="1547"/>
      <c r="G193" s="1547"/>
      <c r="H193" s="1547"/>
      <c r="I193" s="1547">
        <v>0</v>
      </c>
      <c r="J193" s="1547">
        <v>0</v>
      </c>
      <c r="K193" s="1547"/>
      <c r="L193" s="1547"/>
      <c r="M193" s="1547"/>
      <c r="N193" s="1547"/>
      <c r="O193" s="1547"/>
      <c r="P193" s="1547"/>
      <c r="Q193" s="1547"/>
      <c r="R193" s="1547"/>
      <c r="S193" s="1547"/>
      <c r="T193" s="1547"/>
      <c r="U193" s="1547"/>
      <c r="V193" s="1547"/>
      <c r="W193" s="1547"/>
      <c r="X193" s="3120"/>
      <c r="Y193" s="3115"/>
    </row>
    <row r="194" spans="1:29" ht="18.600000000000001" hidden="1" customHeight="1">
      <c r="A194" s="3113"/>
      <c r="B194" s="2807" t="s">
        <v>30</v>
      </c>
      <c r="C194" s="3119"/>
      <c r="D194" s="1545">
        <f t="shared" ref="D194:O194" si="176">+D195</f>
        <v>0</v>
      </c>
      <c r="E194" s="1545">
        <f t="shared" si="176"/>
        <v>0</v>
      </c>
      <c r="F194" s="1545">
        <f t="shared" si="176"/>
        <v>0</v>
      </c>
      <c r="G194" s="1545">
        <f t="shared" si="176"/>
        <v>0</v>
      </c>
      <c r="H194" s="1545">
        <f t="shared" si="176"/>
        <v>0</v>
      </c>
      <c r="I194" s="1545">
        <f t="shared" si="176"/>
        <v>0</v>
      </c>
      <c r="J194" s="1545">
        <f t="shared" si="176"/>
        <v>0</v>
      </c>
      <c r="K194" s="1545">
        <f t="shared" si="176"/>
        <v>0</v>
      </c>
      <c r="L194" s="1545">
        <f t="shared" si="176"/>
        <v>0</v>
      </c>
      <c r="M194" s="1545">
        <f t="shared" si="176"/>
        <v>0</v>
      </c>
      <c r="N194" s="1545">
        <f t="shared" si="176"/>
        <v>0</v>
      </c>
      <c r="O194" s="1545">
        <f t="shared" si="176"/>
        <v>0</v>
      </c>
      <c r="P194" s="1545">
        <f t="shared" ref="P194" si="177">+P195</f>
        <v>0</v>
      </c>
      <c r="Q194" s="1545">
        <v>0</v>
      </c>
      <c r="R194" s="1545">
        <v>0</v>
      </c>
      <c r="S194" s="1545">
        <v>0</v>
      </c>
      <c r="T194" s="1545">
        <v>0</v>
      </c>
      <c r="U194" s="1545"/>
      <c r="V194" s="1545"/>
      <c r="W194" s="1545"/>
      <c r="X194" s="3120"/>
      <c r="Y194" s="3115"/>
    </row>
    <row r="195" spans="1:29" ht="19.149999999999999" hidden="1" customHeight="1">
      <c r="A195" s="3113"/>
      <c r="B195" s="2809" t="s">
        <v>33</v>
      </c>
      <c r="C195" s="3119"/>
      <c r="D195" s="1547">
        <f>M195+O195+P195+Q195+R195+S195+T195+U195+V195+W195</f>
        <v>0</v>
      </c>
      <c r="E195" s="1548">
        <v>0</v>
      </c>
      <c r="F195" s="1548"/>
      <c r="G195" s="1548"/>
      <c r="H195" s="1548"/>
      <c r="I195" s="1548">
        <v>0</v>
      </c>
      <c r="J195" s="1548">
        <v>0</v>
      </c>
      <c r="K195" s="1548"/>
      <c r="L195" s="1548"/>
      <c r="M195" s="1548"/>
      <c r="N195" s="1548"/>
      <c r="O195" s="1548"/>
      <c r="P195" s="1548"/>
      <c r="Q195" s="1548">
        <v>0</v>
      </c>
      <c r="R195" s="1548">
        <v>0</v>
      </c>
      <c r="S195" s="1548">
        <v>0</v>
      </c>
      <c r="T195" s="1548">
        <v>0</v>
      </c>
      <c r="U195" s="1548"/>
      <c r="V195" s="1548"/>
      <c r="W195" s="1548"/>
      <c r="X195" s="3120"/>
      <c r="Y195" s="3115"/>
    </row>
    <row r="196" spans="1:29" ht="19.149999999999999" hidden="1" customHeight="1">
      <c r="A196" s="3112" t="s">
        <v>109</v>
      </c>
      <c r="B196" s="2845"/>
      <c r="C196" s="2846" t="s">
        <v>130</v>
      </c>
      <c r="D196" s="1543"/>
      <c r="E196" s="1543"/>
      <c r="F196" s="1543"/>
      <c r="G196" s="1543"/>
      <c r="H196" s="1543"/>
      <c r="I196" s="2847"/>
      <c r="J196" s="2847"/>
      <c r="K196" s="2847"/>
      <c r="L196" s="2847"/>
      <c r="M196" s="2847"/>
      <c r="N196" s="2847"/>
      <c r="O196" s="2847"/>
      <c r="P196" s="2847"/>
      <c r="Q196" s="2847"/>
      <c r="R196" s="2847"/>
      <c r="S196" s="2847"/>
      <c r="T196" s="2847"/>
      <c r="U196" s="2847"/>
      <c r="V196" s="2847"/>
      <c r="W196" s="2847"/>
      <c r="X196" s="2686"/>
      <c r="Y196" s="3114" t="s">
        <v>151</v>
      </c>
    </row>
    <row r="197" spans="1:29" ht="18.600000000000001" hidden="1" customHeight="1">
      <c r="A197" s="3112"/>
      <c r="B197" s="2806" t="s">
        <v>22</v>
      </c>
      <c r="C197" s="1549"/>
      <c r="D197" s="1549">
        <f t="shared" ref="D197:P197" si="178">+D198+D201</f>
        <v>0</v>
      </c>
      <c r="E197" s="1549">
        <f t="shared" si="178"/>
        <v>0</v>
      </c>
      <c r="F197" s="1549">
        <f t="shared" si="178"/>
        <v>0</v>
      </c>
      <c r="G197" s="1549">
        <f t="shared" si="178"/>
        <v>0</v>
      </c>
      <c r="H197" s="1549">
        <f t="shared" si="178"/>
        <v>0</v>
      </c>
      <c r="I197" s="1549">
        <f t="shared" si="178"/>
        <v>0</v>
      </c>
      <c r="J197" s="1549">
        <f t="shared" si="178"/>
        <v>0</v>
      </c>
      <c r="K197" s="1549">
        <f t="shared" si="178"/>
        <v>0</v>
      </c>
      <c r="L197" s="1549">
        <f t="shared" si="178"/>
        <v>0</v>
      </c>
      <c r="M197" s="1549">
        <f t="shared" ref="M197" si="179">+M198+M201</f>
        <v>0</v>
      </c>
      <c r="N197" s="1549">
        <f t="shared" si="178"/>
        <v>0</v>
      </c>
      <c r="O197" s="1549">
        <f t="shared" si="178"/>
        <v>0</v>
      </c>
      <c r="P197" s="1549">
        <f t="shared" si="178"/>
        <v>0</v>
      </c>
      <c r="Q197" s="1549">
        <f>+Q198+Q201</f>
        <v>0</v>
      </c>
      <c r="R197" s="1549"/>
      <c r="S197" s="1549"/>
      <c r="T197" s="1549"/>
      <c r="U197" s="1549"/>
      <c r="V197" s="1549"/>
      <c r="W197" s="1549"/>
      <c r="X197" s="1544">
        <f>+X198+X201</f>
        <v>0</v>
      </c>
      <c r="Y197" s="3114"/>
      <c r="Z197" s="1540">
        <f>+O197+P197+Q197+R197</f>
        <v>0</v>
      </c>
      <c r="AA197" s="1540"/>
    </row>
    <row r="198" spans="1:29" ht="19.149999999999999" hidden="1" customHeight="1">
      <c r="A198" s="3112"/>
      <c r="B198" s="2850" t="s">
        <v>36</v>
      </c>
      <c r="C198" s="3116" t="s">
        <v>350</v>
      </c>
      <c r="D198" s="2850">
        <f t="shared" ref="D198:P198" si="180">+D199+D200</f>
        <v>0</v>
      </c>
      <c r="E198" s="2850">
        <f t="shared" si="180"/>
        <v>0</v>
      </c>
      <c r="F198" s="2850">
        <f t="shared" si="180"/>
        <v>0</v>
      </c>
      <c r="G198" s="2850">
        <f t="shared" si="180"/>
        <v>0</v>
      </c>
      <c r="H198" s="2850">
        <f t="shared" si="180"/>
        <v>0</v>
      </c>
      <c r="I198" s="2850">
        <f t="shared" si="180"/>
        <v>0</v>
      </c>
      <c r="J198" s="2850">
        <f t="shared" si="180"/>
        <v>0</v>
      </c>
      <c r="K198" s="2850">
        <f t="shared" si="180"/>
        <v>0</v>
      </c>
      <c r="L198" s="2850">
        <f t="shared" si="180"/>
        <v>0</v>
      </c>
      <c r="M198" s="2850">
        <f t="shared" ref="M198" si="181">+M199+M200</f>
        <v>0</v>
      </c>
      <c r="N198" s="2850">
        <f t="shared" si="180"/>
        <v>0</v>
      </c>
      <c r="O198" s="2850">
        <f t="shared" si="180"/>
        <v>0</v>
      </c>
      <c r="P198" s="2850">
        <f t="shared" si="180"/>
        <v>0</v>
      </c>
      <c r="Q198" s="2850">
        <f>+Q199+Q200</f>
        <v>0</v>
      </c>
      <c r="R198" s="2850"/>
      <c r="S198" s="2850"/>
      <c r="T198" s="2850"/>
      <c r="U198" s="2850"/>
      <c r="V198" s="2850"/>
      <c r="W198" s="2850"/>
      <c r="X198" s="1551">
        <f>+X199+X200</f>
        <v>0</v>
      </c>
      <c r="Y198" s="3114"/>
    </row>
    <row r="199" spans="1:29" ht="19.899999999999999" hidden="1" customHeight="1">
      <c r="A199" s="3112"/>
      <c r="B199" s="2850" t="s">
        <v>24</v>
      </c>
      <c r="C199" s="3117"/>
      <c r="D199" s="2850">
        <f>+E199+I199+J199+K199+L199</f>
        <v>0</v>
      </c>
      <c r="E199" s="2850">
        <f>+F199+G199+H199</f>
        <v>0</v>
      </c>
      <c r="F199" s="2850"/>
      <c r="G199" s="2850"/>
      <c r="H199" s="2850"/>
      <c r="I199" s="2850"/>
      <c r="J199" s="2850"/>
      <c r="K199" s="2850"/>
      <c r="L199" s="2850"/>
      <c r="M199" s="2850"/>
      <c r="N199" s="2850"/>
      <c r="O199" s="2850"/>
      <c r="P199" s="2850"/>
      <c r="Q199" s="2850"/>
      <c r="R199" s="2850"/>
      <c r="S199" s="2850"/>
      <c r="T199" s="2850"/>
      <c r="U199" s="2850"/>
      <c r="V199" s="2850"/>
      <c r="W199" s="2850"/>
      <c r="X199" s="2810">
        <f>+L199+M199+O199</f>
        <v>0</v>
      </c>
      <c r="Y199" s="3114"/>
    </row>
    <row r="200" spans="1:29" ht="17.45" hidden="1" customHeight="1">
      <c r="A200" s="3112"/>
      <c r="B200" s="2850" t="s">
        <v>25</v>
      </c>
      <c r="C200" s="3117"/>
      <c r="D200" s="2850">
        <f>+E200+I200+J200+K200+L200+N200+O200+P200</f>
        <v>0</v>
      </c>
      <c r="E200" s="2850">
        <f>+F200+G200+H200</f>
        <v>0</v>
      </c>
      <c r="F200" s="2850"/>
      <c r="G200" s="2850">
        <v>0</v>
      </c>
      <c r="H200" s="2850"/>
      <c r="I200" s="2850"/>
      <c r="J200" s="2850"/>
      <c r="K200" s="2850"/>
      <c r="L200" s="2850"/>
      <c r="M200" s="2850"/>
      <c r="N200" s="2850"/>
      <c r="O200" s="2850"/>
      <c r="P200" s="2850"/>
      <c r="Q200" s="2850"/>
      <c r="R200" s="2850"/>
      <c r="S200" s="2850"/>
      <c r="T200" s="2850"/>
      <c r="U200" s="2850"/>
      <c r="V200" s="2850"/>
      <c r="W200" s="2850"/>
      <c r="X200" s="2810">
        <f>SUM(O200:R200)</f>
        <v>0</v>
      </c>
      <c r="Y200" s="3114"/>
    </row>
    <row r="201" spans="1:29" ht="17.45" hidden="1" customHeight="1">
      <c r="A201" s="3112"/>
      <c r="B201" s="2807" t="s">
        <v>30</v>
      </c>
      <c r="C201" s="3117"/>
      <c r="D201" s="1545">
        <f>+D202</f>
        <v>0</v>
      </c>
      <c r="E201" s="1545">
        <f t="shared" ref="E201:X201" si="182">+E202</f>
        <v>0</v>
      </c>
      <c r="F201" s="1545">
        <f t="shared" si="182"/>
        <v>0</v>
      </c>
      <c r="G201" s="1545">
        <f t="shared" si="182"/>
        <v>0</v>
      </c>
      <c r="H201" s="1545">
        <f t="shared" si="182"/>
        <v>0</v>
      </c>
      <c r="I201" s="1545">
        <f t="shared" si="182"/>
        <v>0</v>
      </c>
      <c r="J201" s="1545">
        <f t="shared" si="182"/>
        <v>0</v>
      </c>
      <c r="K201" s="1545">
        <f t="shared" si="182"/>
        <v>0</v>
      </c>
      <c r="L201" s="1545">
        <f t="shared" si="182"/>
        <v>0</v>
      </c>
      <c r="M201" s="1545">
        <f t="shared" si="182"/>
        <v>0</v>
      </c>
      <c r="N201" s="1545">
        <f t="shared" si="182"/>
        <v>0</v>
      </c>
      <c r="O201" s="1545">
        <f t="shared" si="182"/>
        <v>0</v>
      </c>
      <c r="P201" s="1545">
        <f t="shared" si="182"/>
        <v>0</v>
      </c>
      <c r="Q201" s="1545">
        <f t="shared" si="182"/>
        <v>0</v>
      </c>
      <c r="R201" s="1545"/>
      <c r="S201" s="1545"/>
      <c r="T201" s="1545"/>
      <c r="U201" s="1545"/>
      <c r="V201" s="1545"/>
      <c r="W201" s="1545"/>
      <c r="X201" s="2580">
        <f t="shared" si="182"/>
        <v>0</v>
      </c>
      <c r="Y201" s="3114"/>
    </row>
    <row r="202" spans="1:29" ht="18" hidden="1" customHeight="1">
      <c r="A202" s="3112"/>
      <c r="B202" s="2809" t="s">
        <v>33</v>
      </c>
      <c r="C202" s="3117"/>
      <c r="D202" s="1547">
        <f>M202+O202+P202+Q202+R202+S202+T202+U202+V202+W202</f>
        <v>0</v>
      </c>
      <c r="E202" s="1550">
        <f>+F202+G202+H202</f>
        <v>0</v>
      </c>
      <c r="F202" s="1548"/>
      <c r="G202" s="1548"/>
      <c r="H202" s="1550"/>
      <c r="I202" s="1550">
        <v>0</v>
      </c>
      <c r="J202" s="1550">
        <v>0</v>
      </c>
      <c r="K202" s="1548"/>
      <c r="L202" s="1548"/>
      <c r="M202" s="1548"/>
      <c r="N202" s="1548"/>
      <c r="O202" s="1548"/>
      <c r="P202" s="1548"/>
      <c r="Q202" s="1548">
        <v>0</v>
      </c>
      <c r="R202" s="1548"/>
      <c r="S202" s="1548"/>
      <c r="T202" s="1548"/>
      <c r="U202" s="1548"/>
      <c r="V202" s="1548"/>
      <c r="W202" s="1548"/>
      <c r="X202" s="2810">
        <f>SUM(P202:T202)</f>
        <v>0</v>
      </c>
      <c r="Y202" s="3114"/>
    </row>
    <row r="203" spans="1:29" ht="18" hidden="1" customHeight="1">
      <c r="A203" s="3113"/>
      <c r="B203" s="2806" t="s">
        <v>34</v>
      </c>
      <c r="C203" s="2766"/>
      <c r="D203" s="2572">
        <f t="shared" ref="D203:L203" si="183">+D204+D206</f>
        <v>0</v>
      </c>
      <c r="E203" s="2572">
        <f t="shared" si="183"/>
        <v>0</v>
      </c>
      <c r="F203" s="2572">
        <f t="shared" si="183"/>
        <v>0</v>
      </c>
      <c r="G203" s="2572">
        <f t="shared" si="183"/>
        <v>0</v>
      </c>
      <c r="H203" s="2572">
        <f t="shared" si="183"/>
        <v>0</v>
      </c>
      <c r="I203" s="2572">
        <f t="shared" si="183"/>
        <v>0</v>
      </c>
      <c r="J203" s="2572">
        <f t="shared" si="183"/>
        <v>0</v>
      </c>
      <c r="K203" s="2572">
        <f t="shared" si="183"/>
        <v>0</v>
      </c>
      <c r="L203" s="2572">
        <f t="shared" si="183"/>
        <v>0</v>
      </c>
      <c r="M203" s="2572">
        <f t="shared" ref="M203" si="184">+M204+M206</f>
        <v>0</v>
      </c>
      <c r="N203" s="2572">
        <f>+N204+N206</f>
        <v>0</v>
      </c>
      <c r="O203" s="2572">
        <f>+O204+O206</f>
        <v>0</v>
      </c>
      <c r="P203" s="2572">
        <f>+P204+P206</f>
        <v>0</v>
      </c>
      <c r="Q203" s="2572">
        <f>+Q204+Q206</f>
        <v>0</v>
      </c>
      <c r="R203" s="2572"/>
      <c r="S203" s="2572"/>
      <c r="T203" s="2572"/>
      <c r="U203" s="2572"/>
      <c r="V203" s="2572"/>
      <c r="W203" s="2572"/>
      <c r="X203" s="3120" t="s">
        <v>77</v>
      </c>
      <c r="Y203" s="3115"/>
    </row>
    <row r="204" spans="1:29" ht="18.600000000000001" hidden="1" customHeight="1">
      <c r="A204" s="3113"/>
      <c r="B204" s="2813" t="s">
        <v>36</v>
      </c>
      <c r="C204" s="3118" t="s">
        <v>350</v>
      </c>
      <c r="D204" s="1545">
        <f t="shared" ref="D204:Q204" si="185">+D205</f>
        <v>0</v>
      </c>
      <c r="E204" s="1545">
        <f t="shared" si="185"/>
        <v>0</v>
      </c>
      <c r="F204" s="1545">
        <f t="shared" si="185"/>
        <v>0</v>
      </c>
      <c r="G204" s="1545">
        <f t="shared" si="185"/>
        <v>0</v>
      </c>
      <c r="H204" s="1545">
        <f t="shared" si="185"/>
        <v>0</v>
      </c>
      <c r="I204" s="1545">
        <f t="shared" si="185"/>
        <v>0</v>
      </c>
      <c r="J204" s="1545">
        <f t="shared" si="185"/>
        <v>0</v>
      </c>
      <c r="K204" s="1545">
        <f t="shared" si="185"/>
        <v>0</v>
      </c>
      <c r="L204" s="1545">
        <f t="shared" si="185"/>
        <v>0</v>
      </c>
      <c r="M204" s="1545">
        <f t="shared" si="185"/>
        <v>0</v>
      </c>
      <c r="N204" s="1545">
        <f t="shared" si="185"/>
        <v>0</v>
      </c>
      <c r="O204" s="1545">
        <f t="shared" si="185"/>
        <v>0</v>
      </c>
      <c r="P204" s="1545">
        <f t="shared" si="185"/>
        <v>0</v>
      </c>
      <c r="Q204" s="1545">
        <f t="shared" si="185"/>
        <v>0</v>
      </c>
      <c r="R204" s="1545"/>
      <c r="S204" s="1545"/>
      <c r="T204" s="1545"/>
      <c r="U204" s="1545"/>
      <c r="V204" s="1545"/>
      <c r="W204" s="1545"/>
      <c r="X204" s="3120"/>
      <c r="Y204" s="3115"/>
    </row>
    <row r="205" spans="1:29" ht="18.600000000000001" hidden="1" customHeight="1">
      <c r="A205" s="3113"/>
      <c r="B205" s="2850" t="s">
        <v>25</v>
      </c>
      <c r="C205" s="3117"/>
      <c r="D205" s="1547">
        <f>M205+O205+P205+Q205+R205+S205+T205+U205+V205+W205</f>
        <v>0</v>
      </c>
      <c r="E205" s="1548">
        <f>+F205+G205+H205</f>
        <v>0</v>
      </c>
      <c r="F205" s="1548"/>
      <c r="G205" s="1548"/>
      <c r="H205" s="1548"/>
      <c r="I205" s="1548"/>
      <c r="J205" s="1548"/>
      <c r="K205" s="1548"/>
      <c r="L205" s="1548"/>
      <c r="M205" s="1548">
        <f>+L205+K205+J205+I205+E205+N205</f>
        <v>0</v>
      </c>
      <c r="N205" s="1548"/>
      <c r="O205" s="1548"/>
      <c r="P205" s="1548"/>
      <c r="Q205" s="1548"/>
      <c r="R205" s="1548"/>
      <c r="S205" s="1548"/>
      <c r="T205" s="1548"/>
      <c r="U205" s="1548"/>
      <c r="V205" s="1548"/>
      <c r="W205" s="1548"/>
      <c r="X205" s="3120"/>
      <c r="Y205" s="3115"/>
    </row>
    <row r="206" spans="1:29" ht="19.149999999999999" hidden="1" customHeight="1">
      <c r="A206" s="3113"/>
      <c r="B206" s="2813" t="s">
        <v>30</v>
      </c>
      <c r="C206" s="3119"/>
      <c r="D206" s="1545">
        <f t="shared" ref="D206:Q206" si="186">+D207</f>
        <v>0</v>
      </c>
      <c r="E206" s="1545">
        <f t="shared" si="186"/>
        <v>0</v>
      </c>
      <c r="F206" s="1545">
        <f t="shared" si="186"/>
        <v>0</v>
      </c>
      <c r="G206" s="1545">
        <f t="shared" si="186"/>
        <v>0</v>
      </c>
      <c r="H206" s="1545">
        <f t="shared" si="186"/>
        <v>0</v>
      </c>
      <c r="I206" s="1545">
        <f t="shared" si="186"/>
        <v>0</v>
      </c>
      <c r="J206" s="1545">
        <f t="shared" si="186"/>
        <v>0</v>
      </c>
      <c r="K206" s="1545">
        <f t="shared" si="186"/>
        <v>0</v>
      </c>
      <c r="L206" s="1545">
        <f t="shared" si="186"/>
        <v>0</v>
      </c>
      <c r="M206" s="1545">
        <f t="shared" si="186"/>
        <v>0</v>
      </c>
      <c r="N206" s="1545">
        <f t="shared" si="186"/>
        <v>0</v>
      </c>
      <c r="O206" s="1545">
        <f t="shared" si="186"/>
        <v>0</v>
      </c>
      <c r="P206" s="1545">
        <f t="shared" si="186"/>
        <v>0</v>
      </c>
      <c r="Q206" s="1545">
        <f t="shared" si="186"/>
        <v>0</v>
      </c>
      <c r="R206" s="1545"/>
      <c r="S206" s="1545"/>
      <c r="T206" s="1545"/>
      <c r="U206" s="1545"/>
      <c r="V206" s="1545"/>
      <c r="W206" s="1545"/>
      <c r="X206" s="3120"/>
      <c r="Y206" s="3115"/>
    </row>
    <row r="207" spans="1:29" ht="12.75" hidden="1" customHeight="1">
      <c r="A207" s="3113"/>
      <c r="B207" s="2813" t="s">
        <v>33</v>
      </c>
      <c r="C207" s="3119"/>
      <c r="D207" s="1547">
        <f>M207+O207+P207+Q207+R207+S207+T207+U207+V207+W207</f>
        <v>0</v>
      </c>
      <c r="E207" s="1548">
        <f>+F207+G207+H207</f>
        <v>0</v>
      </c>
      <c r="F207" s="1548"/>
      <c r="G207" s="1548"/>
      <c r="H207" s="1548"/>
      <c r="I207" s="1548">
        <v>0</v>
      </c>
      <c r="J207" s="1548">
        <v>0</v>
      </c>
      <c r="K207" s="1548">
        <f>219301-219301</f>
        <v>0</v>
      </c>
      <c r="L207" s="1548">
        <f>450000-320000-130000</f>
        <v>0</v>
      </c>
      <c r="M207" s="1548"/>
      <c r="N207" s="1548"/>
      <c r="O207" s="1548"/>
      <c r="P207" s="1548"/>
      <c r="Q207" s="1548"/>
      <c r="R207" s="1548"/>
      <c r="S207" s="1548"/>
      <c r="T207" s="1548"/>
      <c r="U207" s="1548"/>
      <c r="V207" s="1548"/>
      <c r="W207" s="1548"/>
      <c r="X207" s="3120"/>
      <c r="Y207" s="3115"/>
    </row>
    <row r="208" spans="1:29" ht="18.75" customHeight="1">
      <c r="A208" s="3112" t="s">
        <v>83</v>
      </c>
      <c r="B208" s="2845" t="s">
        <v>493</v>
      </c>
      <c r="C208" s="2846" t="s">
        <v>130</v>
      </c>
      <c r="D208" s="1543"/>
      <c r="E208" s="1543"/>
      <c r="F208" s="1543"/>
      <c r="G208" s="1543"/>
      <c r="H208" s="1543"/>
      <c r="I208" s="2847"/>
      <c r="J208" s="2847"/>
      <c r="K208" s="2847"/>
      <c r="L208" s="2847"/>
      <c r="M208" s="2847"/>
      <c r="N208" s="2847"/>
      <c r="O208" s="2847"/>
      <c r="P208" s="2847"/>
      <c r="Q208" s="2847"/>
      <c r="R208" s="2847"/>
      <c r="S208" s="2847"/>
      <c r="T208" s="2847"/>
      <c r="U208" s="2847"/>
      <c r="V208" s="2847"/>
      <c r="W208" s="2847"/>
      <c r="X208" s="2686"/>
      <c r="Y208" s="3114" t="s">
        <v>543</v>
      </c>
      <c r="AC208" s="1552"/>
    </row>
    <row r="209" spans="1:29" ht="12" customHeight="1">
      <c r="A209" s="3112"/>
      <c r="B209" s="2806" t="s">
        <v>22</v>
      </c>
      <c r="C209" s="2766"/>
      <c r="D209" s="1549">
        <f>+D210+D213</f>
        <v>76197455</v>
      </c>
      <c r="E209" s="1549">
        <f t="shared" ref="E209:P209" si="187">+E210+E213</f>
        <v>0</v>
      </c>
      <c r="F209" s="1549">
        <f t="shared" si="187"/>
        <v>0</v>
      </c>
      <c r="G209" s="1549">
        <f t="shared" si="187"/>
        <v>0</v>
      </c>
      <c r="H209" s="1549">
        <f t="shared" si="187"/>
        <v>0</v>
      </c>
      <c r="I209" s="1549">
        <f t="shared" si="187"/>
        <v>0</v>
      </c>
      <c r="J209" s="1549">
        <f t="shared" si="187"/>
        <v>0</v>
      </c>
      <c r="K209" s="1549">
        <f t="shared" si="187"/>
        <v>0</v>
      </c>
      <c r="L209" s="1549">
        <f t="shared" si="187"/>
        <v>0</v>
      </c>
      <c r="M209" s="1549">
        <f t="shared" ref="M209" si="188">+M210+M213</f>
        <v>0</v>
      </c>
      <c r="N209" s="1549">
        <f t="shared" si="187"/>
        <v>0</v>
      </c>
      <c r="O209" s="1549">
        <f t="shared" si="187"/>
        <v>305194</v>
      </c>
      <c r="P209" s="1549">
        <f t="shared" si="187"/>
        <v>9786275</v>
      </c>
      <c r="Q209" s="1549">
        <f>+Q210+Q213</f>
        <v>9798728</v>
      </c>
      <c r="R209" s="1549">
        <f t="shared" ref="R209:T209" si="189">+R210+R213</f>
        <v>9786275</v>
      </c>
      <c r="S209" s="1549">
        <f t="shared" si="189"/>
        <v>9681275</v>
      </c>
      <c r="T209" s="1549">
        <f t="shared" si="189"/>
        <v>9701275</v>
      </c>
      <c r="U209" s="1549">
        <f t="shared" ref="U209:W209" si="190">+U210+U213</f>
        <v>9597275</v>
      </c>
      <c r="V209" s="1549">
        <f t="shared" si="190"/>
        <v>8877275</v>
      </c>
      <c r="W209" s="1549">
        <f t="shared" si="190"/>
        <v>8663883</v>
      </c>
      <c r="X209" s="1544">
        <f>+X210+X213</f>
        <v>75892261</v>
      </c>
      <c r="Y209" s="3114"/>
      <c r="Z209" s="1540">
        <f>+O209+P209+Q209+R209</f>
        <v>29676472</v>
      </c>
      <c r="AA209" s="1540"/>
      <c r="AB209" s="1540"/>
      <c r="AC209" s="1540"/>
    </row>
    <row r="210" spans="1:29" ht="14.25" customHeight="1">
      <c r="A210" s="3112"/>
      <c r="B210" s="2844" t="s">
        <v>36</v>
      </c>
      <c r="C210" s="3116" t="s">
        <v>150</v>
      </c>
      <c r="D210" s="1546">
        <f t="shared" ref="D210:P210" si="191">+D211+D212</f>
        <v>11429618</v>
      </c>
      <c r="E210" s="1546">
        <f t="shared" si="191"/>
        <v>0</v>
      </c>
      <c r="F210" s="1546">
        <f t="shared" si="191"/>
        <v>0</v>
      </c>
      <c r="G210" s="1546">
        <f t="shared" si="191"/>
        <v>0</v>
      </c>
      <c r="H210" s="1546">
        <f t="shared" si="191"/>
        <v>0</v>
      </c>
      <c r="I210" s="1546">
        <f t="shared" si="191"/>
        <v>0</v>
      </c>
      <c r="J210" s="1546">
        <f t="shared" si="191"/>
        <v>0</v>
      </c>
      <c r="K210" s="1546">
        <f t="shared" si="191"/>
        <v>0</v>
      </c>
      <c r="L210" s="1546">
        <f t="shared" si="191"/>
        <v>0</v>
      </c>
      <c r="M210" s="1546">
        <f t="shared" ref="M210" si="192">+M211+M212</f>
        <v>0</v>
      </c>
      <c r="N210" s="1546">
        <f t="shared" si="191"/>
        <v>0</v>
      </c>
      <c r="O210" s="1546">
        <f t="shared" si="191"/>
        <v>45779</v>
      </c>
      <c r="P210" s="2863">
        <f t="shared" si="191"/>
        <v>1467941</v>
      </c>
      <c r="Q210" s="1546">
        <f>+Q211+Q212</f>
        <v>1469809</v>
      </c>
      <c r="R210" s="1546">
        <f t="shared" ref="R210:T210" si="193">+R211+R212</f>
        <v>1467941</v>
      </c>
      <c r="S210" s="1546">
        <f t="shared" si="193"/>
        <v>1452191</v>
      </c>
      <c r="T210" s="1546">
        <f t="shared" si="193"/>
        <v>1455191</v>
      </c>
      <c r="U210" s="1546">
        <f t="shared" ref="U210:W210" si="194">+U211+U212</f>
        <v>1439591</v>
      </c>
      <c r="V210" s="1546">
        <f t="shared" si="194"/>
        <v>1331592</v>
      </c>
      <c r="W210" s="1546">
        <f t="shared" si="194"/>
        <v>1299583</v>
      </c>
      <c r="X210" s="1551">
        <f>+X211+X212</f>
        <v>11383839</v>
      </c>
      <c r="Y210" s="3114"/>
    </row>
    <row r="211" spans="1:29" ht="13.5" customHeight="1">
      <c r="A211" s="3112"/>
      <c r="B211" s="2809" t="s">
        <v>24</v>
      </c>
      <c r="C211" s="3117"/>
      <c r="D211" s="1547">
        <f>M211+O211+P211+Q211+R211+S211+T211+U211+V211+W211</f>
        <v>11429618</v>
      </c>
      <c r="E211" s="1548">
        <f>+F211+G211+H211</f>
        <v>0</v>
      </c>
      <c r="F211" s="1548"/>
      <c r="G211" s="1548"/>
      <c r="H211" s="1550"/>
      <c r="I211" s="1550">
        <v>0</v>
      </c>
      <c r="J211" s="1550">
        <v>0</v>
      </c>
      <c r="K211" s="1548">
        <v>0</v>
      </c>
      <c r="L211" s="1548">
        <v>0</v>
      </c>
      <c r="M211" s="1548">
        <f>+L211+K211+J211+I211+E211+N211</f>
        <v>0</v>
      </c>
      <c r="N211" s="1550"/>
      <c r="O211" s="1887">
        <f>47647-1868</f>
        <v>45779</v>
      </c>
      <c r="P211" s="1887">
        <v>1467941</v>
      </c>
      <c r="Q211" s="1887">
        <f>1467941+1868</f>
        <v>1469809</v>
      </c>
      <c r="R211" s="1887">
        <v>1467941</v>
      </c>
      <c r="S211" s="1887">
        <v>1452191</v>
      </c>
      <c r="T211" s="1887">
        <v>1455191</v>
      </c>
      <c r="U211" s="1887">
        <v>1439591</v>
      </c>
      <c r="V211" s="1887">
        <v>1331592</v>
      </c>
      <c r="W211" s="1887">
        <v>1299583</v>
      </c>
      <c r="X211" s="2864">
        <f>+P211+Q211+R211+S211+T211+U211+V211+W211</f>
        <v>11383839</v>
      </c>
      <c r="Y211" s="3114"/>
      <c r="Z211" s="1540">
        <f>+X211-D211</f>
        <v>-45779</v>
      </c>
    </row>
    <row r="212" spans="1:29" ht="13.5" hidden="1" customHeight="1">
      <c r="A212" s="3112"/>
      <c r="B212" s="2809" t="s">
        <v>25</v>
      </c>
      <c r="C212" s="3117"/>
      <c r="D212" s="1547">
        <f>M212+O212+P212+Q212+R212+S212+T212+U212+V212+W212</f>
        <v>0</v>
      </c>
      <c r="E212" s="1548">
        <f>+F212+G212+H212</f>
        <v>0</v>
      </c>
      <c r="F212" s="1548"/>
      <c r="G212" s="1548">
        <v>0</v>
      </c>
      <c r="H212" s="1550"/>
      <c r="I212" s="1550">
        <v>0</v>
      </c>
      <c r="J212" s="1550"/>
      <c r="K212" s="1548"/>
      <c r="L212" s="1548"/>
      <c r="M212" s="1548">
        <f>+L212+K212+J212+I212+E212+N212</f>
        <v>0</v>
      </c>
      <c r="N212" s="1548"/>
      <c r="O212" s="1548"/>
      <c r="P212" s="1548"/>
      <c r="Q212" s="1548"/>
      <c r="R212" s="1548"/>
      <c r="S212" s="1548"/>
      <c r="T212" s="1548"/>
      <c r="U212" s="1548"/>
      <c r="V212" s="1548"/>
      <c r="W212" s="1548"/>
      <c r="X212" s="2810">
        <f>SUM(O212:R212)</f>
        <v>0</v>
      </c>
      <c r="Y212" s="3114"/>
    </row>
    <row r="213" spans="1:29" ht="13.5" customHeight="1">
      <c r="A213" s="3112"/>
      <c r="B213" s="2807" t="s">
        <v>30</v>
      </c>
      <c r="C213" s="3117"/>
      <c r="D213" s="1545">
        <f>+D214</f>
        <v>64767837</v>
      </c>
      <c r="E213" s="1545">
        <f t="shared" ref="E213:X213" si="195">+E214</f>
        <v>0</v>
      </c>
      <c r="F213" s="1545">
        <f t="shared" si="195"/>
        <v>0</v>
      </c>
      <c r="G213" s="1545">
        <f t="shared" si="195"/>
        <v>0</v>
      </c>
      <c r="H213" s="1545">
        <f t="shared" si="195"/>
        <v>0</v>
      </c>
      <c r="I213" s="1545">
        <f t="shared" si="195"/>
        <v>0</v>
      </c>
      <c r="J213" s="1545">
        <f t="shared" si="195"/>
        <v>0</v>
      </c>
      <c r="K213" s="1545">
        <f t="shared" si="195"/>
        <v>0</v>
      </c>
      <c r="L213" s="1545">
        <f t="shared" si="195"/>
        <v>0</v>
      </c>
      <c r="M213" s="1545">
        <f t="shared" si="195"/>
        <v>0</v>
      </c>
      <c r="N213" s="1545">
        <f t="shared" si="195"/>
        <v>0</v>
      </c>
      <c r="O213" s="1545">
        <f t="shared" si="195"/>
        <v>259415</v>
      </c>
      <c r="P213" s="1545">
        <f t="shared" si="195"/>
        <v>8318334</v>
      </c>
      <c r="Q213" s="1545">
        <f t="shared" si="195"/>
        <v>8328919</v>
      </c>
      <c r="R213" s="1545">
        <f t="shared" si="195"/>
        <v>8318334</v>
      </c>
      <c r="S213" s="1545">
        <f t="shared" si="195"/>
        <v>8229084</v>
      </c>
      <c r="T213" s="1545">
        <f t="shared" si="195"/>
        <v>8246084</v>
      </c>
      <c r="U213" s="1545">
        <f t="shared" si="195"/>
        <v>8157684</v>
      </c>
      <c r="V213" s="1545">
        <f t="shared" si="195"/>
        <v>7545683</v>
      </c>
      <c r="W213" s="1545">
        <f t="shared" si="195"/>
        <v>7364300</v>
      </c>
      <c r="X213" s="2580">
        <f t="shared" si="195"/>
        <v>64508422</v>
      </c>
      <c r="Y213" s="3114"/>
      <c r="Z213" s="1540">
        <f>+X213-D213</f>
        <v>-259415</v>
      </c>
    </row>
    <row r="214" spans="1:29" ht="13.5" customHeight="1">
      <c r="A214" s="3112"/>
      <c r="B214" s="2809" t="s">
        <v>33</v>
      </c>
      <c r="C214" s="3117"/>
      <c r="D214" s="1547">
        <f>M214+O214+P214+Q214+R214+S214+T214+U214+V214+W214</f>
        <v>64767837</v>
      </c>
      <c r="E214" s="1548">
        <f>+F214+G214+H214</f>
        <v>0</v>
      </c>
      <c r="F214" s="1548"/>
      <c r="G214" s="1548"/>
      <c r="H214" s="1550"/>
      <c r="I214" s="1550">
        <v>0</v>
      </c>
      <c r="J214" s="1550">
        <v>0</v>
      </c>
      <c r="K214" s="1548">
        <v>0</v>
      </c>
      <c r="L214" s="1548">
        <v>0</v>
      </c>
      <c r="M214" s="1548">
        <f>+L214+K214+J214+I214+E214+N214</f>
        <v>0</v>
      </c>
      <c r="N214" s="1548"/>
      <c r="O214" s="2865">
        <f>270000-10585</f>
        <v>259415</v>
      </c>
      <c r="P214" s="1958">
        <v>8318334</v>
      </c>
      <c r="Q214" s="2865">
        <f>8318334+10585</f>
        <v>8328919</v>
      </c>
      <c r="R214" s="1958">
        <v>8318334</v>
      </c>
      <c r="S214" s="1958">
        <v>8229084</v>
      </c>
      <c r="T214" s="1958">
        <v>8246084</v>
      </c>
      <c r="U214" s="1958">
        <v>8157684</v>
      </c>
      <c r="V214" s="1958">
        <v>7545683</v>
      </c>
      <c r="W214" s="1958">
        <v>7364300</v>
      </c>
      <c r="X214" s="2864">
        <f>+P214+Q214+R214+S214+T214+U214+V214+W214</f>
        <v>64508422</v>
      </c>
      <c r="Y214" s="3114"/>
    </row>
    <row r="215" spans="1:29" s="1553" customFormat="1" ht="13.5" customHeight="1">
      <c r="A215" s="3112"/>
      <c r="B215" s="2806" t="s">
        <v>34</v>
      </c>
      <c r="C215" s="2766"/>
      <c r="D215" s="2021">
        <f t="shared" ref="D215:L215" si="196">+D216+D218</f>
        <v>64767837</v>
      </c>
      <c r="E215" s="2021">
        <f t="shared" si="196"/>
        <v>0</v>
      </c>
      <c r="F215" s="2021">
        <f t="shared" si="196"/>
        <v>0</v>
      </c>
      <c r="G215" s="2021">
        <f t="shared" si="196"/>
        <v>0</v>
      </c>
      <c r="H215" s="2021">
        <f t="shared" si="196"/>
        <v>0</v>
      </c>
      <c r="I215" s="2021">
        <f t="shared" si="196"/>
        <v>0</v>
      </c>
      <c r="J215" s="2021">
        <f t="shared" si="196"/>
        <v>0</v>
      </c>
      <c r="K215" s="2021">
        <f t="shared" si="196"/>
        <v>0</v>
      </c>
      <c r="L215" s="2021">
        <f t="shared" si="196"/>
        <v>0</v>
      </c>
      <c r="M215" s="2021">
        <f t="shared" ref="M215" si="197">+M216+M218</f>
        <v>0</v>
      </c>
      <c r="N215" s="2021">
        <f>+N216+N218</f>
        <v>0</v>
      </c>
      <c r="O215" s="2021">
        <f>+O216+O218</f>
        <v>0</v>
      </c>
      <c r="P215" s="2021">
        <f>+P216+P218</f>
        <v>8577749</v>
      </c>
      <c r="Q215" s="2021">
        <f>+Q216+Q218</f>
        <v>8328919</v>
      </c>
      <c r="R215" s="2021">
        <f t="shared" ref="R215:W215" si="198">+R216+R218</f>
        <v>8318334</v>
      </c>
      <c r="S215" s="2021">
        <f t="shared" si="198"/>
        <v>8229084</v>
      </c>
      <c r="T215" s="2021">
        <f t="shared" si="198"/>
        <v>8246084</v>
      </c>
      <c r="U215" s="2021">
        <f t="shared" si="198"/>
        <v>8157684</v>
      </c>
      <c r="V215" s="2021">
        <f t="shared" si="198"/>
        <v>7545683</v>
      </c>
      <c r="W215" s="2021">
        <f t="shared" si="198"/>
        <v>7364300</v>
      </c>
      <c r="X215" s="3121" t="s">
        <v>77</v>
      </c>
      <c r="Y215" s="3115"/>
    </row>
    <row r="216" spans="1:29" ht="11.25" hidden="1" customHeight="1">
      <c r="A216" s="3112"/>
      <c r="B216" s="2844" t="s">
        <v>36</v>
      </c>
      <c r="C216" s="3122" t="s">
        <v>357</v>
      </c>
      <c r="D216" s="1545">
        <f t="shared" ref="D216:W216" si="199">+D217</f>
        <v>0</v>
      </c>
      <c r="E216" s="1545">
        <f t="shared" si="199"/>
        <v>0</v>
      </c>
      <c r="F216" s="1545">
        <f t="shared" si="199"/>
        <v>0</v>
      </c>
      <c r="G216" s="1545">
        <f t="shared" si="199"/>
        <v>0</v>
      </c>
      <c r="H216" s="1545">
        <f t="shared" si="199"/>
        <v>0</v>
      </c>
      <c r="I216" s="1545">
        <f t="shared" si="199"/>
        <v>0</v>
      </c>
      <c r="J216" s="1545">
        <f t="shared" si="199"/>
        <v>0</v>
      </c>
      <c r="K216" s="1545">
        <f t="shared" si="199"/>
        <v>0</v>
      </c>
      <c r="L216" s="1545">
        <f t="shared" si="199"/>
        <v>0</v>
      </c>
      <c r="M216" s="1545">
        <f t="shared" si="199"/>
        <v>0</v>
      </c>
      <c r="N216" s="1545">
        <f t="shared" si="199"/>
        <v>0</v>
      </c>
      <c r="O216" s="1545">
        <f t="shared" si="199"/>
        <v>0</v>
      </c>
      <c r="P216" s="1545">
        <f t="shared" si="199"/>
        <v>0</v>
      </c>
      <c r="Q216" s="1545">
        <f t="shared" si="199"/>
        <v>0</v>
      </c>
      <c r="R216" s="1545">
        <f t="shared" si="199"/>
        <v>0</v>
      </c>
      <c r="S216" s="1545">
        <f t="shared" si="199"/>
        <v>0</v>
      </c>
      <c r="T216" s="1545">
        <f t="shared" si="199"/>
        <v>0</v>
      </c>
      <c r="U216" s="1545">
        <f t="shared" si="199"/>
        <v>0</v>
      </c>
      <c r="V216" s="1545">
        <f t="shared" si="199"/>
        <v>0</v>
      </c>
      <c r="W216" s="1545">
        <f t="shared" si="199"/>
        <v>0</v>
      </c>
      <c r="X216" s="3121"/>
      <c r="Y216" s="3115"/>
    </row>
    <row r="217" spans="1:29" ht="11.25" hidden="1" customHeight="1">
      <c r="A217" s="3112"/>
      <c r="B217" s="2809" t="s">
        <v>25</v>
      </c>
      <c r="C217" s="3122"/>
      <c r="D217" s="1547">
        <f>M217+O217+P217+Q217+R217+S217+T217+U217+V217+W217</f>
        <v>0</v>
      </c>
      <c r="E217" s="1548">
        <f>+F217+G217+H217</f>
        <v>0</v>
      </c>
      <c r="F217" s="1547"/>
      <c r="G217" s="1547"/>
      <c r="H217" s="1547"/>
      <c r="I217" s="1547"/>
      <c r="J217" s="1547"/>
      <c r="K217" s="1547"/>
      <c r="L217" s="1547"/>
      <c r="M217" s="1548">
        <f>+L217+K217+J217+I217+E217+N217</f>
        <v>0</v>
      </c>
      <c r="N217" s="1547"/>
      <c r="O217" s="1547"/>
      <c r="P217" s="1547"/>
      <c r="Q217" s="1547"/>
      <c r="R217" s="1547"/>
      <c r="S217" s="1547"/>
      <c r="T217" s="1547"/>
      <c r="U217" s="1547"/>
      <c r="V217" s="1547"/>
      <c r="W217" s="1547"/>
      <c r="X217" s="3121"/>
      <c r="Y217" s="3115"/>
    </row>
    <row r="218" spans="1:29" ht="13.5" customHeight="1">
      <c r="A218" s="3112"/>
      <c r="B218" s="2807" t="s">
        <v>30</v>
      </c>
      <c r="C218" s="3122"/>
      <c r="D218" s="1545">
        <f t="shared" ref="D218:W218" si="200">+D219</f>
        <v>64767837</v>
      </c>
      <c r="E218" s="1545">
        <f t="shared" si="200"/>
        <v>0</v>
      </c>
      <c r="F218" s="1545">
        <f t="shared" si="200"/>
        <v>0</v>
      </c>
      <c r="G218" s="1545">
        <f t="shared" si="200"/>
        <v>0</v>
      </c>
      <c r="H218" s="1545">
        <f t="shared" si="200"/>
        <v>0</v>
      </c>
      <c r="I218" s="1545">
        <f t="shared" si="200"/>
        <v>0</v>
      </c>
      <c r="J218" s="1545">
        <f t="shared" si="200"/>
        <v>0</v>
      </c>
      <c r="K218" s="1545">
        <f t="shared" si="200"/>
        <v>0</v>
      </c>
      <c r="L218" s="1545">
        <f t="shared" si="200"/>
        <v>0</v>
      </c>
      <c r="M218" s="1545">
        <f t="shared" si="200"/>
        <v>0</v>
      </c>
      <c r="N218" s="1545">
        <f t="shared" si="200"/>
        <v>0</v>
      </c>
      <c r="O218" s="1545">
        <f t="shared" si="200"/>
        <v>0</v>
      </c>
      <c r="P218" s="1545">
        <f t="shared" si="200"/>
        <v>8577749</v>
      </c>
      <c r="Q218" s="1545">
        <f t="shared" si="200"/>
        <v>8328919</v>
      </c>
      <c r="R218" s="1545">
        <f t="shared" si="200"/>
        <v>8318334</v>
      </c>
      <c r="S218" s="1545">
        <f t="shared" si="200"/>
        <v>8229084</v>
      </c>
      <c r="T218" s="1545">
        <f t="shared" si="200"/>
        <v>8246084</v>
      </c>
      <c r="U218" s="1545">
        <f t="shared" si="200"/>
        <v>8157684</v>
      </c>
      <c r="V218" s="1545">
        <f t="shared" si="200"/>
        <v>7545683</v>
      </c>
      <c r="W218" s="1545">
        <f t="shared" si="200"/>
        <v>7364300</v>
      </c>
      <c r="X218" s="3121"/>
      <c r="Y218" s="3115"/>
    </row>
    <row r="219" spans="1:29" ht="15" customHeight="1">
      <c r="A219" s="3112"/>
      <c r="B219" s="2809" t="s">
        <v>33</v>
      </c>
      <c r="C219" s="3122"/>
      <c r="D219" s="1547">
        <f>M219+O219+P219+Q219+R219+S219+T219+U219+V219+W219</f>
        <v>64767837</v>
      </c>
      <c r="E219" s="1548">
        <f>+F219+G219+H219</f>
        <v>0</v>
      </c>
      <c r="F219" s="1548"/>
      <c r="G219" s="1548"/>
      <c r="H219" s="1548"/>
      <c r="I219" s="1548">
        <v>0</v>
      </c>
      <c r="J219" s="1548">
        <v>0</v>
      </c>
      <c r="K219" s="1548">
        <f>219301-219301</f>
        <v>0</v>
      </c>
      <c r="L219" s="1548">
        <v>0</v>
      </c>
      <c r="M219" s="1548">
        <f>+L219+K219+J219+I219+E219+N219</f>
        <v>0</v>
      </c>
      <c r="N219" s="1548"/>
      <c r="O219" s="2865">
        <f>270000-270000</f>
        <v>0</v>
      </c>
      <c r="P219" s="1958">
        <f>8318334+259415</f>
        <v>8577749</v>
      </c>
      <c r="Q219" s="1958">
        <f>8318334+10585</f>
        <v>8328919</v>
      </c>
      <c r="R219" s="1958">
        <v>8318334</v>
      </c>
      <c r="S219" s="1958">
        <v>8229084</v>
      </c>
      <c r="T219" s="1958">
        <v>8246084</v>
      </c>
      <c r="U219" s="1958">
        <v>8157684</v>
      </c>
      <c r="V219" s="1958">
        <v>7545683</v>
      </c>
      <c r="W219" s="1958">
        <v>7364300</v>
      </c>
      <c r="X219" s="3121"/>
      <c r="Y219" s="3115"/>
    </row>
  </sheetData>
  <mergeCells count="90">
    <mergeCell ref="A160:A171"/>
    <mergeCell ref="Y160:Y171"/>
    <mergeCell ref="C162:C166"/>
    <mergeCell ref="X167:X171"/>
    <mergeCell ref="C168:C171"/>
    <mergeCell ref="A148:A159"/>
    <mergeCell ref="Y148:Y159"/>
    <mergeCell ref="C150:C154"/>
    <mergeCell ref="C156:C159"/>
    <mergeCell ref="X155:X159"/>
    <mergeCell ref="A3:Y3"/>
    <mergeCell ref="C4:C6"/>
    <mergeCell ref="D4:D6"/>
    <mergeCell ref="Y4:Y6"/>
    <mergeCell ref="X4:X6"/>
    <mergeCell ref="B4:B6"/>
    <mergeCell ref="M4:M5"/>
    <mergeCell ref="O4:O5"/>
    <mergeCell ref="P4:W5"/>
    <mergeCell ref="A4:A6"/>
    <mergeCell ref="X18:X23"/>
    <mergeCell ref="A64:A75"/>
    <mergeCell ref="Y64:Y75"/>
    <mergeCell ref="C66:C70"/>
    <mergeCell ref="C72:C75"/>
    <mergeCell ref="X71:X75"/>
    <mergeCell ref="A48:A63"/>
    <mergeCell ref="Y48:Y63"/>
    <mergeCell ref="C50:C56"/>
    <mergeCell ref="C60:C63"/>
    <mergeCell ref="X59:X63"/>
    <mergeCell ref="A31:A47"/>
    <mergeCell ref="Y31:Y47"/>
    <mergeCell ref="C33:C41"/>
    <mergeCell ref="C43:C47"/>
    <mergeCell ref="X42:X47"/>
    <mergeCell ref="A24:A30"/>
    <mergeCell ref="Y24:Y30"/>
    <mergeCell ref="C26:C27"/>
    <mergeCell ref="C29:C30"/>
    <mergeCell ref="A88:A99"/>
    <mergeCell ref="Y88:Y99"/>
    <mergeCell ref="C90:C94"/>
    <mergeCell ref="C96:C99"/>
    <mergeCell ref="X95:X99"/>
    <mergeCell ref="A76:A87"/>
    <mergeCell ref="Y76:Y87"/>
    <mergeCell ref="C78:C82"/>
    <mergeCell ref="C84:C87"/>
    <mergeCell ref="X83:X87"/>
    <mergeCell ref="A112:A123"/>
    <mergeCell ref="Y112:Y123"/>
    <mergeCell ref="C114:C118"/>
    <mergeCell ref="C120:C123"/>
    <mergeCell ref="X119:X123"/>
    <mergeCell ref="A100:A111"/>
    <mergeCell ref="Y100:Y111"/>
    <mergeCell ref="C102:C106"/>
    <mergeCell ref="C108:C111"/>
    <mergeCell ref="X107:X111"/>
    <mergeCell ref="A136:A147"/>
    <mergeCell ref="Y136:Y147"/>
    <mergeCell ref="C138:C142"/>
    <mergeCell ref="C144:C147"/>
    <mergeCell ref="X143:X147"/>
    <mergeCell ref="A124:A135"/>
    <mergeCell ref="Y124:Y135"/>
    <mergeCell ref="C126:C130"/>
    <mergeCell ref="C132:C135"/>
    <mergeCell ref="X131:X135"/>
    <mergeCell ref="A184:A195"/>
    <mergeCell ref="Y184:Y195"/>
    <mergeCell ref="C186:C190"/>
    <mergeCell ref="C192:C195"/>
    <mergeCell ref="X191:X195"/>
    <mergeCell ref="A172:A183"/>
    <mergeCell ref="Y172:Y183"/>
    <mergeCell ref="C174:C178"/>
    <mergeCell ref="C180:C183"/>
    <mergeCell ref="X179:X183"/>
    <mergeCell ref="A208:A219"/>
    <mergeCell ref="Y208:Y219"/>
    <mergeCell ref="C210:C214"/>
    <mergeCell ref="X215:X219"/>
    <mergeCell ref="C216:C219"/>
    <mergeCell ref="A196:A207"/>
    <mergeCell ref="Y196:Y207"/>
    <mergeCell ref="C198:C202"/>
    <mergeCell ref="C204:C207"/>
    <mergeCell ref="X203:X207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69" firstPageNumber="32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</oddHeader>
    <oddFooter>&amp;C&amp;P</oddFooter>
  </headerFooter>
  <rowBreaks count="1" manualBreakCount="1">
    <brk id="159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E1871"/>
  <sheetViews>
    <sheetView showGridLines="0" view="pageBreakPreview" zoomScaleNormal="100" zoomScaleSheetLayoutView="100" workbookViewId="0">
      <pane ySplit="8" topLeftCell="A111" activePane="bottomLeft" state="frozen"/>
      <selection pane="bottomLeft" activeCell="M125" sqref="M125"/>
    </sheetView>
  </sheetViews>
  <sheetFormatPr defaultColWidth="9.140625" defaultRowHeight="12.75"/>
  <cols>
    <col min="1" max="1" width="3.7109375" style="3485" customWidth="1"/>
    <col min="2" max="2" width="55.7109375" style="3486" customWidth="1"/>
    <col min="3" max="3" width="10.5703125" style="3486" customWidth="1"/>
    <col min="4" max="4" width="13.42578125" style="3486" customWidth="1"/>
    <col min="5" max="5" width="10" style="3964" hidden="1" customWidth="1"/>
    <col min="6" max="6" width="11.5703125" style="3486" hidden="1" customWidth="1"/>
    <col min="7" max="7" width="11.140625" style="3486" hidden="1" customWidth="1"/>
    <col min="8" max="8" width="10.42578125" style="3486" hidden="1" customWidth="1"/>
    <col min="9" max="11" width="10.7109375" style="3486" hidden="1" customWidth="1"/>
    <col min="12" max="12" width="11.85546875" style="3486" hidden="1" customWidth="1"/>
    <col min="13" max="13" width="11.85546875" style="3486" customWidth="1"/>
    <col min="14" max="14" width="13.140625" style="3965" hidden="1" customWidth="1"/>
    <col min="15" max="15" width="10.5703125" style="3486" customWidth="1"/>
    <col min="16" max="16" width="10.7109375" style="3486" customWidth="1"/>
    <col min="17" max="17" width="9.5703125" style="3486" customWidth="1"/>
    <col min="18" max="18" width="9.28515625" style="3486" customWidth="1"/>
    <col min="19" max="19" width="10.28515625" style="3486" customWidth="1"/>
    <col min="20" max="20" width="9.7109375" style="3486" customWidth="1"/>
    <col min="21" max="21" width="9.28515625" style="3486" customWidth="1"/>
    <col min="22" max="22" width="10" style="3486" customWidth="1"/>
    <col min="23" max="23" width="9.7109375" style="3486" customWidth="1"/>
    <col min="24" max="24" width="12.140625" style="3486" customWidth="1"/>
    <col min="25" max="25" width="15.28515625" style="3943" customWidth="1"/>
    <col min="26" max="26" width="11.5703125" style="3492" customWidth="1"/>
    <col min="27" max="27" width="10.140625" style="3492" bestFit="1" customWidth="1"/>
    <col min="28" max="28" width="9.5703125" style="3492" bestFit="1" customWidth="1"/>
    <col min="29" max="29" width="9.140625" style="3492"/>
    <col min="30" max="30" width="10.140625" style="3492" customWidth="1"/>
    <col min="31" max="41" width="9.140625" style="3492"/>
    <col min="42" max="42" width="8.5703125" style="3492" customWidth="1"/>
    <col min="43" max="54" width="9.140625" style="3492"/>
    <col min="55" max="55" width="8.7109375" style="3492" customWidth="1"/>
    <col min="56" max="65" width="9.140625" style="3492"/>
    <col min="66" max="66" width="4.28515625" style="3492" customWidth="1"/>
    <col min="67" max="76" width="9.140625" style="3492"/>
    <col min="77" max="77" width="5" style="3492" customWidth="1"/>
    <col min="78" max="87" width="9.140625" style="3492"/>
    <col min="88" max="88" width="3.85546875" style="3492" customWidth="1"/>
    <col min="89" max="100" width="9.140625" style="3492"/>
    <col min="101" max="101" width="5.28515625" style="3492" customWidth="1"/>
    <col min="102" max="113" width="9.140625" style="3492"/>
    <col min="114" max="114" width="1.5703125" style="3492" customWidth="1"/>
    <col min="115" max="127" width="9.140625" style="3492"/>
    <col min="128" max="128" width="0.7109375" style="3492" customWidth="1"/>
    <col min="129" max="140" width="9.140625" style="3492"/>
    <col min="141" max="141" width="8.28515625" style="3492" customWidth="1"/>
    <col min="142" max="150" width="9.140625" style="3492"/>
    <col min="151" max="151" width="0.28515625" style="3492" customWidth="1"/>
    <col min="152" max="177" width="9.140625" style="3492"/>
    <col min="178" max="178" width="0.7109375" style="3492" customWidth="1"/>
    <col min="179" max="16384" width="9.140625" style="3492"/>
  </cols>
  <sheetData>
    <row r="1" spans="1:28" s="3492" customFormat="1" ht="17.25" customHeight="1">
      <c r="A1" s="3485"/>
      <c r="B1" s="3486"/>
      <c r="C1" s="3486"/>
      <c r="D1" s="3487"/>
      <c r="E1" s="3486"/>
      <c r="F1" s="3486"/>
      <c r="G1" s="3486"/>
      <c r="H1" s="3486"/>
      <c r="I1" s="3486"/>
      <c r="J1" s="3486"/>
      <c r="K1" s="3486"/>
      <c r="L1" s="3486"/>
      <c r="M1" s="3486"/>
      <c r="N1" s="3486"/>
      <c r="O1" s="3488"/>
      <c r="P1" s="3486"/>
      <c r="Q1" s="3486"/>
      <c r="R1" s="3486"/>
      <c r="S1" s="3489" t="s">
        <v>276</v>
      </c>
      <c r="T1" s="3490"/>
      <c r="U1" s="3490"/>
      <c r="V1" s="3490"/>
      <c r="W1" s="3490"/>
      <c r="X1" s="3490"/>
      <c r="Y1" s="3491"/>
    </row>
    <row r="2" spans="1:28" s="3492" customFormat="1" ht="15" hidden="1" customHeight="1">
      <c r="A2" s="3485"/>
      <c r="B2" s="3486"/>
      <c r="C2" s="3486"/>
      <c r="D2" s="3486"/>
      <c r="E2" s="3486"/>
      <c r="F2" s="3486"/>
      <c r="G2" s="3486"/>
      <c r="H2" s="3486"/>
      <c r="I2" s="3486"/>
      <c r="J2" s="3493"/>
      <c r="K2" s="3486"/>
      <c r="L2" s="3486"/>
      <c r="M2" s="3486"/>
      <c r="N2" s="3494"/>
      <c r="O2" s="3495"/>
      <c r="P2" s="3486"/>
      <c r="Q2" s="3486"/>
      <c r="R2" s="3486"/>
      <c r="S2" s="3490"/>
      <c r="T2" s="3490"/>
      <c r="U2" s="3490"/>
      <c r="V2" s="3490"/>
      <c r="W2" s="3490"/>
      <c r="X2" s="3490"/>
      <c r="Y2" s="3491"/>
    </row>
    <row r="3" spans="1:28" s="3492" customFormat="1" ht="15" hidden="1" customHeight="1">
      <c r="A3" s="3485"/>
      <c r="B3" s="3486"/>
      <c r="C3" s="3486"/>
      <c r="D3" s="3487"/>
      <c r="E3" s="3487"/>
      <c r="F3" s="3487"/>
      <c r="G3" s="3487"/>
      <c r="H3" s="3487"/>
      <c r="I3" s="3487"/>
      <c r="J3" s="3487"/>
      <c r="K3" s="3487"/>
      <c r="L3" s="3487"/>
      <c r="M3" s="3487"/>
      <c r="N3" s="3494"/>
      <c r="O3" s="3487"/>
      <c r="P3" s="3487"/>
      <c r="Q3" s="3487"/>
      <c r="R3" s="3487"/>
      <c r="S3" s="3487"/>
      <c r="T3" s="3487"/>
      <c r="U3" s="3487"/>
      <c r="V3" s="3487"/>
      <c r="W3" s="3487"/>
      <c r="X3" s="3487"/>
      <c r="Y3" s="3491"/>
    </row>
    <row r="4" spans="1:28" s="3492" customFormat="1" ht="8.25" customHeight="1">
      <c r="A4" s="3485"/>
      <c r="B4" s="3486"/>
      <c r="C4" s="3486"/>
      <c r="D4" s="3487"/>
      <c r="E4" s="3486"/>
      <c r="F4" s="3486"/>
      <c r="G4" s="3486"/>
      <c r="H4" s="3486"/>
      <c r="I4" s="3486"/>
      <c r="J4" s="3487"/>
      <c r="K4" s="3486"/>
      <c r="L4" s="3487"/>
      <c r="M4" s="3487"/>
      <c r="N4" s="3494"/>
      <c r="O4" s="3496"/>
      <c r="P4" s="3494"/>
      <c r="Q4" s="3494"/>
      <c r="R4" s="3494"/>
      <c r="S4" s="3490"/>
      <c r="T4" s="3490"/>
      <c r="U4" s="3490"/>
      <c r="V4" s="3490"/>
      <c r="W4" s="3490"/>
      <c r="X4" s="3490"/>
      <c r="Y4" s="3491"/>
    </row>
    <row r="5" spans="1:28" s="3500" customFormat="1" ht="18.75" thickBot="1">
      <c r="A5" s="3497" t="s">
        <v>320</v>
      </c>
      <c r="B5" s="3497"/>
      <c r="C5" s="3497"/>
      <c r="D5" s="3497"/>
      <c r="E5" s="3497"/>
      <c r="F5" s="3497"/>
      <c r="G5" s="3497"/>
      <c r="H5" s="3497"/>
      <c r="I5" s="3497"/>
      <c r="J5" s="3497"/>
      <c r="K5" s="3497"/>
      <c r="L5" s="3497"/>
      <c r="M5" s="3497"/>
      <c r="N5" s="3497"/>
      <c r="O5" s="3498"/>
      <c r="P5" s="3498"/>
      <c r="Q5" s="3498"/>
      <c r="R5" s="3498"/>
      <c r="S5" s="3499"/>
      <c r="T5" s="3499"/>
      <c r="U5" s="3499"/>
      <c r="V5" s="3499"/>
      <c r="W5" s="3499"/>
      <c r="X5" s="3499"/>
      <c r="Y5" s="3499"/>
    </row>
    <row r="6" spans="1:28" s="3492" customFormat="1" ht="28.5" customHeight="1">
      <c r="A6" s="3501"/>
      <c r="B6" s="3501"/>
      <c r="C6" s="3502" t="s">
        <v>87</v>
      </c>
      <c r="D6" s="3503" t="s">
        <v>88</v>
      </c>
      <c r="E6" s="3504" t="s">
        <v>3</v>
      </c>
      <c r="F6" s="3505"/>
      <c r="G6" s="3505"/>
      <c r="H6" s="3505"/>
      <c r="I6" s="3505"/>
      <c r="J6" s="3505"/>
      <c r="K6" s="3505"/>
      <c r="L6" s="3506"/>
      <c r="M6" s="3507" t="s">
        <v>400</v>
      </c>
      <c r="N6" s="3508"/>
      <c r="O6" s="3509" t="s">
        <v>415</v>
      </c>
      <c r="P6" s="3510" t="s">
        <v>410</v>
      </c>
      <c r="Q6" s="3511"/>
      <c r="R6" s="3511"/>
      <c r="S6" s="3511"/>
      <c r="T6" s="3511"/>
      <c r="U6" s="3511"/>
      <c r="V6" s="3511"/>
      <c r="W6" s="3512"/>
      <c r="X6" s="3513" t="s">
        <v>376</v>
      </c>
      <c r="Y6" s="3514" t="s">
        <v>89</v>
      </c>
    </row>
    <row r="7" spans="1:28" s="3492" customFormat="1" ht="36.75" customHeight="1">
      <c r="A7" s="3515" t="s">
        <v>90</v>
      </c>
      <c r="B7" s="3516" t="s">
        <v>91</v>
      </c>
      <c r="C7" s="3517"/>
      <c r="D7" s="3518"/>
      <c r="E7" s="3519"/>
      <c r="F7" s="3520"/>
      <c r="G7" s="3520"/>
      <c r="H7" s="3520"/>
      <c r="I7" s="3520"/>
      <c r="J7" s="3520"/>
      <c r="K7" s="3520"/>
      <c r="L7" s="3521"/>
      <c r="M7" s="3522"/>
      <c r="N7" s="3523"/>
      <c r="O7" s="3524"/>
      <c r="P7" s="3525"/>
      <c r="Q7" s="3526"/>
      <c r="R7" s="3526"/>
      <c r="S7" s="3526"/>
      <c r="T7" s="3526"/>
      <c r="U7" s="3526"/>
      <c r="V7" s="3526"/>
      <c r="W7" s="3527"/>
      <c r="X7" s="3528"/>
      <c r="Y7" s="3529"/>
    </row>
    <row r="8" spans="1:28" s="3492" customFormat="1" ht="21.75" customHeight="1" thickBot="1">
      <c r="A8" s="3530"/>
      <c r="B8" s="3531"/>
      <c r="C8" s="3532"/>
      <c r="D8" s="3533"/>
      <c r="E8" s="3534" t="s">
        <v>6</v>
      </c>
      <c r="F8" s="3535" t="s">
        <v>7</v>
      </c>
      <c r="G8" s="3535" t="s">
        <v>8</v>
      </c>
      <c r="H8" s="3535" t="s">
        <v>9</v>
      </c>
      <c r="I8" s="3536" t="s">
        <v>10</v>
      </c>
      <c r="J8" s="3536" t="s">
        <v>11</v>
      </c>
      <c r="K8" s="3536" t="s">
        <v>12</v>
      </c>
      <c r="L8" s="3536" t="s">
        <v>13</v>
      </c>
      <c r="M8" s="3537" t="s">
        <v>371</v>
      </c>
      <c r="N8" s="3536" t="s">
        <v>14</v>
      </c>
      <c r="O8" s="3536" t="s">
        <v>15</v>
      </c>
      <c r="P8" s="3536" t="s">
        <v>16</v>
      </c>
      <c r="Q8" s="3536" t="s">
        <v>17</v>
      </c>
      <c r="R8" s="3536" t="s">
        <v>18</v>
      </c>
      <c r="S8" s="3538" t="s">
        <v>290</v>
      </c>
      <c r="T8" s="3538" t="s">
        <v>295</v>
      </c>
      <c r="U8" s="3538" t="s">
        <v>373</v>
      </c>
      <c r="V8" s="3538" t="s">
        <v>374</v>
      </c>
      <c r="W8" s="3539" t="s">
        <v>372</v>
      </c>
      <c r="X8" s="3540"/>
      <c r="Y8" s="3541"/>
    </row>
    <row r="9" spans="1:28" s="3551" customFormat="1" ht="12" customHeight="1" thickBot="1">
      <c r="A9" s="3542">
        <v>1</v>
      </c>
      <c r="B9" s="3543">
        <v>2</v>
      </c>
      <c r="C9" s="3544" t="s">
        <v>142</v>
      </c>
      <c r="D9" s="3545" t="s">
        <v>143</v>
      </c>
      <c r="E9" s="3544" t="s">
        <v>144</v>
      </c>
      <c r="F9" s="3544" t="s">
        <v>145</v>
      </c>
      <c r="G9" s="3544" t="s">
        <v>146</v>
      </c>
      <c r="H9" s="3544" t="s">
        <v>147</v>
      </c>
      <c r="I9" s="3544" t="s">
        <v>145</v>
      </c>
      <c r="J9" s="3544" t="s">
        <v>146</v>
      </c>
      <c r="K9" s="3544" t="s">
        <v>147</v>
      </c>
      <c r="L9" s="3544" t="s">
        <v>148</v>
      </c>
      <c r="M9" s="3546">
        <v>5</v>
      </c>
      <c r="N9" s="3546" t="s">
        <v>375</v>
      </c>
      <c r="O9" s="3546">
        <v>6</v>
      </c>
      <c r="P9" s="3546">
        <v>7</v>
      </c>
      <c r="Q9" s="3546">
        <v>8</v>
      </c>
      <c r="R9" s="3547">
        <v>9</v>
      </c>
      <c r="S9" s="3547">
        <v>10</v>
      </c>
      <c r="T9" s="3547">
        <v>11</v>
      </c>
      <c r="U9" s="3548">
        <v>12</v>
      </c>
      <c r="V9" s="3548">
        <v>13</v>
      </c>
      <c r="W9" s="3548">
        <v>14</v>
      </c>
      <c r="X9" s="3549">
        <v>15</v>
      </c>
      <c r="Y9" s="3550">
        <v>16</v>
      </c>
      <c r="AA9" s="3552"/>
    </row>
    <row r="10" spans="1:28" s="3560" customFormat="1" ht="15.75" customHeight="1">
      <c r="A10" s="3553"/>
      <c r="B10" s="3554" t="s">
        <v>92</v>
      </c>
      <c r="C10" s="3555"/>
      <c r="D10" s="3556">
        <f>+D11+D12</f>
        <v>127855783.64</v>
      </c>
      <c r="E10" s="3556">
        <f t="shared" ref="E10:Q10" si="0">+E11+E12</f>
        <v>2805880</v>
      </c>
      <c r="F10" s="3556">
        <f t="shared" si="0"/>
        <v>0</v>
      </c>
      <c r="G10" s="3556">
        <f t="shared" si="0"/>
        <v>27000</v>
      </c>
      <c r="H10" s="3556">
        <f t="shared" si="0"/>
        <v>3348880.0600000005</v>
      </c>
      <c r="I10" s="3556">
        <f t="shared" si="0"/>
        <v>5513671</v>
      </c>
      <c r="J10" s="3556">
        <f t="shared" si="0"/>
        <v>18798477</v>
      </c>
      <c r="K10" s="3556">
        <f t="shared" si="0"/>
        <v>11401296</v>
      </c>
      <c r="L10" s="3556">
        <f t="shared" si="0"/>
        <v>5348030</v>
      </c>
      <c r="M10" s="3556">
        <f t="shared" si="0"/>
        <v>66362202</v>
      </c>
      <c r="N10" s="3556">
        <f t="shared" si="0"/>
        <v>22494848</v>
      </c>
      <c r="O10" s="3556">
        <f t="shared" si="0"/>
        <v>25912152</v>
      </c>
      <c r="P10" s="3556">
        <f t="shared" si="0"/>
        <v>12599377.640000001</v>
      </c>
      <c r="Q10" s="3556">
        <f t="shared" si="0"/>
        <v>5050955</v>
      </c>
      <c r="R10" s="3556">
        <f>+R11+R12</f>
        <v>5329509</v>
      </c>
      <c r="S10" s="3556">
        <f>+S11+S12</f>
        <v>2261110</v>
      </c>
      <c r="T10" s="3556">
        <f>+T11+T12</f>
        <v>1999047</v>
      </c>
      <c r="U10" s="3556">
        <f t="shared" ref="U10:W10" si="1">+U11+U12</f>
        <v>1999047</v>
      </c>
      <c r="V10" s="3556">
        <f t="shared" si="1"/>
        <v>1859047</v>
      </c>
      <c r="W10" s="3557">
        <f t="shared" si="1"/>
        <v>919047</v>
      </c>
      <c r="X10" s="3558">
        <f>+X11+X12</f>
        <v>35581429.640000001</v>
      </c>
      <c r="Y10" s="3559"/>
      <c r="AA10" s="3561">
        <f>+O10+P10+Q10+R10+S10+T10+2020000+2916667</f>
        <v>58088817.640000001</v>
      </c>
      <c r="AB10" s="3561" t="e">
        <f>#REF!-AA10</f>
        <v>#REF!</v>
      </c>
    </row>
    <row r="11" spans="1:28" s="3560" customFormat="1" ht="15.75" customHeight="1">
      <c r="A11" s="3562"/>
      <c r="B11" s="3563" t="s">
        <v>93</v>
      </c>
      <c r="C11" s="3564"/>
      <c r="D11" s="3565">
        <f t="shared" ref="D11" si="2">+D82+D87+D92+D120+D125+D130</f>
        <v>28619258.640000001</v>
      </c>
      <c r="E11" s="3565">
        <f t="shared" ref="E11:L11" si="3">+E82+E87+E92</f>
        <v>0</v>
      </c>
      <c r="F11" s="3565">
        <f t="shared" si="3"/>
        <v>0</v>
      </c>
      <c r="G11" s="3565">
        <f t="shared" si="3"/>
        <v>0</v>
      </c>
      <c r="H11" s="3565">
        <f t="shared" si="3"/>
        <v>0</v>
      </c>
      <c r="I11" s="3565">
        <f t="shared" si="3"/>
        <v>0</v>
      </c>
      <c r="J11" s="3565">
        <f t="shared" si="3"/>
        <v>0</v>
      </c>
      <c r="K11" s="3565">
        <f t="shared" si="3"/>
        <v>0</v>
      </c>
      <c r="L11" s="3565">
        <f t="shared" si="3"/>
        <v>0</v>
      </c>
      <c r="M11" s="3565">
        <f>+L11+K11+J11+I11</f>
        <v>0</v>
      </c>
      <c r="N11" s="3565">
        <f>+N82+N87+N92</f>
        <v>0</v>
      </c>
      <c r="O11" s="3565">
        <f>+O82+O87+O92+O120+O125+O130</f>
        <v>0</v>
      </c>
      <c r="P11" s="3565">
        <f t="shared" ref="P11:W11" si="4">+P82+P87+P92+P120+P125+P130</f>
        <v>5637206.6399999997</v>
      </c>
      <c r="Q11" s="3565">
        <f t="shared" si="4"/>
        <v>5050955</v>
      </c>
      <c r="R11" s="3565">
        <f t="shared" si="4"/>
        <v>5329509</v>
      </c>
      <c r="S11" s="3565">
        <f t="shared" si="4"/>
        <v>2261110</v>
      </c>
      <c r="T11" s="3565">
        <f t="shared" si="4"/>
        <v>1999047</v>
      </c>
      <c r="U11" s="3565">
        <f t="shared" si="4"/>
        <v>1999047</v>
      </c>
      <c r="V11" s="3565">
        <f t="shared" si="4"/>
        <v>1859047</v>
      </c>
      <c r="W11" s="3566">
        <f t="shared" si="4"/>
        <v>919047</v>
      </c>
      <c r="X11" s="3567">
        <f>+X82+X87+X92+X120+X125+X130</f>
        <v>28619258.640000001</v>
      </c>
      <c r="Y11" s="3568"/>
    </row>
    <row r="12" spans="1:28" s="3560" customFormat="1" ht="15.75" customHeight="1" thickBot="1">
      <c r="A12" s="3562"/>
      <c r="B12" s="3569" t="s">
        <v>21</v>
      </c>
      <c r="C12" s="3570"/>
      <c r="D12" s="3571">
        <f>+D33+D44+D57+D58+D59+D45+D69+D70+D97+D107+D108+D134</f>
        <v>99236525</v>
      </c>
      <c r="E12" s="3571">
        <f t="shared" ref="E12:S12" si="5">+E33+E44+E57+E58+E59+E45+E69+E70+E97+E107+E108</f>
        <v>2805880</v>
      </c>
      <c r="F12" s="3571">
        <f t="shared" si="5"/>
        <v>0</v>
      </c>
      <c r="G12" s="3571">
        <f t="shared" si="5"/>
        <v>27000</v>
      </c>
      <c r="H12" s="3571">
        <f t="shared" si="5"/>
        <v>3348880.0600000005</v>
      </c>
      <c r="I12" s="3571">
        <f t="shared" si="5"/>
        <v>5513671</v>
      </c>
      <c r="J12" s="3571">
        <f t="shared" si="5"/>
        <v>18798477</v>
      </c>
      <c r="K12" s="3571">
        <f t="shared" si="5"/>
        <v>11401296</v>
      </c>
      <c r="L12" s="3571">
        <f t="shared" si="5"/>
        <v>5348030</v>
      </c>
      <c r="M12" s="3571">
        <f t="shared" ref="M12:O12" si="6">+M33+M44+M57+M58+M59+M45+M69+M70+M97+M107+M108+M134</f>
        <v>66362202</v>
      </c>
      <c r="N12" s="3571">
        <f t="shared" si="6"/>
        <v>22494848</v>
      </c>
      <c r="O12" s="3571">
        <f t="shared" si="6"/>
        <v>25912152</v>
      </c>
      <c r="P12" s="3571">
        <f t="shared" ref="P12:Q12" si="7">+P33+P44+P57+P58+P59+P45+P69+P70+P97+P107+P108+P134</f>
        <v>6962171</v>
      </c>
      <c r="Q12" s="3571">
        <f t="shared" si="7"/>
        <v>0</v>
      </c>
      <c r="R12" s="3571">
        <f t="shared" si="5"/>
        <v>0</v>
      </c>
      <c r="S12" s="3571">
        <f t="shared" si="5"/>
        <v>0</v>
      </c>
      <c r="T12" s="3571">
        <f>+T33+T44+T57+T58+T59+T45+T69+T70+T97+T107+T108</f>
        <v>0</v>
      </c>
      <c r="U12" s="3571">
        <f t="shared" ref="U12:W12" si="8">+U33+U44+U57+U58+U59+U45+U69+U70+U97+U107+U108</f>
        <v>0</v>
      </c>
      <c r="V12" s="3571">
        <f t="shared" si="8"/>
        <v>0</v>
      </c>
      <c r="W12" s="3572">
        <f t="shared" si="8"/>
        <v>0</v>
      </c>
      <c r="X12" s="3573">
        <f>+X33+X44+X57+X58+X59+X45+X69+X70+X97+X107+X108+X134</f>
        <v>6962171</v>
      </c>
      <c r="Y12" s="3568"/>
    </row>
    <row r="13" spans="1:28" s="3551" customFormat="1" ht="15" customHeight="1">
      <c r="A13" s="3562"/>
      <c r="B13" s="3574" t="s">
        <v>22</v>
      </c>
      <c r="C13" s="3575"/>
      <c r="D13" s="3576">
        <f>+D14+D21</f>
        <v>268183648.63999999</v>
      </c>
      <c r="E13" s="3577">
        <f t="shared" ref="E13:Q13" si="9">SUM(E14,E21)</f>
        <v>3848353</v>
      </c>
      <c r="F13" s="3577">
        <f t="shared" si="9"/>
        <v>0</v>
      </c>
      <c r="G13" s="3577">
        <f t="shared" si="9"/>
        <v>102454</v>
      </c>
      <c r="H13" s="3577">
        <f t="shared" si="9"/>
        <v>6059759.0600000005</v>
      </c>
      <c r="I13" s="3577">
        <f>SUM(I14,I21)</f>
        <v>22200440</v>
      </c>
      <c r="J13" s="3577">
        <f t="shared" si="9"/>
        <v>30496981</v>
      </c>
      <c r="K13" s="3577">
        <f t="shared" si="9"/>
        <v>16499453</v>
      </c>
      <c r="L13" s="3577">
        <f t="shared" si="9"/>
        <v>31183456</v>
      </c>
      <c r="M13" s="3577">
        <f t="shared" si="9"/>
        <v>128036482</v>
      </c>
      <c r="N13" s="3577">
        <f t="shared" si="9"/>
        <v>46913434</v>
      </c>
      <c r="O13" s="3577">
        <f t="shared" si="9"/>
        <v>65249980</v>
      </c>
      <c r="P13" s="3577">
        <f t="shared" si="9"/>
        <v>51915134.640000001</v>
      </c>
      <c r="Q13" s="3577">
        <f t="shared" si="9"/>
        <v>5050955</v>
      </c>
      <c r="R13" s="3577">
        <f>SUM(R14,R21)</f>
        <v>5329509</v>
      </c>
      <c r="S13" s="3577">
        <f>+S14+S21</f>
        <v>2261110</v>
      </c>
      <c r="T13" s="3577">
        <f t="shared" ref="T13:W13" si="10">SUM(T14,T21)</f>
        <v>1999047</v>
      </c>
      <c r="U13" s="3577">
        <f t="shared" si="10"/>
        <v>1999047</v>
      </c>
      <c r="V13" s="3577">
        <f t="shared" si="10"/>
        <v>1859047</v>
      </c>
      <c r="W13" s="3578">
        <f t="shared" si="10"/>
        <v>919047</v>
      </c>
      <c r="X13" s="3579">
        <f>SUM(X14,X21)</f>
        <v>35388328.640000001</v>
      </c>
      <c r="Y13" s="3580"/>
      <c r="AB13" s="3581"/>
    </row>
    <row r="14" spans="1:28" s="3588" customFormat="1" ht="14.25" customHeight="1">
      <c r="A14" s="3562"/>
      <c r="B14" s="3582" t="s">
        <v>23</v>
      </c>
      <c r="C14" s="3583"/>
      <c r="D14" s="3584">
        <f>SUM(D15:D20)</f>
        <v>180274243.63999999</v>
      </c>
      <c r="E14" s="3584">
        <f t="shared" ref="E14:Q14" si="11">SUM(E15:E20)</f>
        <v>3848353</v>
      </c>
      <c r="F14" s="3584">
        <f t="shared" si="11"/>
        <v>0</v>
      </c>
      <c r="G14" s="3584">
        <f t="shared" si="11"/>
        <v>102454</v>
      </c>
      <c r="H14" s="3584">
        <f t="shared" si="11"/>
        <v>6059759.0600000005</v>
      </c>
      <c r="I14" s="3584">
        <f t="shared" si="11"/>
        <v>6621685</v>
      </c>
      <c r="J14" s="3584">
        <f t="shared" si="11"/>
        <v>22298156</v>
      </c>
      <c r="K14" s="3584">
        <f>SUM(K15:K20)</f>
        <v>16499453</v>
      </c>
      <c r="L14" s="3584">
        <f t="shared" si="11"/>
        <v>30782980</v>
      </c>
      <c r="M14" s="3584">
        <f t="shared" si="11"/>
        <v>86797118</v>
      </c>
      <c r="N14" s="3584">
        <f t="shared" si="11"/>
        <v>26985967</v>
      </c>
      <c r="O14" s="3584">
        <f t="shared" si="11"/>
        <v>37973425</v>
      </c>
      <c r="P14" s="3584">
        <f t="shared" si="11"/>
        <v>32521648.640000001</v>
      </c>
      <c r="Q14" s="3584">
        <f t="shared" si="11"/>
        <v>5050955</v>
      </c>
      <c r="R14" s="3584">
        <f>SUM(R15:R20)</f>
        <v>5329509</v>
      </c>
      <c r="S14" s="3584">
        <f>+S15+S16+S17+S18+S20</f>
        <v>2261110</v>
      </c>
      <c r="T14" s="3584">
        <f t="shared" ref="T14:W14" si="12">SUM(T15:T20)</f>
        <v>1999047</v>
      </c>
      <c r="U14" s="3584">
        <f t="shared" si="12"/>
        <v>1999047</v>
      </c>
      <c r="V14" s="3584">
        <f t="shared" si="12"/>
        <v>1859047</v>
      </c>
      <c r="W14" s="3585">
        <f t="shared" si="12"/>
        <v>919047</v>
      </c>
      <c r="X14" s="3586">
        <f>SUM(X15:X20)</f>
        <v>35388328.640000001</v>
      </c>
      <c r="Y14" s="3587"/>
      <c r="AA14" s="3589">
        <f>+J14-J16</f>
        <v>18798477</v>
      </c>
    </row>
    <row r="15" spans="1:28" s="3588" customFormat="1" ht="14.25" customHeight="1">
      <c r="A15" s="3562"/>
      <c r="B15" s="3590" t="s">
        <v>24</v>
      </c>
      <c r="C15" s="3583"/>
      <c r="D15" s="3591">
        <f>+D82+D87+D92+D120+D125+D130</f>
        <v>28619258.640000001</v>
      </c>
      <c r="E15" s="3591">
        <f t="shared" ref="E15:L15" si="13">+E82+E87+E92</f>
        <v>0</v>
      </c>
      <c r="F15" s="3591">
        <f t="shared" si="13"/>
        <v>0</v>
      </c>
      <c r="G15" s="3591">
        <f t="shared" si="13"/>
        <v>0</v>
      </c>
      <c r="H15" s="3591">
        <f t="shared" si="13"/>
        <v>0</v>
      </c>
      <c r="I15" s="3591">
        <f t="shared" si="13"/>
        <v>0</v>
      </c>
      <c r="J15" s="3591">
        <f t="shared" si="13"/>
        <v>0</v>
      </c>
      <c r="K15" s="3591">
        <f t="shared" si="13"/>
        <v>0</v>
      </c>
      <c r="L15" s="3591">
        <f t="shared" si="13"/>
        <v>0</v>
      </c>
      <c r="M15" s="3591">
        <f>+L15+K15+J15+I15+E15</f>
        <v>0</v>
      </c>
      <c r="N15" s="3591">
        <f>+N82+N87+N92</f>
        <v>0</v>
      </c>
      <c r="O15" s="3591">
        <f>+O82+O87+O92+O120+O125+O130</f>
        <v>0</v>
      </c>
      <c r="P15" s="3591">
        <f t="shared" ref="P15:W15" si="14">+P82+P87+P92+P120+P125+P130</f>
        <v>5637206.6399999997</v>
      </c>
      <c r="Q15" s="3591">
        <f t="shared" si="14"/>
        <v>5050955</v>
      </c>
      <c r="R15" s="3591">
        <f t="shared" si="14"/>
        <v>5329509</v>
      </c>
      <c r="S15" s="3591">
        <f t="shared" si="14"/>
        <v>2261110</v>
      </c>
      <c r="T15" s="3591">
        <f t="shared" si="14"/>
        <v>1999047</v>
      </c>
      <c r="U15" s="3591">
        <f t="shared" si="14"/>
        <v>1999047</v>
      </c>
      <c r="V15" s="3591">
        <f t="shared" si="14"/>
        <v>1859047</v>
      </c>
      <c r="W15" s="3592">
        <f t="shared" si="14"/>
        <v>919047</v>
      </c>
      <c r="X15" s="3593">
        <f>+X82+X87+X92+X120+X125+X130</f>
        <v>28619258.640000001</v>
      </c>
      <c r="Y15" s="3587"/>
      <c r="AA15" s="3589"/>
      <c r="AB15" s="3589">
        <f>+D15+D17+D18+D20</f>
        <v>127855783.64</v>
      </c>
    </row>
    <row r="16" spans="1:28" s="3551" customFormat="1" ht="14.25" customHeight="1">
      <c r="A16" s="3562"/>
      <c r="B16" s="3590" t="s">
        <v>45</v>
      </c>
      <c r="C16" s="3594"/>
      <c r="D16" s="3595">
        <f>+D32+D43+D56+D81+D86+D96+D106+D91+D124</f>
        <v>52418460</v>
      </c>
      <c r="E16" s="3595">
        <f t="shared" ref="E16:L16" si="15">+E32+E43+E56+E69+E81+E86+E96+E106</f>
        <v>1042473</v>
      </c>
      <c r="F16" s="3595">
        <f t="shared" si="15"/>
        <v>0</v>
      </c>
      <c r="G16" s="3595">
        <f t="shared" si="15"/>
        <v>75454</v>
      </c>
      <c r="H16" s="3595">
        <f t="shared" si="15"/>
        <v>2710879</v>
      </c>
      <c r="I16" s="3595">
        <f t="shared" si="15"/>
        <v>1108014</v>
      </c>
      <c r="J16" s="3595">
        <f t="shared" si="15"/>
        <v>3499679</v>
      </c>
      <c r="K16" s="3595">
        <f t="shared" si="15"/>
        <v>5098157</v>
      </c>
      <c r="L16" s="3595">
        <f t="shared" si="15"/>
        <v>25434950</v>
      </c>
      <c r="M16" s="3591">
        <f>+M32+M43+M56+M81+M86+M96+M106+M91+M124</f>
        <v>20434916</v>
      </c>
      <c r="N16" s="3591">
        <f t="shared" ref="N16:T16" si="16">+N32+N43+N56+N81+N86+N96+N106+N91+N124</f>
        <v>4491119</v>
      </c>
      <c r="O16" s="3591">
        <f>+O32+O43+O56+O81+O86+O96+O106+O91+O124</f>
        <v>12061273</v>
      </c>
      <c r="P16" s="3591">
        <f t="shared" si="16"/>
        <v>19922271</v>
      </c>
      <c r="Q16" s="3596">
        <f t="shared" si="16"/>
        <v>0</v>
      </c>
      <c r="R16" s="3596">
        <f t="shared" si="16"/>
        <v>0</v>
      </c>
      <c r="S16" s="3596">
        <f t="shared" si="16"/>
        <v>0</v>
      </c>
      <c r="T16" s="3596">
        <f t="shared" si="16"/>
        <v>0</v>
      </c>
      <c r="U16" s="3596">
        <f t="shared" ref="U16:W16" si="17">+U32+U43+U56+U81+U86+U96+U106+U91+U124</f>
        <v>0</v>
      </c>
      <c r="V16" s="3596">
        <f t="shared" si="17"/>
        <v>0</v>
      </c>
      <c r="W16" s="3597">
        <f t="shared" si="17"/>
        <v>0</v>
      </c>
      <c r="X16" s="3598" t="s">
        <v>77</v>
      </c>
      <c r="Y16" s="3580"/>
      <c r="AA16" s="3581">
        <f>+P16+O16+N16+L16+K16+J16+I16+E16</f>
        <v>72657936</v>
      </c>
      <c r="AB16" s="3581">
        <f>+AB15-D10</f>
        <v>0</v>
      </c>
    </row>
    <row r="17" spans="1:28" s="3551" customFormat="1" ht="14.25" customHeight="1">
      <c r="A17" s="3562"/>
      <c r="B17" s="3590" t="s">
        <v>152</v>
      </c>
      <c r="C17" s="3599"/>
      <c r="D17" s="3595">
        <f>+D44+D57+D69+D97+D33+D107+D134</f>
        <v>46551139</v>
      </c>
      <c r="E17" s="3595">
        <f t="shared" ref="E17:L17" si="18">+E44+E57+E69+E97+E33+E107</f>
        <v>2805880</v>
      </c>
      <c r="F17" s="3595">
        <f t="shared" si="18"/>
        <v>0</v>
      </c>
      <c r="G17" s="3595">
        <f t="shared" si="18"/>
        <v>27000</v>
      </c>
      <c r="H17" s="3595">
        <f t="shared" si="18"/>
        <v>3348880.0600000005</v>
      </c>
      <c r="I17" s="3595">
        <f t="shared" si="18"/>
        <v>5513671</v>
      </c>
      <c r="J17" s="3595">
        <f t="shared" si="18"/>
        <v>8588477</v>
      </c>
      <c r="K17" s="3595">
        <f t="shared" si="18"/>
        <v>7491341</v>
      </c>
      <c r="L17" s="3595">
        <f t="shared" si="18"/>
        <v>942693</v>
      </c>
      <c r="M17" s="3595">
        <f>+M44+M57+M69+M97+M33+M107+M134</f>
        <v>36262144</v>
      </c>
      <c r="N17" s="3595">
        <f t="shared" ref="N17:T17" si="19">+N44+N57+N69+N97+N33+N107</f>
        <v>10920082</v>
      </c>
      <c r="O17" s="3595">
        <f t="shared" ref="O17:Q17" si="20">+O44+O57+O69+O97+O33+O107+O134</f>
        <v>10095894</v>
      </c>
      <c r="P17" s="3595">
        <f t="shared" si="20"/>
        <v>193101</v>
      </c>
      <c r="Q17" s="3591">
        <f t="shared" si="20"/>
        <v>0</v>
      </c>
      <c r="R17" s="3600">
        <f t="shared" si="19"/>
        <v>0</v>
      </c>
      <c r="S17" s="3600">
        <f t="shared" si="19"/>
        <v>0</v>
      </c>
      <c r="T17" s="3600">
        <f t="shared" si="19"/>
        <v>0</v>
      </c>
      <c r="U17" s="3600">
        <f t="shared" ref="U17:W17" si="21">+U44+U57+U69+U97+U33+U107</f>
        <v>0</v>
      </c>
      <c r="V17" s="3600">
        <f t="shared" si="21"/>
        <v>0</v>
      </c>
      <c r="W17" s="3601">
        <f t="shared" si="21"/>
        <v>0</v>
      </c>
      <c r="X17" s="3602"/>
      <c r="Y17" s="3603"/>
      <c r="AA17" s="3581">
        <f>+P17+O17+N17+L17+K17+J17+I17+E17</f>
        <v>46551139</v>
      </c>
      <c r="AB17" s="3581">
        <f>+AA17-D17</f>
        <v>0</v>
      </c>
    </row>
    <row r="18" spans="1:28" s="3588" customFormat="1" ht="14.25" customHeight="1">
      <c r="A18" s="3604"/>
      <c r="B18" s="3605" t="s">
        <v>25</v>
      </c>
      <c r="C18" s="3594"/>
      <c r="D18" s="3599">
        <f>D58+D45+D70+D108</f>
        <v>46485386</v>
      </c>
      <c r="E18" s="3599">
        <f t="shared" ref="E18:T18" si="22">E58+E45+E70</f>
        <v>0</v>
      </c>
      <c r="F18" s="3599">
        <f t="shared" si="22"/>
        <v>0</v>
      </c>
      <c r="G18" s="3599">
        <f t="shared" si="22"/>
        <v>0</v>
      </c>
      <c r="H18" s="3599">
        <f t="shared" si="22"/>
        <v>0</v>
      </c>
      <c r="I18" s="3599">
        <f t="shared" si="22"/>
        <v>0</v>
      </c>
      <c r="J18" s="3599">
        <f t="shared" si="22"/>
        <v>8065000</v>
      </c>
      <c r="K18" s="3599">
        <f t="shared" si="22"/>
        <v>1854955</v>
      </c>
      <c r="L18" s="3599">
        <f t="shared" si="22"/>
        <v>3882193</v>
      </c>
      <c r="M18" s="3599">
        <f>M58+M45+M70+M108</f>
        <v>23900058</v>
      </c>
      <c r="N18" s="3599">
        <f t="shared" si="22"/>
        <v>10097910</v>
      </c>
      <c r="O18" s="3599">
        <f>O58+O45+O70+O108</f>
        <v>15816258</v>
      </c>
      <c r="P18" s="3599">
        <f t="shared" ref="P18:Q18" si="23">P58+P45+P70+P108</f>
        <v>6769070</v>
      </c>
      <c r="Q18" s="3606">
        <f t="shared" si="23"/>
        <v>0</v>
      </c>
      <c r="R18" s="3606">
        <f t="shared" si="22"/>
        <v>0</v>
      </c>
      <c r="S18" s="3606">
        <f t="shared" si="22"/>
        <v>0</v>
      </c>
      <c r="T18" s="3606">
        <f t="shared" si="22"/>
        <v>0</v>
      </c>
      <c r="U18" s="3606">
        <f t="shared" ref="U18:W18" si="24">U58+U45+U70</f>
        <v>0</v>
      </c>
      <c r="V18" s="3606">
        <f t="shared" si="24"/>
        <v>0</v>
      </c>
      <c r="W18" s="3607">
        <f t="shared" si="24"/>
        <v>0</v>
      </c>
      <c r="X18" s="3608">
        <f>X58+X45+X70+X108</f>
        <v>6769070</v>
      </c>
      <c r="Y18" s="3609"/>
      <c r="AA18" s="3589">
        <f>+P18+O18+N18+L18+K18+J18+I18+E18</f>
        <v>46485386</v>
      </c>
    </row>
    <row r="19" spans="1:28" s="3618" customFormat="1" ht="14.25" customHeight="1">
      <c r="A19" s="3610"/>
      <c r="B19" s="3611" t="s">
        <v>47</v>
      </c>
      <c r="C19" s="3612"/>
      <c r="D19" s="3613">
        <f>+D135</f>
        <v>0</v>
      </c>
      <c r="E19" s="3613"/>
      <c r="F19" s="3613"/>
      <c r="G19" s="3613"/>
      <c r="H19" s="3613"/>
      <c r="I19" s="3613"/>
      <c r="J19" s="3613"/>
      <c r="K19" s="3613"/>
      <c r="L19" s="3613"/>
      <c r="M19" s="3613">
        <v>0</v>
      </c>
      <c r="N19" s="3613"/>
      <c r="O19" s="3613">
        <v>0</v>
      </c>
      <c r="P19" s="3613">
        <f t="shared" ref="P19:Q19" si="25">+P135</f>
        <v>0</v>
      </c>
      <c r="Q19" s="3613">
        <f t="shared" si="25"/>
        <v>0</v>
      </c>
      <c r="R19" s="3614">
        <v>0</v>
      </c>
      <c r="S19" s="3614">
        <v>0</v>
      </c>
      <c r="T19" s="3614">
        <v>0</v>
      </c>
      <c r="U19" s="3614">
        <v>0</v>
      </c>
      <c r="V19" s="3614">
        <v>0</v>
      </c>
      <c r="W19" s="3615">
        <v>0</v>
      </c>
      <c r="X19" s="3616"/>
      <c r="Y19" s="3617"/>
      <c r="AA19" s="3619"/>
    </row>
    <row r="20" spans="1:28" s="3551" customFormat="1" ht="14.25" customHeight="1">
      <c r="A20" s="3562"/>
      <c r="B20" s="3605" t="s">
        <v>153</v>
      </c>
      <c r="C20" s="3594"/>
      <c r="D20" s="3599">
        <f t="shared" ref="D20:T20" si="26">D59</f>
        <v>6200000</v>
      </c>
      <c r="E20" s="3599">
        <f t="shared" si="26"/>
        <v>0</v>
      </c>
      <c r="F20" s="3599">
        <f t="shared" si="26"/>
        <v>0</v>
      </c>
      <c r="G20" s="3599">
        <f t="shared" si="26"/>
        <v>0</v>
      </c>
      <c r="H20" s="3599">
        <f t="shared" si="26"/>
        <v>0</v>
      </c>
      <c r="I20" s="3599">
        <f t="shared" si="26"/>
        <v>0</v>
      </c>
      <c r="J20" s="3599">
        <f t="shared" si="26"/>
        <v>2145000</v>
      </c>
      <c r="K20" s="3599">
        <f t="shared" si="26"/>
        <v>2055000</v>
      </c>
      <c r="L20" s="3599">
        <f t="shared" si="26"/>
        <v>523144</v>
      </c>
      <c r="M20" s="3599">
        <f t="shared" si="26"/>
        <v>6200000</v>
      </c>
      <c r="N20" s="3599">
        <f>N59</f>
        <v>1476856</v>
      </c>
      <c r="O20" s="3599">
        <f t="shared" si="26"/>
        <v>0</v>
      </c>
      <c r="P20" s="3599">
        <f t="shared" si="26"/>
        <v>0</v>
      </c>
      <c r="Q20" s="3606">
        <f t="shared" si="26"/>
        <v>0</v>
      </c>
      <c r="R20" s="3606">
        <f t="shared" si="26"/>
        <v>0</v>
      </c>
      <c r="S20" s="3606">
        <f t="shared" si="26"/>
        <v>0</v>
      </c>
      <c r="T20" s="3606">
        <f t="shared" si="26"/>
        <v>0</v>
      </c>
      <c r="U20" s="3606">
        <f t="shared" ref="U20:W20" si="27">U59</f>
        <v>0</v>
      </c>
      <c r="V20" s="3606">
        <f t="shared" si="27"/>
        <v>0</v>
      </c>
      <c r="W20" s="3607">
        <f t="shared" si="27"/>
        <v>0</v>
      </c>
      <c r="X20" s="3602">
        <f>X59</f>
        <v>0</v>
      </c>
      <c r="Y20" s="3603"/>
      <c r="AA20" s="3581">
        <f>+P20+O20+N20+L20+K20+J20+I20+E20</f>
        <v>6200000</v>
      </c>
    </row>
    <row r="21" spans="1:28" s="3588" customFormat="1" ht="14.25" customHeight="1">
      <c r="A21" s="3620"/>
      <c r="B21" s="3621" t="s">
        <v>30</v>
      </c>
      <c r="C21" s="3622"/>
      <c r="D21" s="3623">
        <f t="shared" ref="D21:W21" si="28">SUM(D22:D22)</f>
        <v>87909405</v>
      </c>
      <c r="E21" s="3623">
        <f t="shared" si="28"/>
        <v>0</v>
      </c>
      <c r="F21" s="3623">
        <f t="shared" si="28"/>
        <v>0</v>
      </c>
      <c r="G21" s="3623">
        <f t="shared" si="28"/>
        <v>0</v>
      </c>
      <c r="H21" s="3623">
        <f t="shared" si="28"/>
        <v>0</v>
      </c>
      <c r="I21" s="3623">
        <f t="shared" si="28"/>
        <v>15578755</v>
      </c>
      <c r="J21" s="3623">
        <f t="shared" si="28"/>
        <v>8198825</v>
      </c>
      <c r="K21" s="3623">
        <f t="shared" si="28"/>
        <v>0</v>
      </c>
      <c r="L21" s="3623">
        <f t="shared" si="28"/>
        <v>400476</v>
      </c>
      <c r="M21" s="3623">
        <f t="shared" si="28"/>
        <v>41239364</v>
      </c>
      <c r="N21" s="3623">
        <f t="shared" si="28"/>
        <v>19927467</v>
      </c>
      <c r="O21" s="3623">
        <f t="shared" si="28"/>
        <v>27276555</v>
      </c>
      <c r="P21" s="3623">
        <f t="shared" si="28"/>
        <v>19393486</v>
      </c>
      <c r="Q21" s="3624">
        <f t="shared" si="28"/>
        <v>0</v>
      </c>
      <c r="R21" s="3624">
        <f t="shared" si="28"/>
        <v>0</v>
      </c>
      <c r="S21" s="3624">
        <f t="shared" si="28"/>
        <v>0</v>
      </c>
      <c r="T21" s="3624">
        <f t="shared" si="28"/>
        <v>0</v>
      </c>
      <c r="U21" s="3624">
        <f t="shared" si="28"/>
        <v>0</v>
      </c>
      <c r="V21" s="3624">
        <f t="shared" si="28"/>
        <v>0</v>
      </c>
      <c r="W21" s="3625">
        <f t="shared" si="28"/>
        <v>0</v>
      </c>
      <c r="X21" s="3598" t="s">
        <v>77</v>
      </c>
      <c r="Y21" s="3587"/>
    </row>
    <row r="22" spans="1:28" s="3551" customFormat="1" ht="14.25" customHeight="1">
      <c r="A22" s="3626"/>
      <c r="B22" s="3627" t="s">
        <v>48</v>
      </c>
      <c r="C22" s="3628"/>
      <c r="D22" s="3629">
        <f>+D47+D72+D34+D99+D110</f>
        <v>87909405</v>
      </c>
      <c r="E22" s="3629">
        <f t="shared" ref="E22:T22" si="29">+E47+E72+E34+E99+E110</f>
        <v>0</v>
      </c>
      <c r="F22" s="3629">
        <f t="shared" si="29"/>
        <v>0</v>
      </c>
      <c r="G22" s="3629">
        <f t="shared" si="29"/>
        <v>0</v>
      </c>
      <c r="H22" s="3629">
        <f t="shared" si="29"/>
        <v>0</v>
      </c>
      <c r="I22" s="3629">
        <f t="shared" si="29"/>
        <v>15578755</v>
      </c>
      <c r="J22" s="3629">
        <f t="shared" si="29"/>
        <v>8198825</v>
      </c>
      <c r="K22" s="3629">
        <f t="shared" si="29"/>
        <v>0</v>
      </c>
      <c r="L22" s="3629">
        <f t="shared" si="29"/>
        <v>400476</v>
      </c>
      <c r="M22" s="3629">
        <f t="shared" si="29"/>
        <v>41239364</v>
      </c>
      <c r="N22" s="3629">
        <f t="shared" si="29"/>
        <v>19927467</v>
      </c>
      <c r="O22" s="3629">
        <f t="shared" si="29"/>
        <v>27276555</v>
      </c>
      <c r="P22" s="3629">
        <f t="shared" si="29"/>
        <v>19393486</v>
      </c>
      <c r="Q22" s="3630">
        <f t="shared" si="29"/>
        <v>0</v>
      </c>
      <c r="R22" s="3630">
        <f t="shared" si="29"/>
        <v>0</v>
      </c>
      <c r="S22" s="3630">
        <f t="shared" si="29"/>
        <v>0</v>
      </c>
      <c r="T22" s="3630">
        <f t="shared" si="29"/>
        <v>0</v>
      </c>
      <c r="U22" s="3630">
        <f t="shared" ref="U22:W22" si="30">+U47+U72+U34+U99+U110</f>
        <v>0</v>
      </c>
      <c r="V22" s="3630">
        <f t="shared" si="30"/>
        <v>0</v>
      </c>
      <c r="W22" s="3631">
        <f t="shared" si="30"/>
        <v>0</v>
      </c>
      <c r="X22" s="3598" t="s">
        <v>77</v>
      </c>
      <c r="Y22" s="3632"/>
    </row>
    <row r="23" spans="1:28" s="3551" customFormat="1" ht="14.25" customHeight="1">
      <c r="A23" s="3626"/>
      <c r="B23" s="3633" t="s">
        <v>34</v>
      </c>
      <c r="C23" s="3634"/>
      <c r="D23" s="3635">
        <f>+D24+D27</f>
        <v>140594791</v>
      </c>
      <c r="E23" s="3635">
        <f t="shared" ref="E23:T23" si="31">+E24+E27</f>
        <v>0</v>
      </c>
      <c r="F23" s="3635">
        <f t="shared" si="31"/>
        <v>0</v>
      </c>
      <c r="G23" s="3635">
        <f t="shared" si="31"/>
        <v>0</v>
      </c>
      <c r="H23" s="3635">
        <f t="shared" si="31"/>
        <v>0</v>
      </c>
      <c r="I23" s="3635">
        <f t="shared" si="31"/>
        <v>15578755</v>
      </c>
      <c r="J23" s="3635">
        <f t="shared" si="31"/>
        <v>18408825</v>
      </c>
      <c r="K23" s="3635">
        <f t="shared" si="31"/>
        <v>3909955</v>
      </c>
      <c r="L23" s="3635">
        <f t="shared" si="31"/>
        <v>4805813</v>
      </c>
      <c r="M23" s="3635">
        <f t="shared" si="31"/>
        <v>71339422</v>
      </c>
      <c r="N23" s="3635">
        <f t="shared" si="31"/>
        <v>31502233</v>
      </c>
      <c r="O23" s="3635">
        <f t="shared" si="31"/>
        <v>43092813</v>
      </c>
      <c r="P23" s="3635">
        <f t="shared" si="31"/>
        <v>26162556</v>
      </c>
      <c r="Q23" s="3636">
        <f t="shared" si="31"/>
        <v>0</v>
      </c>
      <c r="R23" s="3636">
        <f t="shared" si="31"/>
        <v>0</v>
      </c>
      <c r="S23" s="3636">
        <f t="shared" si="31"/>
        <v>0</v>
      </c>
      <c r="T23" s="3636">
        <f t="shared" si="31"/>
        <v>0</v>
      </c>
      <c r="U23" s="3636">
        <f t="shared" ref="U23:W23" si="32">+U24+U27</f>
        <v>0</v>
      </c>
      <c r="V23" s="3636">
        <f t="shared" si="32"/>
        <v>0</v>
      </c>
      <c r="W23" s="3637">
        <f t="shared" si="32"/>
        <v>0</v>
      </c>
      <c r="X23" s="3638" t="s">
        <v>35</v>
      </c>
      <c r="Y23" s="3632"/>
    </row>
    <row r="24" spans="1:28" s="3551" customFormat="1" ht="14.25" customHeight="1">
      <c r="A24" s="3626"/>
      <c r="B24" s="3621" t="s">
        <v>23</v>
      </c>
      <c r="C24" s="3622"/>
      <c r="D24" s="3623">
        <f>+D25+D26</f>
        <v>52685386</v>
      </c>
      <c r="E24" s="3623">
        <f t="shared" ref="E24:T24" si="33">+E25+E26</f>
        <v>0</v>
      </c>
      <c r="F24" s="3623">
        <f t="shared" si="33"/>
        <v>0</v>
      </c>
      <c r="G24" s="3623">
        <f t="shared" si="33"/>
        <v>0</v>
      </c>
      <c r="H24" s="3623">
        <f t="shared" si="33"/>
        <v>0</v>
      </c>
      <c r="I24" s="3623">
        <f t="shared" si="33"/>
        <v>0</v>
      </c>
      <c r="J24" s="3623">
        <f t="shared" si="33"/>
        <v>10210000</v>
      </c>
      <c r="K24" s="3623">
        <f t="shared" si="33"/>
        <v>3909955</v>
      </c>
      <c r="L24" s="3623">
        <f t="shared" si="33"/>
        <v>4405337</v>
      </c>
      <c r="M24" s="3623">
        <f t="shared" si="33"/>
        <v>30100058</v>
      </c>
      <c r="N24" s="3623">
        <f t="shared" si="33"/>
        <v>11574766</v>
      </c>
      <c r="O24" s="3623">
        <f t="shared" si="33"/>
        <v>15816258</v>
      </c>
      <c r="P24" s="3623">
        <f t="shared" si="33"/>
        <v>6769070</v>
      </c>
      <c r="Q24" s="3624">
        <f t="shared" si="33"/>
        <v>0</v>
      </c>
      <c r="R24" s="3624">
        <f t="shared" si="33"/>
        <v>0</v>
      </c>
      <c r="S24" s="3624">
        <f t="shared" si="33"/>
        <v>0</v>
      </c>
      <c r="T24" s="3624">
        <f t="shared" si="33"/>
        <v>0</v>
      </c>
      <c r="U24" s="3624">
        <f t="shared" ref="U24:W24" si="34">+U25+U26</f>
        <v>0</v>
      </c>
      <c r="V24" s="3624">
        <f t="shared" si="34"/>
        <v>0</v>
      </c>
      <c r="W24" s="3625">
        <f t="shared" si="34"/>
        <v>0</v>
      </c>
      <c r="X24" s="3639"/>
      <c r="Y24" s="3632"/>
    </row>
    <row r="25" spans="1:28" s="3551" customFormat="1" ht="14.25" customHeight="1">
      <c r="A25" s="3626"/>
      <c r="B25" s="3605" t="s">
        <v>25</v>
      </c>
      <c r="C25" s="3594"/>
      <c r="D25" s="3599">
        <f>D64+D50+D75+D113</f>
        <v>46485386</v>
      </c>
      <c r="E25" s="3599">
        <f>E64+E50+E75</f>
        <v>0</v>
      </c>
      <c r="F25" s="3599">
        <f>F64+F50</f>
        <v>0</v>
      </c>
      <c r="G25" s="3599">
        <f>G64+G50</f>
        <v>0</v>
      </c>
      <c r="H25" s="3599">
        <f>H64+H50</f>
        <v>0</v>
      </c>
      <c r="I25" s="3599">
        <f>I64+I50+I75</f>
        <v>0</v>
      </c>
      <c r="J25" s="3599">
        <f>J64+J50+J75</f>
        <v>8065000</v>
      </c>
      <c r="K25" s="3599">
        <f>K64+K50+K75</f>
        <v>1854955</v>
      </c>
      <c r="L25" s="3599">
        <f>L64+L50+L75</f>
        <v>3882193</v>
      </c>
      <c r="M25" s="3599">
        <f>M64+M50+M75+M108</f>
        <v>23900058</v>
      </c>
      <c r="N25" s="3599">
        <f t="shared" ref="N25:T25" si="35">N64+N50+N75</f>
        <v>10097910</v>
      </c>
      <c r="O25" s="3599">
        <f>O64+O50+O75+O108</f>
        <v>15816258</v>
      </c>
      <c r="P25" s="3599">
        <f>P64+P50+P75+P108</f>
        <v>6769070</v>
      </c>
      <c r="Q25" s="3606">
        <f t="shared" si="35"/>
        <v>0</v>
      </c>
      <c r="R25" s="3606">
        <f t="shared" si="35"/>
        <v>0</v>
      </c>
      <c r="S25" s="3606">
        <f t="shared" si="35"/>
        <v>0</v>
      </c>
      <c r="T25" s="3606">
        <f t="shared" si="35"/>
        <v>0</v>
      </c>
      <c r="U25" s="3606">
        <f t="shared" ref="U25:W25" si="36">U64+U50+U75</f>
        <v>0</v>
      </c>
      <c r="V25" s="3600">
        <f t="shared" si="36"/>
        <v>0</v>
      </c>
      <c r="W25" s="3640">
        <f t="shared" si="36"/>
        <v>0</v>
      </c>
      <c r="X25" s="3639"/>
      <c r="Y25" s="3632"/>
      <c r="AA25" s="3581">
        <f>+P25+O25+N25+L25+K25+J25+I25+E25</f>
        <v>46485386</v>
      </c>
    </row>
    <row r="26" spans="1:28" s="3551" customFormat="1" ht="14.25" customHeight="1">
      <c r="A26" s="3626"/>
      <c r="B26" s="3605" t="s">
        <v>277</v>
      </c>
      <c r="C26" s="3594"/>
      <c r="D26" s="3599">
        <f t="shared" ref="D26:T26" si="37">D65</f>
        <v>6200000</v>
      </c>
      <c r="E26" s="3599">
        <f t="shared" si="37"/>
        <v>0</v>
      </c>
      <c r="F26" s="3599">
        <f t="shared" si="37"/>
        <v>0</v>
      </c>
      <c r="G26" s="3599">
        <f t="shared" si="37"/>
        <v>0</v>
      </c>
      <c r="H26" s="3599">
        <f t="shared" si="37"/>
        <v>0</v>
      </c>
      <c r="I26" s="3599">
        <f t="shared" si="37"/>
        <v>0</v>
      </c>
      <c r="J26" s="3599">
        <f t="shared" si="37"/>
        <v>2145000</v>
      </c>
      <c r="K26" s="3599">
        <f t="shared" si="37"/>
        <v>2055000</v>
      </c>
      <c r="L26" s="3599">
        <f t="shared" si="37"/>
        <v>523144</v>
      </c>
      <c r="M26" s="3599">
        <f t="shared" ref="M26" si="38">M65</f>
        <v>6200000</v>
      </c>
      <c r="N26" s="3599">
        <f t="shared" si="37"/>
        <v>1476856</v>
      </c>
      <c r="O26" s="3599">
        <f t="shared" si="37"/>
        <v>0</v>
      </c>
      <c r="P26" s="3599">
        <f t="shared" si="37"/>
        <v>0</v>
      </c>
      <c r="Q26" s="3606">
        <f t="shared" si="37"/>
        <v>0</v>
      </c>
      <c r="R26" s="3606">
        <f t="shared" si="37"/>
        <v>0</v>
      </c>
      <c r="S26" s="3606">
        <f t="shared" si="37"/>
        <v>0</v>
      </c>
      <c r="T26" s="3606">
        <f t="shared" si="37"/>
        <v>0</v>
      </c>
      <c r="U26" s="3600">
        <f t="shared" ref="U26:W26" si="39">U65</f>
        <v>0</v>
      </c>
      <c r="V26" s="3606">
        <f t="shared" si="39"/>
        <v>0</v>
      </c>
      <c r="W26" s="3640">
        <f t="shared" si="39"/>
        <v>0</v>
      </c>
      <c r="X26" s="3639"/>
      <c r="Y26" s="3632"/>
      <c r="AA26" s="3581">
        <f>+P26+O26+N26+L26+K26+J26+I26+E26</f>
        <v>6200000</v>
      </c>
    </row>
    <row r="27" spans="1:28" s="3551" customFormat="1" ht="14.25" customHeight="1">
      <c r="A27" s="3626"/>
      <c r="B27" s="3621" t="s">
        <v>30</v>
      </c>
      <c r="C27" s="3622"/>
      <c r="D27" s="3623">
        <f t="shared" ref="D27:W27" si="40">SUM(D28:D28)</f>
        <v>87909405</v>
      </c>
      <c r="E27" s="3623">
        <f t="shared" si="40"/>
        <v>0</v>
      </c>
      <c r="F27" s="3623">
        <f t="shared" si="40"/>
        <v>0</v>
      </c>
      <c r="G27" s="3623">
        <f t="shared" si="40"/>
        <v>0</v>
      </c>
      <c r="H27" s="3623">
        <f t="shared" si="40"/>
        <v>0</v>
      </c>
      <c r="I27" s="3623">
        <f t="shared" si="40"/>
        <v>15578755</v>
      </c>
      <c r="J27" s="3623">
        <f t="shared" si="40"/>
        <v>8198825</v>
      </c>
      <c r="K27" s="3623">
        <f t="shared" si="40"/>
        <v>0</v>
      </c>
      <c r="L27" s="3623">
        <f t="shared" si="40"/>
        <v>400476</v>
      </c>
      <c r="M27" s="3623">
        <f t="shared" si="40"/>
        <v>41239364</v>
      </c>
      <c r="N27" s="3623">
        <f t="shared" si="40"/>
        <v>19927467</v>
      </c>
      <c r="O27" s="3623">
        <f t="shared" si="40"/>
        <v>27276555</v>
      </c>
      <c r="P27" s="3623">
        <f t="shared" si="40"/>
        <v>19393486</v>
      </c>
      <c r="Q27" s="3624">
        <f t="shared" si="40"/>
        <v>0</v>
      </c>
      <c r="R27" s="3624">
        <f t="shared" si="40"/>
        <v>0</v>
      </c>
      <c r="S27" s="3624">
        <f t="shared" si="40"/>
        <v>0</v>
      </c>
      <c r="T27" s="3624">
        <f t="shared" si="40"/>
        <v>0</v>
      </c>
      <c r="U27" s="3624">
        <f t="shared" si="40"/>
        <v>0</v>
      </c>
      <c r="V27" s="3624">
        <f t="shared" si="40"/>
        <v>0</v>
      </c>
      <c r="W27" s="3641">
        <f t="shared" si="40"/>
        <v>0</v>
      </c>
      <c r="X27" s="3639"/>
      <c r="Y27" s="3632"/>
      <c r="AA27" s="3581"/>
    </row>
    <row r="28" spans="1:28" s="3551" customFormat="1" ht="14.25" customHeight="1" thickBot="1">
      <c r="A28" s="3626"/>
      <c r="B28" s="3627" t="s">
        <v>48</v>
      </c>
      <c r="C28" s="3642"/>
      <c r="D28" s="3643">
        <f t="shared" ref="D28:L28" si="41">D38+D52+D77+D102+D115</f>
        <v>87909405</v>
      </c>
      <c r="E28" s="3643">
        <f t="shared" si="41"/>
        <v>0</v>
      </c>
      <c r="F28" s="3643">
        <f t="shared" si="41"/>
        <v>0</v>
      </c>
      <c r="G28" s="3643">
        <f t="shared" si="41"/>
        <v>0</v>
      </c>
      <c r="H28" s="3643">
        <f t="shared" si="41"/>
        <v>0</v>
      </c>
      <c r="I28" s="3643">
        <f t="shared" si="41"/>
        <v>15578755</v>
      </c>
      <c r="J28" s="3643">
        <f t="shared" si="41"/>
        <v>8198825</v>
      </c>
      <c r="K28" s="3643">
        <f t="shared" si="41"/>
        <v>0</v>
      </c>
      <c r="L28" s="3643">
        <f t="shared" si="41"/>
        <v>400476</v>
      </c>
      <c r="M28" s="3643">
        <f t="shared" ref="M28:T28" si="42">M38+M52+M77+M102+M115</f>
        <v>41239364</v>
      </c>
      <c r="N28" s="3643">
        <f t="shared" si="42"/>
        <v>19927467</v>
      </c>
      <c r="O28" s="3643">
        <f t="shared" si="42"/>
        <v>27276555</v>
      </c>
      <c r="P28" s="3643">
        <f t="shared" si="42"/>
        <v>19393486</v>
      </c>
      <c r="Q28" s="3644">
        <f t="shared" si="42"/>
        <v>0</v>
      </c>
      <c r="R28" s="3644">
        <f t="shared" si="42"/>
        <v>0</v>
      </c>
      <c r="S28" s="3644">
        <f t="shared" si="42"/>
        <v>0</v>
      </c>
      <c r="T28" s="3644">
        <f t="shared" si="42"/>
        <v>0</v>
      </c>
      <c r="U28" s="3644">
        <f t="shared" ref="U28:W28" si="43">U38+U52+U77+U102+U115</f>
        <v>0</v>
      </c>
      <c r="V28" s="3644">
        <f t="shared" si="43"/>
        <v>0</v>
      </c>
      <c r="W28" s="3645">
        <f t="shared" si="43"/>
        <v>0</v>
      </c>
      <c r="X28" s="3646"/>
      <c r="Y28" s="3632"/>
      <c r="AA28" s="3581">
        <f>+P28+O28+N28+L28+K28+J28+I28+E28</f>
        <v>90775564</v>
      </c>
    </row>
    <row r="29" spans="1:28" s="3655" customFormat="1" ht="23.25" hidden="1" customHeight="1">
      <c r="A29" s="3647" t="s">
        <v>79</v>
      </c>
      <c r="B29" s="3648"/>
      <c r="C29" s="3649" t="s">
        <v>98</v>
      </c>
      <c r="D29" s="3650"/>
      <c r="E29" s="3651"/>
      <c r="F29" s="3651"/>
      <c r="G29" s="3651"/>
      <c r="H29" s="3651"/>
      <c r="I29" s="3651"/>
      <c r="J29" s="3651"/>
      <c r="K29" s="3651"/>
      <c r="L29" s="3651"/>
      <c r="M29" s="3651"/>
      <c r="N29" s="3651"/>
      <c r="O29" s="3651"/>
      <c r="P29" s="3651"/>
      <c r="Q29" s="3651"/>
      <c r="R29" s="3651"/>
      <c r="S29" s="3651"/>
      <c r="T29" s="3651"/>
      <c r="U29" s="3652"/>
      <c r="V29" s="3651"/>
      <c r="W29" s="3650"/>
      <c r="X29" s="3653"/>
      <c r="Y29" s="3654" t="s">
        <v>154</v>
      </c>
    </row>
    <row r="30" spans="1:28" s="3665" customFormat="1" ht="13.5" hidden="1" customHeight="1">
      <c r="A30" s="3656"/>
      <c r="B30" s="3657"/>
      <c r="C30" s="3658"/>
      <c r="D30" s="3659"/>
      <c r="E30" s="3659"/>
      <c r="F30" s="3659"/>
      <c r="G30" s="3659"/>
      <c r="H30" s="3659"/>
      <c r="I30" s="3659"/>
      <c r="J30" s="3659"/>
      <c r="K30" s="3659"/>
      <c r="L30" s="3659"/>
      <c r="M30" s="3659"/>
      <c r="N30" s="3659"/>
      <c r="O30" s="3659"/>
      <c r="P30" s="3659"/>
      <c r="Q30" s="3659"/>
      <c r="R30" s="3659"/>
      <c r="S30" s="3659"/>
      <c r="T30" s="3659"/>
      <c r="U30" s="3660"/>
      <c r="V30" s="3661"/>
      <c r="W30" s="3662"/>
      <c r="X30" s="3663"/>
      <c r="Y30" s="3664"/>
    </row>
    <row r="31" spans="1:28" s="3665" customFormat="1" ht="12.75" hidden="1" customHeight="1">
      <c r="A31" s="3656"/>
      <c r="B31" s="3666" t="s">
        <v>36</v>
      </c>
      <c r="C31" s="3667" t="s">
        <v>155</v>
      </c>
      <c r="D31" s="3668"/>
      <c r="E31" s="3668"/>
      <c r="F31" s="3668"/>
      <c r="G31" s="3668"/>
      <c r="H31" s="3668"/>
      <c r="I31" s="3668"/>
      <c r="J31" s="3668"/>
      <c r="K31" s="3668"/>
      <c r="L31" s="3668"/>
      <c r="M31" s="3668"/>
      <c r="N31" s="3668"/>
      <c r="O31" s="3668"/>
      <c r="P31" s="3668"/>
      <c r="Q31" s="3668"/>
      <c r="R31" s="3668"/>
      <c r="S31" s="3668"/>
      <c r="T31" s="3668"/>
      <c r="U31" s="3669"/>
      <c r="V31" s="3670"/>
      <c r="W31" s="3671"/>
      <c r="X31" s="3672"/>
      <c r="Y31" s="3673"/>
    </row>
    <row r="32" spans="1:28" s="3665" customFormat="1" ht="12.75" hidden="1" customHeight="1">
      <c r="A32" s="3656"/>
      <c r="B32" s="3674" t="s">
        <v>156</v>
      </c>
      <c r="C32" s="3675"/>
      <c r="D32" s="3676"/>
      <c r="E32" s="3676"/>
      <c r="F32" s="3676"/>
      <c r="G32" s="3676"/>
      <c r="H32" s="3676"/>
      <c r="I32" s="3676"/>
      <c r="J32" s="3676"/>
      <c r="K32" s="3676"/>
      <c r="L32" s="3676"/>
      <c r="M32" s="3676"/>
      <c r="N32" s="3676"/>
      <c r="O32" s="3676"/>
      <c r="P32" s="3676"/>
      <c r="Q32" s="3676"/>
      <c r="R32" s="3676"/>
      <c r="S32" s="3676"/>
      <c r="T32" s="3676"/>
      <c r="U32" s="3677"/>
      <c r="V32" s="3678"/>
      <c r="W32" s="3679"/>
      <c r="X32" s="3680"/>
      <c r="Y32" s="3673"/>
      <c r="AB32" s="3681"/>
    </row>
    <row r="33" spans="1:28" s="3665" customFormat="1" ht="13.5" hidden="1" customHeight="1">
      <c r="A33" s="3656"/>
      <c r="B33" s="3682" t="s">
        <v>152</v>
      </c>
      <c r="C33" s="3675"/>
      <c r="D33" s="3676"/>
      <c r="E33" s="3676"/>
      <c r="F33" s="3676"/>
      <c r="G33" s="3676"/>
      <c r="H33" s="3676"/>
      <c r="I33" s="3676"/>
      <c r="J33" s="3676"/>
      <c r="K33" s="3676"/>
      <c r="L33" s="3676"/>
      <c r="M33" s="3676"/>
      <c r="N33" s="3676"/>
      <c r="O33" s="3676"/>
      <c r="P33" s="3676"/>
      <c r="Q33" s="3676"/>
      <c r="R33" s="3676"/>
      <c r="S33" s="3676"/>
      <c r="T33" s="3676"/>
      <c r="U33" s="3677"/>
      <c r="V33" s="3678"/>
      <c r="W33" s="3679"/>
      <c r="X33" s="3683"/>
      <c r="Y33" s="3673"/>
    </row>
    <row r="34" spans="1:28" s="3665" customFormat="1" ht="13.5" hidden="1" customHeight="1">
      <c r="A34" s="3656"/>
      <c r="B34" s="3684" t="s">
        <v>30</v>
      </c>
      <c r="C34" s="3675"/>
      <c r="D34" s="3685"/>
      <c r="E34" s="3685"/>
      <c r="F34" s="3685"/>
      <c r="G34" s="3685"/>
      <c r="H34" s="3685"/>
      <c r="I34" s="3685"/>
      <c r="J34" s="3685"/>
      <c r="K34" s="3685"/>
      <c r="L34" s="3685"/>
      <c r="M34" s="3685"/>
      <c r="N34" s="3685"/>
      <c r="O34" s="3685"/>
      <c r="P34" s="3685"/>
      <c r="Q34" s="3685"/>
      <c r="R34" s="3685"/>
      <c r="S34" s="3685"/>
      <c r="T34" s="3685"/>
      <c r="U34" s="3686"/>
      <c r="V34" s="3687"/>
      <c r="W34" s="3688"/>
      <c r="X34" s="3689"/>
      <c r="Y34" s="3673"/>
    </row>
    <row r="35" spans="1:28" s="3665" customFormat="1" ht="11.25" hidden="1" customHeight="1">
      <c r="A35" s="3656"/>
      <c r="B35" s="3690" t="s">
        <v>48</v>
      </c>
      <c r="C35" s="3675"/>
      <c r="D35" s="3691"/>
      <c r="E35" s="3691"/>
      <c r="F35" s="3691"/>
      <c r="G35" s="3691"/>
      <c r="H35" s="3691"/>
      <c r="I35" s="3691"/>
      <c r="J35" s="3691"/>
      <c r="K35" s="3691"/>
      <c r="L35" s="3691"/>
      <c r="M35" s="3691"/>
      <c r="N35" s="3691"/>
      <c r="O35" s="3691"/>
      <c r="P35" s="3691"/>
      <c r="Q35" s="3691"/>
      <c r="R35" s="3691"/>
      <c r="S35" s="3691"/>
      <c r="T35" s="3691"/>
      <c r="U35" s="3677"/>
      <c r="V35" s="3678"/>
      <c r="W35" s="3679"/>
      <c r="X35" s="3680"/>
      <c r="Y35" s="3673"/>
    </row>
    <row r="36" spans="1:28" s="3665" customFormat="1" ht="13.5" hidden="1" customHeight="1">
      <c r="A36" s="3656"/>
      <c r="B36" s="3692" t="s">
        <v>34</v>
      </c>
      <c r="C36" s="3693"/>
      <c r="D36" s="3659"/>
      <c r="E36" s="3659"/>
      <c r="F36" s="3659"/>
      <c r="G36" s="3659"/>
      <c r="H36" s="3659"/>
      <c r="I36" s="3659"/>
      <c r="J36" s="3659"/>
      <c r="K36" s="3659"/>
      <c r="L36" s="3659"/>
      <c r="M36" s="3659"/>
      <c r="N36" s="3659"/>
      <c r="O36" s="3659"/>
      <c r="P36" s="3659"/>
      <c r="Q36" s="3659"/>
      <c r="R36" s="3659"/>
      <c r="S36" s="3659"/>
      <c r="T36" s="3659"/>
      <c r="U36" s="3660"/>
      <c r="V36" s="3661"/>
      <c r="W36" s="3662"/>
      <c r="X36" s="3694"/>
      <c r="Y36" s="3673"/>
    </row>
    <row r="37" spans="1:28" s="3665" customFormat="1" ht="13.5" hidden="1" customHeight="1">
      <c r="A37" s="3656"/>
      <c r="B37" s="3684" t="s">
        <v>30</v>
      </c>
      <c r="C37" s="3695"/>
      <c r="D37" s="3696"/>
      <c r="E37" s="3696"/>
      <c r="F37" s="3696"/>
      <c r="G37" s="3696"/>
      <c r="H37" s="3696"/>
      <c r="I37" s="3696"/>
      <c r="J37" s="3696"/>
      <c r="K37" s="3696"/>
      <c r="L37" s="3696"/>
      <c r="M37" s="3696"/>
      <c r="N37" s="3696"/>
      <c r="O37" s="3696"/>
      <c r="P37" s="3696"/>
      <c r="Q37" s="3696"/>
      <c r="R37" s="3696"/>
      <c r="S37" s="3696"/>
      <c r="T37" s="3696"/>
      <c r="U37" s="3697"/>
      <c r="V37" s="3698"/>
      <c r="W37" s="3699"/>
      <c r="X37" s="3694"/>
      <c r="Y37" s="3673"/>
    </row>
    <row r="38" spans="1:28" s="3665" customFormat="1" ht="14.25" hidden="1" customHeight="1" thickBot="1">
      <c r="A38" s="3700"/>
      <c r="B38" s="3701" t="s">
        <v>48</v>
      </c>
      <c r="C38" s="3702" t="s">
        <v>35</v>
      </c>
      <c r="D38" s="3703"/>
      <c r="E38" s="3678"/>
      <c r="F38" s="3678"/>
      <c r="G38" s="3678"/>
      <c r="H38" s="3678"/>
      <c r="I38" s="3678"/>
      <c r="J38" s="3678"/>
      <c r="K38" s="3678"/>
      <c r="L38" s="3678"/>
      <c r="M38" s="3678"/>
      <c r="N38" s="3678"/>
      <c r="O38" s="3678"/>
      <c r="P38" s="3678"/>
      <c r="Q38" s="3678"/>
      <c r="R38" s="3678"/>
      <c r="S38" s="3678"/>
      <c r="T38" s="3678"/>
      <c r="U38" s="3677"/>
      <c r="V38" s="3678"/>
      <c r="W38" s="3679"/>
      <c r="X38" s="3704"/>
      <c r="Y38" s="3705"/>
    </row>
    <row r="39" spans="1:28" s="3665" customFormat="1" ht="27" customHeight="1">
      <c r="A39" s="3647" t="s">
        <v>79</v>
      </c>
      <c r="B39" s="3706" t="s">
        <v>285</v>
      </c>
      <c r="C39" s="3707" t="s">
        <v>98</v>
      </c>
      <c r="D39" s="3708"/>
      <c r="E39" s="3709"/>
      <c r="F39" s="3709"/>
      <c r="G39" s="3709"/>
      <c r="H39" s="3709"/>
      <c r="I39" s="3709"/>
      <c r="J39" s="3709"/>
      <c r="K39" s="3709"/>
      <c r="L39" s="3710"/>
      <c r="M39" s="3710"/>
      <c r="N39" s="3709"/>
      <c r="O39" s="3710"/>
      <c r="P39" s="3710"/>
      <c r="Q39" s="3710"/>
      <c r="R39" s="3710"/>
      <c r="S39" s="3710"/>
      <c r="T39" s="3710"/>
      <c r="U39" s="3711"/>
      <c r="V39" s="3710"/>
      <c r="W39" s="3708"/>
      <c r="X39" s="3712"/>
      <c r="Y39" s="3654" t="s">
        <v>544</v>
      </c>
    </row>
    <row r="40" spans="1:28" s="3665" customFormat="1" ht="23.25" customHeight="1">
      <c r="A40" s="3656"/>
      <c r="B40" s="3713"/>
      <c r="C40" s="3714"/>
      <c r="D40" s="3715"/>
      <c r="E40" s="3716"/>
      <c r="F40" s="3716"/>
      <c r="G40" s="3716"/>
      <c r="H40" s="3716"/>
      <c r="I40" s="3716"/>
      <c r="J40" s="3716"/>
      <c r="K40" s="3716"/>
      <c r="L40" s="3717"/>
      <c r="M40" s="3717"/>
      <c r="N40" s="3716"/>
      <c r="O40" s="3717"/>
      <c r="P40" s="3717"/>
      <c r="Q40" s="3717"/>
      <c r="R40" s="3717"/>
      <c r="S40" s="3717"/>
      <c r="T40" s="3717"/>
      <c r="U40" s="3718"/>
      <c r="V40" s="3717"/>
      <c r="W40" s="3715"/>
      <c r="X40" s="3719"/>
      <c r="Y40" s="3664"/>
    </row>
    <row r="41" spans="1:28" s="3665" customFormat="1" ht="13.5" customHeight="1">
      <c r="A41" s="3656"/>
      <c r="B41" s="3692" t="s">
        <v>22</v>
      </c>
      <c r="C41" s="3720"/>
      <c r="D41" s="3659">
        <f>+D42+D46</f>
        <v>96289103</v>
      </c>
      <c r="E41" s="3659">
        <f t="shared" ref="E41:M41" si="44">+E42+E46</f>
        <v>3210853</v>
      </c>
      <c r="F41" s="3659">
        <f t="shared" si="44"/>
        <v>0</v>
      </c>
      <c r="G41" s="3659">
        <f t="shared" si="44"/>
        <v>78054</v>
      </c>
      <c r="H41" s="3659">
        <f t="shared" si="44"/>
        <v>2678041</v>
      </c>
      <c r="I41" s="3659">
        <f t="shared" si="44"/>
        <v>20749439</v>
      </c>
      <c r="J41" s="3659">
        <f t="shared" si="44"/>
        <v>15205981</v>
      </c>
      <c r="K41" s="3659">
        <f t="shared" si="44"/>
        <v>6980991</v>
      </c>
      <c r="L41" s="3659">
        <f t="shared" si="44"/>
        <v>29066477</v>
      </c>
      <c r="M41" s="3659">
        <f t="shared" si="44"/>
        <v>72773682</v>
      </c>
      <c r="N41" s="3659">
        <f>+N42+N46</f>
        <v>17799477</v>
      </c>
      <c r="O41" s="3659">
        <f>+O42+O46</f>
        <v>4534483</v>
      </c>
      <c r="P41" s="3659">
        <f t="shared" ref="P41:T41" si="45">+P42+P46</f>
        <v>18980938</v>
      </c>
      <c r="Q41" s="3721">
        <f t="shared" si="45"/>
        <v>0</v>
      </c>
      <c r="R41" s="3721">
        <f t="shared" si="45"/>
        <v>0</v>
      </c>
      <c r="S41" s="3721">
        <f t="shared" si="45"/>
        <v>0</v>
      </c>
      <c r="T41" s="3721">
        <f t="shared" si="45"/>
        <v>0</v>
      </c>
      <c r="U41" s="3721">
        <f t="shared" ref="U41:W41" si="46">+U42+U46</f>
        <v>0</v>
      </c>
      <c r="V41" s="3721">
        <f t="shared" si="46"/>
        <v>0</v>
      </c>
      <c r="W41" s="3722">
        <f t="shared" si="46"/>
        <v>0</v>
      </c>
      <c r="X41" s="3723">
        <f>+X42</f>
        <v>289103</v>
      </c>
      <c r="Y41" s="3664"/>
    </row>
    <row r="42" spans="1:28" s="3665" customFormat="1" ht="13.5" customHeight="1">
      <c r="A42" s="3656"/>
      <c r="B42" s="3724" t="s">
        <v>36</v>
      </c>
      <c r="C42" s="3667" t="s">
        <v>284</v>
      </c>
      <c r="D42" s="3725">
        <f>+D43+D44+D45</f>
        <v>36111065</v>
      </c>
      <c r="E42" s="3725">
        <f t="shared" ref="E42:K42" si="47">+E43+E44</f>
        <v>3210853</v>
      </c>
      <c r="F42" s="3725">
        <f t="shared" si="47"/>
        <v>0</v>
      </c>
      <c r="G42" s="3725">
        <f t="shared" si="47"/>
        <v>78054</v>
      </c>
      <c r="H42" s="3725">
        <f t="shared" si="47"/>
        <v>2678041</v>
      </c>
      <c r="I42" s="3725">
        <f t="shared" si="47"/>
        <v>5170684</v>
      </c>
      <c r="J42" s="3725">
        <f>+J43+J44</f>
        <v>7007156</v>
      </c>
      <c r="K42" s="3725">
        <f t="shared" si="47"/>
        <v>6980991</v>
      </c>
      <c r="L42" s="3725">
        <f>+L43+L44+L45</f>
        <v>29066477</v>
      </c>
      <c r="M42" s="3725">
        <f>+M43+M44+M45</f>
        <v>35821962</v>
      </c>
      <c r="N42" s="3725">
        <f>+N43+N44+N45</f>
        <v>4625277</v>
      </c>
      <c r="O42" s="3725">
        <f>+O43+O44+O45</f>
        <v>0</v>
      </c>
      <c r="P42" s="3725">
        <f t="shared" ref="P42:T42" si="48">+P43+P44+P45</f>
        <v>289103</v>
      </c>
      <c r="Q42" s="3726">
        <f t="shared" si="48"/>
        <v>0</v>
      </c>
      <c r="R42" s="3726">
        <f t="shared" si="48"/>
        <v>0</v>
      </c>
      <c r="S42" s="3726">
        <f t="shared" si="48"/>
        <v>0</v>
      </c>
      <c r="T42" s="3726">
        <f t="shared" si="48"/>
        <v>0</v>
      </c>
      <c r="U42" s="3726">
        <f t="shared" ref="U42:W42" si="49">+U43+U44+U45</f>
        <v>0</v>
      </c>
      <c r="V42" s="3726">
        <f t="shared" si="49"/>
        <v>0</v>
      </c>
      <c r="W42" s="3727">
        <f t="shared" si="49"/>
        <v>0</v>
      </c>
      <c r="X42" s="3728">
        <f>+X44+X45</f>
        <v>289103</v>
      </c>
      <c r="Y42" s="3673"/>
    </row>
    <row r="43" spans="1:28" s="3665" customFormat="1" ht="13.5" customHeight="1">
      <c r="A43" s="3656"/>
      <c r="B43" s="3729" t="s">
        <v>156</v>
      </c>
      <c r="C43" s="3675"/>
      <c r="D43" s="3676">
        <f>M43+O43+P43+Q43+R43+S43+T43+U43+V43+W43</f>
        <v>13349022</v>
      </c>
      <c r="E43" s="3676">
        <v>404973</v>
      </c>
      <c r="F43" s="3676">
        <v>0</v>
      </c>
      <c r="G43" s="3676">
        <v>51054</v>
      </c>
      <c r="H43" s="3676">
        <v>679161</v>
      </c>
      <c r="I43" s="3676">
        <v>229513</v>
      </c>
      <c r="J43" s="3676">
        <v>878679</v>
      </c>
      <c r="K43" s="3676">
        <v>4792150</v>
      </c>
      <c r="L43" s="3676">
        <v>24268653</v>
      </c>
      <c r="M43" s="3676">
        <f>+L43+K43+J43+I43+E43+N43-20239476</f>
        <v>13349022</v>
      </c>
      <c r="N43" s="3676">
        <v>3014530</v>
      </c>
      <c r="O43" s="3676">
        <v>0</v>
      </c>
      <c r="P43" s="3676">
        <v>0</v>
      </c>
      <c r="Q43" s="3730">
        <v>0</v>
      </c>
      <c r="R43" s="3730">
        <v>0</v>
      </c>
      <c r="S43" s="3730">
        <v>0</v>
      </c>
      <c r="T43" s="3730">
        <v>0</v>
      </c>
      <c r="U43" s="3730">
        <v>0</v>
      </c>
      <c r="V43" s="3730">
        <v>0</v>
      </c>
      <c r="W43" s="3731">
        <v>0</v>
      </c>
      <c r="X43" s="3598" t="s">
        <v>77</v>
      </c>
      <c r="Y43" s="3673"/>
      <c r="AB43" s="3681">
        <f>+E41+I41+J41+K41</f>
        <v>46147264</v>
      </c>
    </row>
    <row r="44" spans="1:28" s="3665" customFormat="1" ht="12.75" customHeight="1">
      <c r="A44" s="3656"/>
      <c r="B44" s="3732" t="s">
        <v>152</v>
      </c>
      <c r="C44" s="3675"/>
      <c r="D44" s="3676">
        <f>M44+O44+P44+Q44+R44+S44+T44+U44+V44+W44</f>
        <v>16980000</v>
      </c>
      <c r="E44" s="3676">
        <v>2805880</v>
      </c>
      <c r="F44" s="3676">
        <v>0</v>
      </c>
      <c r="G44" s="3676">
        <v>27000</v>
      </c>
      <c r="H44" s="3676">
        <v>1998880</v>
      </c>
      <c r="I44" s="3676">
        <v>4941171</v>
      </c>
      <c r="J44" s="3676">
        <v>6128477</v>
      </c>
      <c r="K44" s="3676">
        <f>3104472-915631</f>
        <v>2188841</v>
      </c>
      <c r="L44" s="3676">
        <v>915631</v>
      </c>
      <c r="M44" s="3676">
        <f>+L44+K44+J44+I44+E44+N44</f>
        <v>16980000</v>
      </c>
      <c r="N44" s="3676">
        <v>0</v>
      </c>
      <c r="O44" s="3676">
        <v>0</v>
      </c>
      <c r="P44" s="3676">
        <v>0</v>
      </c>
      <c r="Q44" s="3730">
        <v>0</v>
      </c>
      <c r="R44" s="3730">
        <v>0</v>
      </c>
      <c r="S44" s="3730">
        <v>0</v>
      </c>
      <c r="T44" s="3730">
        <v>0</v>
      </c>
      <c r="U44" s="3730">
        <v>0</v>
      </c>
      <c r="V44" s="3730">
        <v>0</v>
      </c>
      <c r="W44" s="3731">
        <v>0</v>
      </c>
      <c r="X44" s="3733">
        <f>SUM(P44:T44)</f>
        <v>0</v>
      </c>
      <c r="Y44" s="3673"/>
    </row>
    <row r="45" spans="1:28" s="3739" customFormat="1" ht="12" customHeight="1">
      <c r="A45" s="3656"/>
      <c r="B45" s="3734" t="s">
        <v>94</v>
      </c>
      <c r="C45" s="3675"/>
      <c r="D45" s="3735">
        <f>M45+O45+P45+Q45+R45+S45+T45+U45+V45+W45</f>
        <v>5782043</v>
      </c>
      <c r="E45" s="3735">
        <v>0</v>
      </c>
      <c r="F45" s="3735"/>
      <c r="G45" s="3735"/>
      <c r="H45" s="3735"/>
      <c r="I45" s="3735">
        <v>0</v>
      </c>
      <c r="J45" s="3735">
        <v>0</v>
      </c>
      <c r="K45" s="3735">
        <v>0</v>
      </c>
      <c r="L45" s="3735">
        <v>3882193</v>
      </c>
      <c r="M45" s="3735">
        <f t="shared" ref="M45" si="50">+L45+K45+J45+I45+E45+N45</f>
        <v>5492940</v>
      </c>
      <c r="N45" s="3735">
        <v>1610747</v>
      </c>
      <c r="O45" s="3735">
        <f>289103-289103</f>
        <v>0</v>
      </c>
      <c r="P45" s="3735">
        <v>289103</v>
      </c>
      <c r="Q45" s="3736">
        <v>0</v>
      </c>
      <c r="R45" s="3736">
        <v>0</v>
      </c>
      <c r="S45" s="3736">
        <v>0</v>
      </c>
      <c r="T45" s="3736">
        <v>0</v>
      </c>
      <c r="U45" s="3736">
        <v>0</v>
      </c>
      <c r="V45" s="3736">
        <v>0</v>
      </c>
      <c r="W45" s="3737">
        <v>0</v>
      </c>
      <c r="X45" s="3738">
        <f>SUM(P45:T45)</f>
        <v>289103</v>
      </c>
      <c r="Y45" s="3673"/>
    </row>
    <row r="46" spans="1:28" s="3665" customFormat="1" ht="12.75" customHeight="1">
      <c r="A46" s="3656"/>
      <c r="B46" s="3740" t="s">
        <v>30</v>
      </c>
      <c r="C46" s="3675"/>
      <c r="D46" s="3685">
        <f>+D47</f>
        <v>60178038</v>
      </c>
      <c r="E46" s="3685">
        <f t="shared" ref="E46:X46" si="51">+E47</f>
        <v>0</v>
      </c>
      <c r="F46" s="3685">
        <f t="shared" si="51"/>
        <v>0</v>
      </c>
      <c r="G46" s="3685">
        <f t="shared" si="51"/>
        <v>0</v>
      </c>
      <c r="H46" s="3685">
        <f t="shared" si="51"/>
        <v>0</v>
      </c>
      <c r="I46" s="3685">
        <f t="shared" si="51"/>
        <v>15578755</v>
      </c>
      <c r="J46" s="3685">
        <f t="shared" si="51"/>
        <v>8198825</v>
      </c>
      <c r="K46" s="3685">
        <f t="shared" si="51"/>
        <v>0</v>
      </c>
      <c r="L46" s="3685">
        <v>0</v>
      </c>
      <c r="M46" s="3685">
        <f>+M47</f>
        <v>36951720</v>
      </c>
      <c r="N46" s="3685">
        <f t="shared" si="51"/>
        <v>13174200</v>
      </c>
      <c r="O46" s="3685">
        <f t="shared" si="51"/>
        <v>4534483</v>
      </c>
      <c r="P46" s="3685">
        <f t="shared" si="51"/>
        <v>18691835</v>
      </c>
      <c r="Q46" s="3741">
        <f t="shared" si="51"/>
        <v>0</v>
      </c>
      <c r="R46" s="3741">
        <f t="shared" si="51"/>
        <v>0</v>
      </c>
      <c r="S46" s="3741">
        <f t="shared" si="51"/>
        <v>0</v>
      </c>
      <c r="T46" s="3741">
        <f t="shared" si="51"/>
        <v>0</v>
      </c>
      <c r="U46" s="3741">
        <f t="shared" si="51"/>
        <v>0</v>
      </c>
      <c r="V46" s="3741">
        <f t="shared" si="51"/>
        <v>0</v>
      </c>
      <c r="W46" s="3742">
        <f t="shared" si="51"/>
        <v>0</v>
      </c>
      <c r="X46" s="3743" t="str">
        <f t="shared" si="51"/>
        <v>x</v>
      </c>
      <c r="Y46" s="3673"/>
    </row>
    <row r="47" spans="1:28" s="3665" customFormat="1" ht="12" customHeight="1">
      <c r="A47" s="3656"/>
      <c r="B47" s="3690" t="s">
        <v>48</v>
      </c>
      <c r="C47" s="3675"/>
      <c r="D47" s="3676">
        <f>M47+O47+P47+Q47+R47+S47+T47+U47+V47+W47</f>
        <v>60178038</v>
      </c>
      <c r="E47" s="3691">
        <f>+F47+G47+H47</f>
        <v>0</v>
      </c>
      <c r="F47" s="3691">
        <v>0</v>
      </c>
      <c r="G47" s="3691">
        <v>0</v>
      </c>
      <c r="H47" s="3691">
        <v>0</v>
      </c>
      <c r="I47" s="3676">
        <v>15578755</v>
      </c>
      <c r="J47" s="3676">
        <v>8198825</v>
      </c>
      <c r="K47" s="3691">
        <v>0</v>
      </c>
      <c r="L47" s="3691">
        <v>0</v>
      </c>
      <c r="M47" s="3676">
        <f>+L47+K47+J47+I47+E47+N47-60</f>
        <v>36951720</v>
      </c>
      <c r="N47" s="3676">
        <v>13174200</v>
      </c>
      <c r="O47" s="3676">
        <f>1944830+2589653</f>
        <v>4534483</v>
      </c>
      <c r="P47" s="3676">
        <v>18691835</v>
      </c>
      <c r="Q47" s="3730">
        <v>0</v>
      </c>
      <c r="R47" s="3730">
        <v>0</v>
      </c>
      <c r="S47" s="3730">
        <v>0</v>
      </c>
      <c r="T47" s="3730">
        <v>0</v>
      </c>
      <c r="U47" s="3730">
        <v>0</v>
      </c>
      <c r="V47" s="3730">
        <v>0</v>
      </c>
      <c r="W47" s="3730">
        <v>0</v>
      </c>
      <c r="X47" s="3598" t="s">
        <v>77</v>
      </c>
      <c r="Y47" s="3673"/>
    </row>
    <row r="48" spans="1:28" s="3665" customFormat="1" ht="13.5" customHeight="1">
      <c r="A48" s="3656"/>
      <c r="B48" s="3692" t="s">
        <v>34</v>
      </c>
      <c r="C48" s="3693"/>
      <c r="D48" s="3659">
        <f>+D49+D51</f>
        <v>65960081</v>
      </c>
      <c r="E48" s="3659">
        <f t="shared" ref="E48:M48" si="52">+E51</f>
        <v>0</v>
      </c>
      <c r="F48" s="3659">
        <f t="shared" si="52"/>
        <v>0</v>
      </c>
      <c r="G48" s="3659">
        <f t="shared" si="52"/>
        <v>0</v>
      </c>
      <c r="H48" s="3659">
        <f t="shared" si="52"/>
        <v>0</v>
      </c>
      <c r="I48" s="3577">
        <f t="shared" si="52"/>
        <v>15578755</v>
      </c>
      <c r="J48" s="3577">
        <f t="shared" si="52"/>
        <v>8198825</v>
      </c>
      <c r="K48" s="3659">
        <f t="shared" si="52"/>
        <v>0</v>
      </c>
      <c r="L48" s="3659">
        <f t="shared" si="52"/>
        <v>0</v>
      </c>
      <c r="M48" s="3577">
        <f t="shared" si="52"/>
        <v>36951720</v>
      </c>
      <c r="N48" s="3577">
        <f>+N49+N51</f>
        <v>14784947</v>
      </c>
      <c r="O48" s="3577">
        <f>+O49+O51</f>
        <v>4534483</v>
      </c>
      <c r="P48" s="3577">
        <f t="shared" ref="P48:T48" si="53">+P49+P51</f>
        <v>18980938</v>
      </c>
      <c r="Q48" s="3744">
        <f t="shared" si="53"/>
        <v>0</v>
      </c>
      <c r="R48" s="3744">
        <f t="shared" si="53"/>
        <v>0</v>
      </c>
      <c r="S48" s="3744">
        <f t="shared" si="53"/>
        <v>0</v>
      </c>
      <c r="T48" s="3744">
        <f t="shared" si="53"/>
        <v>0</v>
      </c>
      <c r="U48" s="3744">
        <f t="shared" ref="U48:W48" si="54">+U49+U51</f>
        <v>0</v>
      </c>
      <c r="V48" s="3744">
        <f t="shared" si="54"/>
        <v>0</v>
      </c>
      <c r="W48" s="3744">
        <f t="shared" si="54"/>
        <v>0</v>
      </c>
      <c r="X48" s="3694"/>
      <c r="Y48" s="3673"/>
    </row>
    <row r="49" spans="1:29" s="3665" customFormat="1" ht="13.5" customHeight="1">
      <c r="A49" s="3656"/>
      <c r="B49" s="3745" t="s">
        <v>36</v>
      </c>
      <c r="C49" s="3746" t="s">
        <v>102</v>
      </c>
      <c r="D49" s="3696">
        <f>+D50</f>
        <v>5782043</v>
      </c>
      <c r="E49" s="3696">
        <v>0</v>
      </c>
      <c r="F49" s="3696"/>
      <c r="G49" s="3696"/>
      <c r="H49" s="3696"/>
      <c r="I49" s="3696">
        <v>0</v>
      </c>
      <c r="J49" s="3696">
        <v>0</v>
      </c>
      <c r="K49" s="3696">
        <v>0</v>
      </c>
      <c r="L49" s="3696">
        <f>+L50</f>
        <v>3882193</v>
      </c>
      <c r="M49" s="3696">
        <f>+M50</f>
        <v>5492940</v>
      </c>
      <c r="N49" s="3696">
        <f>+N50</f>
        <v>1610747</v>
      </c>
      <c r="O49" s="3696">
        <f>+O50</f>
        <v>0</v>
      </c>
      <c r="P49" s="3696">
        <f t="shared" ref="P49:W49" si="55">+P50</f>
        <v>289103</v>
      </c>
      <c r="Q49" s="3747">
        <f t="shared" si="55"/>
        <v>0</v>
      </c>
      <c r="R49" s="3747">
        <f t="shared" si="55"/>
        <v>0</v>
      </c>
      <c r="S49" s="3747">
        <f t="shared" si="55"/>
        <v>0</v>
      </c>
      <c r="T49" s="3747">
        <f t="shared" si="55"/>
        <v>0</v>
      </c>
      <c r="U49" s="3747">
        <f t="shared" si="55"/>
        <v>0</v>
      </c>
      <c r="V49" s="3747">
        <f t="shared" si="55"/>
        <v>0</v>
      </c>
      <c r="W49" s="3747">
        <f t="shared" si="55"/>
        <v>0</v>
      </c>
      <c r="X49" s="3694"/>
      <c r="Y49" s="3673"/>
    </row>
    <row r="50" spans="1:29" s="3665" customFormat="1" ht="12.75" customHeight="1">
      <c r="A50" s="3656"/>
      <c r="B50" s="3734" t="s">
        <v>94</v>
      </c>
      <c r="C50" s="3748"/>
      <c r="D50" s="3676">
        <f>M50+O50+P50+Q50+R50+S50+T50+U50+V50+W50</f>
        <v>5782043</v>
      </c>
      <c r="E50" s="3676">
        <v>0</v>
      </c>
      <c r="F50" s="3676"/>
      <c r="G50" s="3676"/>
      <c r="H50" s="3676"/>
      <c r="I50" s="3676">
        <v>0</v>
      </c>
      <c r="J50" s="3676">
        <v>0</v>
      </c>
      <c r="K50" s="3676">
        <v>0</v>
      </c>
      <c r="L50" s="3676">
        <v>3882193</v>
      </c>
      <c r="M50" s="3676">
        <f>+L50+K50+J50+I50+E50+N50</f>
        <v>5492940</v>
      </c>
      <c r="N50" s="3676">
        <v>1610747</v>
      </c>
      <c r="O50" s="3676">
        <f>289103-289103</f>
        <v>0</v>
      </c>
      <c r="P50" s="3676">
        <v>289103</v>
      </c>
      <c r="Q50" s="3730">
        <v>0</v>
      </c>
      <c r="R50" s="3730">
        <v>0</v>
      </c>
      <c r="S50" s="3730">
        <v>0</v>
      </c>
      <c r="T50" s="3730">
        <v>0</v>
      </c>
      <c r="U50" s="3730">
        <v>0</v>
      </c>
      <c r="V50" s="3730">
        <v>0</v>
      </c>
      <c r="W50" s="3730">
        <v>0</v>
      </c>
      <c r="X50" s="3694"/>
      <c r="Y50" s="3673"/>
    </row>
    <row r="51" spans="1:29" s="3665" customFormat="1" ht="12.75" customHeight="1">
      <c r="A51" s="3656"/>
      <c r="B51" s="3740" t="s">
        <v>30</v>
      </c>
      <c r="C51" s="3749"/>
      <c r="D51" s="3696">
        <f>+D52</f>
        <v>60178038</v>
      </c>
      <c r="E51" s="3696">
        <f t="shared" ref="E51:W51" si="56">+E52</f>
        <v>0</v>
      </c>
      <c r="F51" s="3696">
        <f t="shared" si="56"/>
        <v>0</v>
      </c>
      <c r="G51" s="3696">
        <f t="shared" si="56"/>
        <v>0</v>
      </c>
      <c r="H51" s="3696">
        <f t="shared" si="56"/>
        <v>0</v>
      </c>
      <c r="I51" s="3696">
        <f t="shared" si="56"/>
        <v>15578755</v>
      </c>
      <c r="J51" s="3696">
        <f t="shared" si="56"/>
        <v>8198825</v>
      </c>
      <c r="K51" s="3696">
        <f t="shared" si="56"/>
        <v>0</v>
      </c>
      <c r="L51" s="3696">
        <f t="shared" si="56"/>
        <v>0</v>
      </c>
      <c r="M51" s="3696">
        <f t="shared" si="56"/>
        <v>36951720</v>
      </c>
      <c r="N51" s="3696">
        <f t="shared" si="56"/>
        <v>13174200</v>
      </c>
      <c r="O51" s="3696">
        <f t="shared" si="56"/>
        <v>4534483</v>
      </c>
      <c r="P51" s="3696">
        <f t="shared" si="56"/>
        <v>18691835</v>
      </c>
      <c r="Q51" s="3747">
        <f t="shared" si="56"/>
        <v>0</v>
      </c>
      <c r="R51" s="3747">
        <f t="shared" si="56"/>
        <v>0</v>
      </c>
      <c r="S51" s="3747">
        <f t="shared" si="56"/>
        <v>0</v>
      </c>
      <c r="T51" s="3747">
        <f t="shared" si="56"/>
        <v>0</v>
      </c>
      <c r="U51" s="3747">
        <f t="shared" si="56"/>
        <v>0</v>
      </c>
      <c r="V51" s="3747">
        <f t="shared" si="56"/>
        <v>0</v>
      </c>
      <c r="W51" s="3747">
        <f t="shared" si="56"/>
        <v>0</v>
      </c>
      <c r="X51" s="3694"/>
      <c r="Y51" s="3673"/>
    </row>
    <row r="52" spans="1:29" s="3665" customFormat="1" ht="13.5" customHeight="1" thickBot="1">
      <c r="A52" s="3700"/>
      <c r="B52" s="3750" t="s">
        <v>48</v>
      </c>
      <c r="C52" s="3751" t="s">
        <v>35</v>
      </c>
      <c r="D52" s="3752">
        <f>M52+O52+P52+Q52+R52+S52+T52+U52+V52+W52</f>
        <v>60178038</v>
      </c>
      <c r="E52" s="3753">
        <v>0</v>
      </c>
      <c r="F52" s="3753"/>
      <c r="G52" s="3753"/>
      <c r="H52" s="3753"/>
      <c r="I52" s="3753">
        <v>15578755</v>
      </c>
      <c r="J52" s="3753">
        <v>8198825</v>
      </c>
      <c r="K52" s="3753">
        <v>0</v>
      </c>
      <c r="L52" s="3753">
        <v>0</v>
      </c>
      <c r="M52" s="3752">
        <f>+L52+K52+J52+I52+E52+N52-60</f>
        <v>36951720</v>
      </c>
      <c r="N52" s="3753">
        <v>13174200</v>
      </c>
      <c r="O52" s="3753">
        <f>1944830+2589653</f>
        <v>4534483</v>
      </c>
      <c r="P52" s="3753">
        <v>18691835</v>
      </c>
      <c r="Q52" s="3754">
        <v>0</v>
      </c>
      <c r="R52" s="3754">
        <v>0</v>
      </c>
      <c r="S52" s="3754">
        <v>0</v>
      </c>
      <c r="T52" s="3754">
        <v>0</v>
      </c>
      <c r="U52" s="3754">
        <v>0</v>
      </c>
      <c r="V52" s="3754">
        <v>0</v>
      </c>
      <c r="W52" s="3754">
        <v>0</v>
      </c>
      <c r="X52" s="3704"/>
      <c r="Y52" s="3705"/>
    </row>
    <row r="53" spans="1:29" s="3665" customFormat="1" ht="36" customHeight="1">
      <c r="A53" s="3755" t="s">
        <v>80</v>
      </c>
      <c r="B53" s="3756" t="s">
        <v>157</v>
      </c>
      <c r="C53" s="3649" t="s">
        <v>98</v>
      </c>
      <c r="D53" s="3708"/>
      <c r="E53" s="3757"/>
      <c r="F53" s="3757"/>
      <c r="G53" s="3757"/>
      <c r="H53" s="3757"/>
      <c r="I53" s="3757"/>
      <c r="J53" s="3710"/>
      <c r="K53" s="3710"/>
      <c r="L53" s="3710"/>
      <c r="M53" s="3710"/>
      <c r="N53" s="3710"/>
      <c r="O53" s="3710"/>
      <c r="P53" s="3710"/>
      <c r="Q53" s="3710"/>
      <c r="R53" s="3710"/>
      <c r="S53" s="3710"/>
      <c r="T53" s="3710"/>
      <c r="U53" s="3711"/>
      <c r="V53" s="3710"/>
      <c r="W53" s="3708"/>
      <c r="X53" s="3712"/>
      <c r="Y53" s="3654" t="s">
        <v>545</v>
      </c>
      <c r="AA53" s="3758"/>
      <c r="AB53" s="3758"/>
      <c r="AC53" s="3758"/>
    </row>
    <row r="54" spans="1:29" s="3665" customFormat="1" ht="13.5" customHeight="1">
      <c r="A54" s="3759"/>
      <c r="B54" s="3692" t="s">
        <v>22</v>
      </c>
      <c r="C54" s="3720"/>
      <c r="D54" s="3659">
        <f>+D55+D60</f>
        <v>90438534</v>
      </c>
      <c r="E54" s="3659">
        <f t="shared" ref="E54:M54" si="57">+E55+E60</f>
        <v>0</v>
      </c>
      <c r="F54" s="3659">
        <f t="shared" si="57"/>
        <v>0</v>
      </c>
      <c r="G54" s="3659">
        <f t="shared" si="57"/>
        <v>0</v>
      </c>
      <c r="H54" s="3659">
        <f t="shared" si="57"/>
        <v>0</v>
      </c>
      <c r="I54" s="3659">
        <f t="shared" si="57"/>
        <v>1145001</v>
      </c>
      <c r="J54" s="3659">
        <f t="shared" si="57"/>
        <v>14985000</v>
      </c>
      <c r="K54" s="3659">
        <f t="shared" si="57"/>
        <v>9212462</v>
      </c>
      <c r="L54" s="3659">
        <f t="shared" si="57"/>
        <v>1262011</v>
      </c>
      <c r="M54" s="3659">
        <f t="shared" si="57"/>
        <v>41289935</v>
      </c>
      <c r="N54" s="3659">
        <f>+N55+N60</f>
        <v>14685461</v>
      </c>
      <c r="O54" s="3659">
        <f>+O55+O60</f>
        <v>23771198</v>
      </c>
      <c r="P54" s="3659">
        <f>+P55</f>
        <v>25377401</v>
      </c>
      <c r="Q54" s="3721">
        <f t="shared" ref="Q54:W54" si="58">+Q55</f>
        <v>0</v>
      </c>
      <c r="R54" s="3721">
        <f t="shared" si="58"/>
        <v>0</v>
      </c>
      <c r="S54" s="3721">
        <f t="shared" si="58"/>
        <v>0</v>
      </c>
      <c r="T54" s="3721">
        <f t="shared" si="58"/>
        <v>0</v>
      </c>
      <c r="U54" s="3721">
        <f t="shared" si="58"/>
        <v>0</v>
      </c>
      <c r="V54" s="3721">
        <f t="shared" si="58"/>
        <v>0</v>
      </c>
      <c r="W54" s="3722">
        <f t="shared" si="58"/>
        <v>0</v>
      </c>
      <c r="X54" s="3723">
        <f>+X55+X60</f>
        <v>5496817</v>
      </c>
      <c r="Y54" s="3664"/>
      <c r="AA54" s="3758"/>
      <c r="AB54" s="3758"/>
      <c r="AC54" s="3758"/>
    </row>
    <row r="55" spans="1:29" s="3665" customFormat="1" ht="13.5" customHeight="1">
      <c r="A55" s="3759"/>
      <c r="B55" s="3724" t="s">
        <v>36</v>
      </c>
      <c r="C55" s="3667" t="s">
        <v>155</v>
      </c>
      <c r="D55" s="3668">
        <f>SUM(D56:D59)</f>
        <v>90438534</v>
      </c>
      <c r="E55" s="3668">
        <f t="shared" ref="E55:M55" si="59">+E56+E57+E58+E59</f>
        <v>0</v>
      </c>
      <c r="F55" s="3668">
        <f t="shared" si="59"/>
        <v>0</v>
      </c>
      <c r="G55" s="3668">
        <f t="shared" si="59"/>
        <v>0</v>
      </c>
      <c r="H55" s="3668">
        <f t="shared" si="59"/>
        <v>0</v>
      </c>
      <c r="I55" s="3668">
        <f t="shared" si="59"/>
        <v>1145001</v>
      </c>
      <c r="J55" s="3668">
        <f t="shared" si="59"/>
        <v>14985000</v>
      </c>
      <c r="K55" s="3668">
        <f t="shared" si="59"/>
        <v>9212462</v>
      </c>
      <c r="L55" s="3668">
        <f t="shared" si="59"/>
        <v>1262011</v>
      </c>
      <c r="M55" s="3668">
        <f t="shared" si="59"/>
        <v>41289935</v>
      </c>
      <c r="N55" s="3668">
        <f>SUM(N56:N59)</f>
        <v>14685461</v>
      </c>
      <c r="O55" s="3668">
        <f>SUM(O56:O59)</f>
        <v>23771198</v>
      </c>
      <c r="P55" s="3668">
        <f>+P56+P57+P58+P59</f>
        <v>25377401</v>
      </c>
      <c r="Q55" s="3760">
        <f t="shared" ref="Q55:T55" si="60">+Q56+Q57+Q58+Q59</f>
        <v>0</v>
      </c>
      <c r="R55" s="3760">
        <f t="shared" si="60"/>
        <v>0</v>
      </c>
      <c r="S55" s="3760">
        <f t="shared" si="60"/>
        <v>0</v>
      </c>
      <c r="T55" s="3760">
        <f t="shared" si="60"/>
        <v>0</v>
      </c>
      <c r="U55" s="3760">
        <f t="shared" ref="U55:W55" si="61">+U56+U57+U58+U59</f>
        <v>0</v>
      </c>
      <c r="V55" s="3760">
        <f t="shared" si="61"/>
        <v>0</v>
      </c>
      <c r="W55" s="3761">
        <f t="shared" si="61"/>
        <v>0</v>
      </c>
      <c r="X55" s="3728">
        <f>+X57+X58+X59</f>
        <v>5496817</v>
      </c>
      <c r="Y55" s="3664"/>
      <c r="AA55" s="3758"/>
      <c r="AB55" s="3758"/>
      <c r="AC55" s="3758"/>
    </row>
    <row r="56" spans="1:29" s="3665" customFormat="1" ht="13.5" customHeight="1">
      <c r="A56" s="3759"/>
      <c r="B56" s="3729" t="s">
        <v>156</v>
      </c>
      <c r="C56" s="3675"/>
      <c r="D56" s="3676">
        <f t="shared" ref="D56:D59" si="62">M56+O56+P56+Q56+R56+S56+T56+U56+V56+W56</f>
        <v>27679354</v>
      </c>
      <c r="E56" s="3676">
        <v>0</v>
      </c>
      <c r="F56" s="3676">
        <v>0</v>
      </c>
      <c r="G56" s="3676">
        <v>0</v>
      </c>
      <c r="H56" s="3676">
        <v>0</v>
      </c>
      <c r="I56" s="3676">
        <v>572501</v>
      </c>
      <c r="J56" s="3676">
        <v>2315000</v>
      </c>
      <c r="K56" s="3676">
        <v>7</v>
      </c>
      <c r="L56" s="3676">
        <v>711805</v>
      </c>
      <c r="M56" s="3676">
        <f t="shared" ref="M56:M59" si="63">+L56+K56+J56+I56+E56+N56</f>
        <v>3599313</v>
      </c>
      <c r="N56" s="3676">
        <v>0</v>
      </c>
      <c r="O56" s="3676">
        <f>7810382-3610925</f>
        <v>4199457</v>
      </c>
      <c r="P56" s="3676">
        <f>16269659+3610925</f>
        <v>19880584</v>
      </c>
      <c r="Q56" s="3730">
        <v>0</v>
      </c>
      <c r="R56" s="3730">
        <v>0</v>
      </c>
      <c r="S56" s="3730">
        <v>0</v>
      </c>
      <c r="T56" s="3730">
        <v>0</v>
      </c>
      <c r="U56" s="3730">
        <v>0</v>
      </c>
      <c r="V56" s="3730">
        <v>0</v>
      </c>
      <c r="W56" s="3731">
        <v>0</v>
      </c>
      <c r="X56" s="3598" t="s">
        <v>77</v>
      </c>
      <c r="Y56" s="3673"/>
      <c r="AA56" s="3758"/>
      <c r="AB56" s="3758"/>
      <c r="AC56" s="3758"/>
    </row>
    <row r="57" spans="1:29" s="3665" customFormat="1" ht="13.5" customHeight="1">
      <c r="A57" s="3759"/>
      <c r="B57" s="3732" t="s">
        <v>158</v>
      </c>
      <c r="C57" s="3675"/>
      <c r="D57" s="3676">
        <f t="shared" si="62"/>
        <v>24107180</v>
      </c>
      <c r="E57" s="3676">
        <f>+F57+G57+H57</f>
        <v>0</v>
      </c>
      <c r="F57" s="3676">
        <v>0</v>
      </c>
      <c r="G57" s="3676">
        <v>0</v>
      </c>
      <c r="H57" s="3676">
        <v>0</v>
      </c>
      <c r="I57" s="3676">
        <v>572500</v>
      </c>
      <c r="J57" s="3676">
        <v>2460000</v>
      </c>
      <c r="K57" s="3676">
        <v>5302500</v>
      </c>
      <c r="L57" s="3676">
        <v>27062</v>
      </c>
      <c r="M57" s="3676">
        <f t="shared" si="63"/>
        <v>16227937</v>
      </c>
      <c r="N57" s="3676">
        <v>7865875</v>
      </c>
      <c r="O57" s="3676">
        <v>7686142</v>
      </c>
      <c r="P57" s="3676">
        <v>193101</v>
      </c>
      <c r="Q57" s="3730">
        <v>0</v>
      </c>
      <c r="R57" s="3730">
        <v>0</v>
      </c>
      <c r="S57" s="3730">
        <v>0</v>
      </c>
      <c r="T57" s="3730">
        <v>0</v>
      </c>
      <c r="U57" s="3730">
        <v>0</v>
      </c>
      <c r="V57" s="3730">
        <v>0</v>
      </c>
      <c r="W57" s="3731">
        <v>0</v>
      </c>
      <c r="X57" s="3733">
        <f>SUM(P57:T57)</f>
        <v>193101</v>
      </c>
      <c r="Y57" s="3673"/>
      <c r="AA57" s="3758"/>
      <c r="AB57" s="3758"/>
      <c r="AC57" s="3758"/>
    </row>
    <row r="58" spans="1:29" s="3665" customFormat="1" ht="12" customHeight="1">
      <c r="A58" s="3759"/>
      <c r="B58" s="3734" t="s">
        <v>25</v>
      </c>
      <c r="C58" s="3675"/>
      <c r="D58" s="3676">
        <f t="shared" si="62"/>
        <v>32452000</v>
      </c>
      <c r="E58" s="3691">
        <v>0</v>
      </c>
      <c r="F58" s="3691"/>
      <c r="G58" s="3691"/>
      <c r="H58" s="3691"/>
      <c r="I58" s="3691">
        <v>0</v>
      </c>
      <c r="J58" s="3691">
        <f>6920000+1145000</f>
        <v>8065000</v>
      </c>
      <c r="K58" s="3691">
        <v>1854955</v>
      </c>
      <c r="L58" s="3691">
        <v>0</v>
      </c>
      <c r="M58" s="3676">
        <f t="shared" si="63"/>
        <v>15262685</v>
      </c>
      <c r="N58" s="3691">
        <v>5342730</v>
      </c>
      <c r="O58" s="3691">
        <v>11885599</v>
      </c>
      <c r="P58" s="3691">
        <v>5303716</v>
      </c>
      <c r="Q58" s="3762">
        <v>0</v>
      </c>
      <c r="R58" s="3762">
        <v>0</v>
      </c>
      <c r="S58" s="3762">
        <v>0</v>
      </c>
      <c r="T58" s="3762">
        <v>0</v>
      </c>
      <c r="U58" s="3762">
        <v>0</v>
      </c>
      <c r="V58" s="3762">
        <v>0</v>
      </c>
      <c r="W58" s="3763">
        <v>0</v>
      </c>
      <c r="X58" s="3733">
        <f>SUM(P58:T58)</f>
        <v>5303716</v>
      </c>
      <c r="Y58" s="3673"/>
      <c r="AA58" s="3758"/>
      <c r="AB58" s="3758"/>
      <c r="AC58" s="3758"/>
    </row>
    <row r="59" spans="1:29" s="3665" customFormat="1" ht="13.5" customHeight="1">
      <c r="A59" s="3759"/>
      <c r="B59" s="3734" t="s">
        <v>153</v>
      </c>
      <c r="C59" s="3675"/>
      <c r="D59" s="3676">
        <f t="shared" si="62"/>
        <v>6200000</v>
      </c>
      <c r="E59" s="3691">
        <v>0</v>
      </c>
      <c r="F59" s="3691"/>
      <c r="G59" s="3691"/>
      <c r="H59" s="3691"/>
      <c r="I59" s="3691">
        <v>0</v>
      </c>
      <c r="J59" s="3691">
        <v>2145000</v>
      </c>
      <c r="K59" s="3691">
        <v>2055000</v>
      </c>
      <c r="L59" s="3691">
        <v>523144</v>
      </c>
      <c r="M59" s="3676">
        <f t="shared" si="63"/>
        <v>6200000</v>
      </c>
      <c r="N59" s="3691">
        <f>3476856-2000000</f>
        <v>1476856</v>
      </c>
      <c r="O59" s="3691">
        <v>0</v>
      </c>
      <c r="P59" s="3691">
        <v>0</v>
      </c>
      <c r="Q59" s="3762">
        <v>0</v>
      </c>
      <c r="R59" s="3762">
        <v>0</v>
      </c>
      <c r="S59" s="3762">
        <v>0</v>
      </c>
      <c r="T59" s="3762">
        <v>0</v>
      </c>
      <c r="U59" s="3762">
        <v>0</v>
      </c>
      <c r="V59" s="3762">
        <v>0</v>
      </c>
      <c r="W59" s="3763">
        <v>0</v>
      </c>
      <c r="X59" s="3733">
        <f>SUM(P59:T59)</f>
        <v>0</v>
      </c>
      <c r="Y59" s="3673"/>
      <c r="AA59" s="3758"/>
      <c r="AB59" s="3758"/>
      <c r="AC59" s="3758"/>
    </row>
    <row r="60" spans="1:29" s="3665" customFormat="1" ht="18.75" hidden="1" customHeight="1">
      <c r="A60" s="3759"/>
      <c r="B60" s="3560" t="s">
        <v>30</v>
      </c>
      <c r="C60" s="3764"/>
      <c r="D60" s="3765">
        <f>+D61</f>
        <v>0</v>
      </c>
      <c r="E60" s="3765">
        <f t="shared" ref="E60:N60" si="64">+E61</f>
        <v>0</v>
      </c>
      <c r="F60" s="3765">
        <f t="shared" si="64"/>
        <v>0</v>
      </c>
      <c r="G60" s="3765">
        <f t="shared" si="64"/>
        <v>0</v>
      </c>
      <c r="H60" s="3765">
        <f t="shared" si="64"/>
        <v>0</v>
      </c>
      <c r="I60" s="3765">
        <f t="shared" si="64"/>
        <v>0</v>
      </c>
      <c r="J60" s="3765">
        <f t="shared" si="64"/>
        <v>0</v>
      </c>
      <c r="K60" s="3765">
        <f t="shared" si="64"/>
        <v>0</v>
      </c>
      <c r="L60" s="3765">
        <f t="shared" si="64"/>
        <v>0</v>
      </c>
      <c r="M60" s="3765"/>
      <c r="N60" s="3765">
        <f t="shared" si="64"/>
        <v>0</v>
      </c>
      <c r="O60" s="3765"/>
      <c r="P60" s="3765"/>
      <c r="Q60" s="3766"/>
      <c r="R60" s="3766"/>
      <c r="S60" s="3766"/>
      <c r="T60" s="3767"/>
      <c r="U60" s="3767"/>
      <c r="V60" s="3768"/>
      <c r="W60" s="3767"/>
      <c r="X60" s="3680"/>
      <c r="Y60" s="3673"/>
      <c r="AA60" s="3758"/>
      <c r="AB60" s="3758"/>
      <c r="AC60" s="3758"/>
    </row>
    <row r="61" spans="1:29" s="3665" customFormat="1" ht="16.5" hidden="1" customHeight="1">
      <c r="A61" s="3759"/>
      <c r="B61" s="3765" t="s">
        <v>48</v>
      </c>
      <c r="C61" s="3769"/>
      <c r="D61" s="3765">
        <v>0</v>
      </c>
      <c r="E61" s="3765">
        <f>+F61+G61+H61</f>
        <v>0</v>
      </c>
      <c r="F61" s="3765">
        <v>0</v>
      </c>
      <c r="G61" s="3765">
        <v>0</v>
      </c>
      <c r="H61" s="3765">
        <v>0</v>
      </c>
      <c r="I61" s="3765">
        <v>0</v>
      </c>
      <c r="J61" s="3765">
        <v>0</v>
      </c>
      <c r="K61" s="3765">
        <v>0</v>
      </c>
      <c r="L61" s="3765">
        <v>0</v>
      </c>
      <c r="M61" s="3765"/>
      <c r="N61" s="3765">
        <v>0</v>
      </c>
      <c r="O61" s="3765"/>
      <c r="P61" s="3765"/>
      <c r="Q61" s="3766"/>
      <c r="R61" s="3766"/>
      <c r="S61" s="3766"/>
      <c r="T61" s="3766"/>
      <c r="U61" s="3767"/>
      <c r="V61" s="3768"/>
      <c r="W61" s="3766"/>
      <c r="X61" s="3770"/>
      <c r="Y61" s="3673"/>
      <c r="AA61" s="3758"/>
      <c r="AB61" s="3758"/>
      <c r="AC61" s="3758"/>
    </row>
    <row r="62" spans="1:29" s="3665" customFormat="1" ht="13.5" customHeight="1">
      <c r="A62" s="3759"/>
      <c r="B62" s="3692" t="s">
        <v>34</v>
      </c>
      <c r="C62" s="3720"/>
      <c r="D62" s="3659">
        <f>D64+D65</f>
        <v>38652000</v>
      </c>
      <c r="E62" s="3659">
        <f t="shared" ref="E62:O62" si="65">E64+E65</f>
        <v>0</v>
      </c>
      <c r="F62" s="3659">
        <f t="shared" si="65"/>
        <v>0</v>
      </c>
      <c r="G62" s="3659">
        <f t="shared" si="65"/>
        <v>0</v>
      </c>
      <c r="H62" s="3659">
        <f t="shared" si="65"/>
        <v>0</v>
      </c>
      <c r="I62" s="3659">
        <f t="shared" si="65"/>
        <v>0</v>
      </c>
      <c r="J62" s="3659">
        <f t="shared" si="65"/>
        <v>10210000</v>
      </c>
      <c r="K62" s="3659">
        <f t="shared" si="65"/>
        <v>3909955</v>
      </c>
      <c r="L62" s="3659">
        <f t="shared" si="65"/>
        <v>523144</v>
      </c>
      <c r="M62" s="3659">
        <f t="shared" si="65"/>
        <v>21462685</v>
      </c>
      <c r="N62" s="3659">
        <f t="shared" si="65"/>
        <v>6819586</v>
      </c>
      <c r="O62" s="3659">
        <f t="shared" si="65"/>
        <v>11885599</v>
      </c>
      <c r="P62" s="3659">
        <f>+P63</f>
        <v>5303716</v>
      </c>
      <c r="Q62" s="3721">
        <f t="shared" ref="Q62:W62" si="66">+Q63</f>
        <v>0</v>
      </c>
      <c r="R62" s="3721">
        <f t="shared" si="66"/>
        <v>0</v>
      </c>
      <c r="S62" s="3721">
        <f t="shared" si="66"/>
        <v>0</v>
      </c>
      <c r="T62" s="3721">
        <f t="shared" si="66"/>
        <v>0</v>
      </c>
      <c r="U62" s="3721">
        <f t="shared" si="66"/>
        <v>0</v>
      </c>
      <c r="V62" s="3721">
        <f t="shared" si="66"/>
        <v>0</v>
      </c>
      <c r="W62" s="3722">
        <f t="shared" si="66"/>
        <v>0</v>
      </c>
      <c r="X62" s="3771" t="s">
        <v>77</v>
      </c>
      <c r="Y62" s="3673"/>
      <c r="AA62" s="3758"/>
      <c r="AB62" s="3758"/>
      <c r="AC62" s="3758"/>
    </row>
    <row r="63" spans="1:29" s="3665" customFormat="1" ht="13.5" customHeight="1">
      <c r="A63" s="3759"/>
      <c r="B63" s="3745" t="s">
        <v>36</v>
      </c>
      <c r="C63" s="3772" t="s">
        <v>155</v>
      </c>
      <c r="D63" s="3668">
        <f>+D64+D65</f>
        <v>38652000</v>
      </c>
      <c r="E63" s="3668">
        <f t="shared" ref="E63:O63" si="67">+E64+E65</f>
        <v>0</v>
      </c>
      <c r="F63" s="3668">
        <f t="shared" si="67"/>
        <v>0</v>
      </c>
      <c r="G63" s="3668">
        <f t="shared" si="67"/>
        <v>0</v>
      </c>
      <c r="H63" s="3668">
        <f t="shared" si="67"/>
        <v>0</v>
      </c>
      <c r="I63" s="3668">
        <f t="shared" si="67"/>
        <v>0</v>
      </c>
      <c r="J63" s="3668">
        <f t="shared" si="67"/>
        <v>10210000</v>
      </c>
      <c r="K63" s="3668">
        <f t="shared" si="67"/>
        <v>3909955</v>
      </c>
      <c r="L63" s="3668">
        <f t="shared" si="67"/>
        <v>523144</v>
      </c>
      <c r="M63" s="3668">
        <f t="shared" si="67"/>
        <v>21462685</v>
      </c>
      <c r="N63" s="3668">
        <f t="shared" si="67"/>
        <v>6819586</v>
      </c>
      <c r="O63" s="3668">
        <f t="shared" si="67"/>
        <v>11885599</v>
      </c>
      <c r="P63" s="3668">
        <f>+P64+P65</f>
        <v>5303716</v>
      </c>
      <c r="Q63" s="3760">
        <f t="shared" ref="Q63:T63" si="68">+Q64+Q65</f>
        <v>0</v>
      </c>
      <c r="R63" s="3760">
        <f t="shared" si="68"/>
        <v>0</v>
      </c>
      <c r="S63" s="3760">
        <f t="shared" si="68"/>
        <v>0</v>
      </c>
      <c r="T63" s="3760">
        <f t="shared" si="68"/>
        <v>0</v>
      </c>
      <c r="U63" s="3760">
        <f t="shared" ref="U63:W63" si="69">+U64+U65</f>
        <v>0</v>
      </c>
      <c r="V63" s="3760">
        <f t="shared" si="69"/>
        <v>0</v>
      </c>
      <c r="W63" s="3761">
        <f t="shared" si="69"/>
        <v>0</v>
      </c>
      <c r="X63" s="3773"/>
      <c r="Y63" s="3673"/>
      <c r="AA63" s="3758"/>
      <c r="AB63" s="3758"/>
      <c r="AC63" s="3758"/>
    </row>
    <row r="64" spans="1:29" s="3665" customFormat="1" ht="13.5" customHeight="1">
      <c r="A64" s="3759"/>
      <c r="B64" s="3734" t="s">
        <v>25</v>
      </c>
      <c r="C64" s="3774"/>
      <c r="D64" s="3676">
        <f t="shared" ref="D64:D65" si="70">M64+O64+P64+Q64+R64+S64+T64+U64+V64+W64</f>
        <v>32452000</v>
      </c>
      <c r="E64" s="3691">
        <v>0</v>
      </c>
      <c r="F64" s="3691"/>
      <c r="G64" s="3691"/>
      <c r="H64" s="3691"/>
      <c r="I64" s="3691">
        <v>0</v>
      </c>
      <c r="J64" s="3691">
        <f>6920000+1145000</f>
        <v>8065000</v>
      </c>
      <c r="K64" s="3691">
        <v>1854955</v>
      </c>
      <c r="L64" s="3691">
        <v>0</v>
      </c>
      <c r="M64" s="3676">
        <f t="shared" ref="M64:M65" si="71">+L64+K64+J64+I64+E64+N64</f>
        <v>15262685</v>
      </c>
      <c r="N64" s="3691">
        <f>9342730-4000000</f>
        <v>5342730</v>
      </c>
      <c r="O64" s="3691">
        <f>7885599+4000000</f>
        <v>11885599</v>
      </c>
      <c r="P64" s="3691">
        <v>5303716</v>
      </c>
      <c r="Q64" s="3762">
        <v>0</v>
      </c>
      <c r="R64" s="3762">
        <v>0</v>
      </c>
      <c r="S64" s="3762">
        <v>0</v>
      </c>
      <c r="T64" s="3762">
        <v>0</v>
      </c>
      <c r="U64" s="3762">
        <v>0</v>
      </c>
      <c r="V64" s="3762">
        <v>0</v>
      </c>
      <c r="W64" s="3763">
        <v>0</v>
      </c>
      <c r="X64" s="3773"/>
      <c r="Y64" s="3673"/>
    </row>
    <row r="65" spans="1:29" s="3665" customFormat="1" ht="13.5" customHeight="1" thickBot="1">
      <c r="A65" s="3775"/>
      <c r="B65" s="3776" t="s">
        <v>153</v>
      </c>
      <c r="C65" s="3777"/>
      <c r="D65" s="3752">
        <f t="shared" si="70"/>
        <v>6200000</v>
      </c>
      <c r="E65" s="3752">
        <v>0</v>
      </c>
      <c r="F65" s="3752"/>
      <c r="G65" s="3752"/>
      <c r="H65" s="3752"/>
      <c r="I65" s="3752">
        <v>0</v>
      </c>
      <c r="J65" s="3752">
        <v>2145000</v>
      </c>
      <c r="K65" s="3752">
        <v>2055000</v>
      </c>
      <c r="L65" s="3752">
        <v>523144</v>
      </c>
      <c r="M65" s="3752">
        <f t="shared" si="71"/>
        <v>6200000</v>
      </c>
      <c r="N65" s="3752">
        <f>3476856-2000000</f>
        <v>1476856</v>
      </c>
      <c r="O65" s="3752">
        <v>0</v>
      </c>
      <c r="P65" s="3752">
        <v>0</v>
      </c>
      <c r="Q65" s="3778">
        <v>0</v>
      </c>
      <c r="R65" s="3778">
        <v>0</v>
      </c>
      <c r="S65" s="3778">
        <v>0</v>
      </c>
      <c r="T65" s="3778">
        <v>0</v>
      </c>
      <c r="U65" s="3778">
        <v>0</v>
      </c>
      <c r="V65" s="3778">
        <v>0</v>
      </c>
      <c r="W65" s="3779">
        <v>0</v>
      </c>
      <c r="X65" s="3780"/>
      <c r="Y65" s="3705"/>
    </row>
    <row r="66" spans="1:29" s="3665" customFormat="1" ht="42" customHeight="1">
      <c r="A66" s="3781" t="s">
        <v>81</v>
      </c>
      <c r="B66" s="3782" t="s">
        <v>398</v>
      </c>
      <c r="C66" s="3783" t="s">
        <v>98</v>
      </c>
      <c r="D66" s="3784"/>
      <c r="E66" s="3785"/>
      <c r="F66" s="3785"/>
      <c r="G66" s="3785"/>
      <c r="H66" s="3785"/>
      <c r="I66" s="3785"/>
      <c r="J66" s="3786"/>
      <c r="K66" s="3786"/>
      <c r="L66" s="3786"/>
      <c r="M66" s="3786"/>
      <c r="N66" s="3786"/>
      <c r="O66" s="3786"/>
      <c r="P66" s="3786"/>
      <c r="Q66" s="3786"/>
      <c r="R66" s="3786"/>
      <c r="S66" s="3786"/>
      <c r="T66" s="3786"/>
      <c r="U66" s="3787"/>
      <c r="V66" s="3786"/>
      <c r="W66" s="3784"/>
      <c r="X66" s="3719"/>
      <c r="Y66" s="3788" t="s">
        <v>546</v>
      </c>
      <c r="AA66" s="3758"/>
      <c r="AB66" s="3758"/>
      <c r="AC66" s="3758"/>
    </row>
    <row r="67" spans="1:29" s="3665" customFormat="1" ht="13.5" customHeight="1">
      <c r="A67" s="3789"/>
      <c r="B67" s="3657" t="s">
        <v>22</v>
      </c>
      <c r="C67" s="3693"/>
      <c r="D67" s="3659">
        <f>+D68+D71</f>
        <v>13855837</v>
      </c>
      <c r="E67" s="3659">
        <f t="shared" ref="E67:M67" si="72">+E68+E71</f>
        <v>0</v>
      </c>
      <c r="F67" s="3659">
        <f t="shared" si="72"/>
        <v>0</v>
      </c>
      <c r="G67" s="3659">
        <f t="shared" si="72"/>
        <v>0</v>
      </c>
      <c r="H67" s="3659">
        <f t="shared" si="72"/>
        <v>0</v>
      </c>
      <c r="I67" s="3659">
        <f t="shared" si="72"/>
        <v>0</v>
      </c>
      <c r="J67" s="3659">
        <f t="shared" si="72"/>
        <v>0</v>
      </c>
      <c r="K67" s="3659">
        <f t="shared" si="72"/>
        <v>0</v>
      </c>
      <c r="L67" s="3659">
        <f t="shared" si="72"/>
        <v>0</v>
      </c>
      <c r="M67" s="3659">
        <f t="shared" si="72"/>
        <v>9328248</v>
      </c>
      <c r="N67" s="3659">
        <f>+N68+N71</f>
        <v>9328248</v>
      </c>
      <c r="O67" s="3659">
        <f>+O68+O71</f>
        <v>4007995</v>
      </c>
      <c r="P67" s="3659">
        <f t="shared" ref="P67:T67" si="73">+P68+P71</f>
        <v>519594</v>
      </c>
      <c r="Q67" s="3721">
        <f t="shared" si="73"/>
        <v>0</v>
      </c>
      <c r="R67" s="3721">
        <f t="shared" si="73"/>
        <v>0</v>
      </c>
      <c r="S67" s="3721">
        <f t="shared" si="73"/>
        <v>0</v>
      </c>
      <c r="T67" s="3721">
        <f t="shared" si="73"/>
        <v>0</v>
      </c>
      <c r="U67" s="3721">
        <f t="shared" ref="U67:W67" si="74">+U68+U71</f>
        <v>0</v>
      </c>
      <c r="V67" s="3721">
        <f t="shared" si="74"/>
        <v>0</v>
      </c>
      <c r="W67" s="3722">
        <f t="shared" si="74"/>
        <v>0</v>
      </c>
      <c r="X67" s="3723">
        <f>+X68</f>
        <v>259796</v>
      </c>
      <c r="Y67" s="3788"/>
      <c r="AA67" s="3758"/>
      <c r="AB67" s="3758"/>
      <c r="AC67" s="3758"/>
    </row>
    <row r="68" spans="1:29" s="3665" customFormat="1" ht="13.5" customHeight="1">
      <c r="A68" s="3789"/>
      <c r="B68" s="3790" t="s">
        <v>36</v>
      </c>
      <c r="C68" s="3667" t="s">
        <v>155</v>
      </c>
      <c r="D68" s="3668">
        <f>+D69+D70</f>
        <v>8659898</v>
      </c>
      <c r="E68" s="3668">
        <f t="shared" ref="E68:M68" si="75">+E69+E70</f>
        <v>0</v>
      </c>
      <c r="F68" s="3668">
        <f t="shared" si="75"/>
        <v>0</v>
      </c>
      <c r="G68" s="3668">
        <f t="shared" si="75"/>
        <v>0</v>
      </c>
      <c r="H68" s="3668">
        <f t="shared" si="75"/>
        <v>0</v>
      </c>
      <c r="I68" s="3668">
        <f t="shared" si="75"/>
        <v>0</v>
      </c>
      <c r="J68" s="3668">
        <f t="shared" si="75"/>
        <v>0</v>
      </c>
      <c r="K68" s="3668">
        <f t="shared" si="75"/>
        <v>0</v>
      </c>
      <c r="L68" s="3668">
        <f t="shared" si="75"/>
        <v>0</v>
      </c>
      <c r="M68" s="3668">
        <f t="shared" si="75"/>
        <v>5198640</v>
      </c>
      <c r="N68" s="3668">
        <f>+N69+N70</f>
        <v>5198640</v>
      </c>
      <c r="O68" s="3668">
        <f>+O69+O70</f>
        <v>3201462</v>
      </c>
      <c r="P68" s="3668">
        <f t="shared" ref="P68:T68" si="76">+P69+P70</f>
        <v>259796</v>
      </c>
      <c r="Q68" s="3760">
        <f t="shared" si="76"/>
        <v>0</v>
      </c>
      <c r="R68" s="3760">
        <f t="shared" si="76"/>
        <v>0</v>
      </c>
      <c r="S68" s="3760">
        <f t="shared" si="76"/>
        <v>0</v>
      </c>
      <c r="T68" s="3760">
        <f t="shared" si="76"/>
        <v>0</v>
      </c>
      <c r="U68" s="3760">
        <f t="shared" ref="U68:W68" si="77">+U69+U70</f>
        <v>0</v>
      </c>
      <c r="V68" s="3760">
        <f t="shared" si="77"/>
        <v>0</v>
      </c>
      <c r="W68" s="3761">
        <f t="shared" si="77"/>
        <v>0</v>
      </c>
      <c r="X68" s="3728">
        <f>+X69+X70</f>
        <v>259796</v>
      </c>
      <c r="Y68" s="3788"/>
      <c r="AA68" s="3758"/>
      <c r="AB68" s="3758"/>
      <c r="AC68" s="3758"/>
    </row>
    <row r="69" spans="1:29" s="3665" customFormat="1" ht="13.5" customHeight="1">
      <c r="A69" s="3789"/>
      <c r="B69" s="3791" t="s">
        <v>158</v>
      </c>
      <c r="C69" s="3792"/>
      <c r="D69" s="3676">
        <f t="shared" ref="D69:D70" si="78">M69+O69+P69+Q69+R69+S69+T69+U69+V69+W69</f>
        <v>3463959</v>
      </c>
      <c r="E69" s="3793"/>
      <c r="F69" s="3793"/>
      <c r="G69" s="3793"/>
      <c r="H69" s="3793"/>
      <c r="I69" s="3793"/>
      <c r="J69" s="3793"/>
      <c r="K69" s="3793"/>
      <c r="L69" s="3793"/>
      <c r="M69" s="3676">
        <f t="shared" ref="M69:M70" si="79">+L69+K69+J69+I69+E69+N69</f>
        <v>2054207</v>
      </c>
      <c r="N69" s="3793">
        <f>2054207</f>
        <v>2054207</v>
      </c>
      <c r="O69" s="3793">
        <v>1409752</v>
      </c>
      <c r="P69" s="3793">
        <v>0</v>
      </c>
      <c r="Q69" s="3794">
        <v>0</v>
      </c>
      <c r="R69" s="3794">
        <v>0</v>
      </c>
      <c r="S69" s="3794">
        <v>0</v>
      </c>
      <c r="T69" s="3794">
        <v>0</v>
      </c>
      <c r="U69" s="3794">
        <v>0</v>
      </c>
      <c r="V69" s="3794">
        <v>0</v>
      </c>
      <c r="W69" s="3795">
        <v>0</v>
      </c>
      <c r="X69" s="3733">
        <f>SUM(P69:T69)</f>
        <v>0</v>
      </c>
      <c r="Y69" s="3788"/>
      <c r="AA69" s="3758"/>
      <c r="AB69" s="3758"/>
      <c r="AC69" s="3758"/>
    </row>
    <row r="70" spans="1:29" s="3665" customFormat="1" ht="13.5" customHeight="1">
      <c r="A70" s="3789"/>
      <c r="B70" s="3796" t="s">
        <v>25</v>
      </c>
      <c r="C70" s="3797"/>
      <c r="D70" s="3676">
        <f t="shared" si="78"/>
        <v>5195939</v>
      </c>
      <c r="E70" s="3735"/>
      <c r="F70" s="3735"/>
      <c r="G70" s="3735"/>
      <c r="H70" s="3735"/>
      <c r="I70" s="3735"/>
      <c r="J70" s="3735"/>
      <c r="K70" s="3735"/>
      <c r="L70" s="3735"/>
      <c r="M70" s="3676">
        <f t="shared" si="79"/>
        <v>3144433</v>
      </c>
      <c r="N70" s="3735">
        <f>4717663-1573230</f>
        <v>3144433</v>
      </c>
      <c r="O70" s="3735">
        <f>478276+1573230-259796</f>
        <v>1791710</v>
      </c>
      <c r="P70" s="3735">
        <v>259796</v>
      </c>
      <c r="Q70" s="3736">
        <v>0</v>
      </c>
      <c r="R70" s="3736">
        <v>0</v>
      </c>
      <c r="S70" s="3736">
        <v>0</v>
      </c>
      <c r="T70" s="3736">
        <v>0</v>
      </c>
      <c r="U70" s="3736">
        <v>0</v>
      </c>
      <c r="V70" s="3736">
        <v>0</v>
      </c>
      <c r="W70" s="3737">
        <v>0</v>
      </c>
      <c r="X70" s="3733">
        <f>SUM(P70:T70)</f>
        <v>259796</v>
      </c>
      <c r="Y70" s="3788"/>
      <c r="AA70" s="3758"/>
      <c r="AB70" s="3758"/>
      <c r="AC70" s="3758"/>
    </row>
    <row r="71" spans="1:29" s="3665" customFormat="1" ht="13.5" customHeight="1">
      <c r="A71" s="3789"/>
      <c r="B71" s="3798" t="s">
        <v>30</v>
      </c>
      <c r="C71" s="3799" t="s">
        <v>35</v>
      </c>
      <c r="D71" s="3800">
        <f>+D72</f>
        <v>5195939</v>
      </c>
      <c r="E71" s="3800">
        <f t="shared" ref="E71:M71" si="80">+E72</f>
        <v>0</v>
      </c>
      <c r="F71" s="3800">
        <f t="shared" si="80"/>
        <v>0</v>
      </c>
      <c r="G71" s="3800">
        <f t="shared" si="80"/>
        <v>0</v>
      </c>
      <c r="H71" s="3800">
        <f t="shared" si="80"/>
        <v>0</v>
      </c>
      <c r="I71" s="3800">
        <f t="shared" si="80"/>
        <v>0</v>
      </c>
      <c r="J71" s="3800">
        <f t="shared" si="80"/>
        <v>0</v>
      </c>
      <c r="K71" s="3800">
        <f t="shared" si="80"/>
        <v>0</v>
      </c>
      <c r="L71" s="3800">
        <f t="shared" si="80"/>
        <v>0</v>
      </c>
      <c r="M71" s="3800">
        <f t="shared" si="80"/>
        <v>4129608</v>
      </c>
      <c r="N71" s="3800">
        <f>+N72</f>
        <v>4129608</v>
      </c>
      <c r="O71" s="3800">
        <f>+O72</f>
        <v>806533</v>
      </c>
      <c r="P71" s="3800">
        <f t="shared" ref="P71:W71" si="81">+P72</f>
        <v>259798</v>
      </c>
      <c r="Q71" s="3801">
        <f t="shared" si="81"/>
        <v>0</v>
      </c>
      <c r="R71" s="3801">
        <f t="shared" si="81"/>
        <v>0</v>
      </c>
      <c r="S71" s="3801">
        <f t="shared" si="81"/>
        <v>0</v>
      </c>
      <c r="T71" s="3801">
        <f t="shared" si="81"/>
        <v>0</v>
      </c>
      <c r="U71" s="3801">
        <f t="shared" si="81"/>
        <v>0</v>
      </c>
      <c r="V71" s="3802">
        <f t="shared" si="81"/>
        <v>0</v>
      </c>
      <c r="W71" s="3801">
        <f t="shared" si="81"/>
        <v>0</v>
      </c>
      <c r="X71" s="3598" t="s">
        <v>77</v>
      </c>
      <c r="Y71" s="3788"/>
      <c r="AA71" s="3758"/>
      <c r="AB71" s="3758"/>
      <c r="AC71" s="3758"/>
    </row>
    <row r="72" spans="1:29" s="3665" customFormat="1" ht="13.5" customHeight="1">
      <c r="A72" s="3789"/>
      <c r="B72" s="3803" t="s">
        <v>48</v>
      </c>
      <c r="C72" s="3764"/>
      <c r="D72" s="3676">
        <f>M72+O72+P72+Q72+R72+S72+T72+U72+V72+W72</f>
        <v>5195939</v>
      </c>
      <c r="E72" s="3804"/>
      <c r="F72" s="3805"/>
      <c r="G72" s="3805"/>
      <c r="H72" s="3805"/>
      <c r="I72" s="3805"/>
      <c r="J72" s="3805"/>
      <c r="K72" s="3805"/>
      <c r="L72" s="3805"/>
      <c r="M72" s="3676">
        <f>+L72+K72+J72+I72+E72+N72</f>
        <v>4129608</v>
      </c>
      <c r="N72" s="3735">
        <f>4717663-588055</f>
        <v>4129608</v>
      </c>
      <c r="O72" s="3735">
        <f>478276+588055-259798</f>
        <v>806533</v>
      </c>
      <c r="P72" s="3735">
        <v>259798</v>
      </c>
      <c r="Q72" s="3806">
        <v>0</v>
      </c>
      <c r="R72" s="3806">
        <v>0</v>
      </c>
      <c r="S72" s="3806">
        <v>0</v>
      </c>
      <c r="T72" s="3806">
        <v>0</v>
      </c>
      <c r="U72" s="3806">
        <v>0</v>
      </c>
      <c r="V72" s="3806">
        <v>0</v>
      </c>
      <c r="W72" s="3807">
        <v>0</v>
      </c>
      <c r="X72" s="3743" t="s">
        <v>77</v>
      </c>
      <c r="Y72" s="3788"/>
      <c r="AA72" s="3758"/>
      <c r="AB72" s="3758"/>
      <c r="AC72" s="3758"/>
    </row>
    <row r="73" spans="1:29" s="3665" customFormat="1" ht="13.5" customHeight="1">
      <c r="A73" s="3789"/>
      <c r="B73" s="3657" t="s">
        <v>34</v>
      </c>
      <c r="C73" s="3808"/>
      <c r="D73" s="3659">
        <f>+D74+D76</f>
        <v>10391878</v>
      </c>
      <c r="E73" s="3659">
        <f t="shared" ref="E73:L73" si="82">E75+E77</f>
        <v>0</v>
      </c>
      <c r="F73" s="3659">
        <f t="shared" si="82"/>
        <v>0</v>
      </c>
      <c r="G73" s="3659">
        <f t="shared" si="82"/>
        <v>0</v>
      </c>
      <c r="H73" s="3659">
        <f t="shared" si="82"/>
        <v>0</v>
      </c>
      <c r="I73" s="3659">
        <f t="shared" si="82"/>
        <v>0</v>
      </c>
      <c r="J73" s="3659">
        <f t="shared" si="82"/>
        <v>0</v>
      </c>
      <c r="K73" s="3659">
        <f t="shared" si="82"/>
        <v>0</v>
      </c>
      <c r="L73" s="3659">
        <f t="shared" si="82"/>
        <v>0</v>
      </c>
      <c r="M73" s="3659">
        <f>+M74+M76</f>
        <v>7274041</v>
      </c>
      <c r="N73" s="3659">
        <f>N75+N77</f>
        <v>7274041</v>
      </c>
      <c r="O73" s="3659">
        <f>+O74+O76</f>
        <v>2598243</v>
      </c>
      <c r="P73" s="3659">
        <f>+P74+P76</f>
        <v>519594</v>
      </c>
      <c r="Q73" s="3721">
        <f t="shared" ref="Q73:T73" si="83">Q75+Q77</f>
        <v>0</v>
      </c>
      <c r="R73" s="3721">
        <f t="shared" si="83"/>
        <v>0</v>
      </c>
      <c r="S73" s="3721">
        <f t="shared" si="83"/>
        <v>0</v>
      </c>
      <c r="T73" s="3721">
        <f t="shared" si="83"/>
        <v>0</v>
      </c>
      <c r="U73" s="3721">
        <f t="shared" ref="U73:W73" si="84">U75+U77</f>
        <v>0</v>
      </c>
      <c r="V73" s="3721">
        <f t="shared" si="84"/>
        <v>0</v>
      </c>
      <c r="W73" s="3722">
        <f t="shared" si="84"/>
        <v>0</v>
      </c>
      <c r="X73" s="3639" t="s">
        <v>77</v>
      </c>
      <c r="Y73" s="3788"/>
      <c r="AA73" s="3758"/>
      <c r="AB73" s="3758"/>
      <c r="AC73" s="3758"/>
    </row>
    <row r="74" spans="1:29" s="3665" customFormat="1" ht="13.5" customHeight="1">
      <c r="A74" s="3789"/>
      <c r="B74" s="3790" t="s">
        <v>36</v>
      </c>
      <c r="C74" s="3772" t="s">
        <v>102</v>
      </c>
      <c r="D74" s="3668">
        <f>+D75</f>
        <v>5195939</v>
      </c>
      <c r="E74" s="3668">
        <f t="shared" ref="E74:L74" si="85">+E75+E77</f>
        <v>0</v>
      </c>
      <c r="F74" s="3668">
        <f t="shared" si="85"/>
        <v>0</v>
      </c>
      <c r="G74" s="3668">
        <f t="shared" si="85"/>
        <v>0</v>
      </c>
      <c r="H74" s="3668">
        <f t="shared" si="85"/>
        <v>0</v>
      </c>
      <c r="I74" s="3668">
        <f t="shared" si="85"/>
        <v>0</v>
      </c>
      <c r="J74" s="3668">
        <f t="shared" si="85"/>
        <v>0</v>
      </c>
      <c r="K74" s="3668">
        <f t="shared" si="85"/>
        <v>0</v>
      </c>
      <c r="L74" s="3668">
        <f t="shared" si="85"/>
        <v>0</v>
      </c>
      <c r="M74" s="3668">
        <f>+M75</f>
        <v>3144433</v>
      </c>
      <c r="N74" s="3668">
        <f>+N75</f>
        <v>3144433</v>
      </c>
      <c r="O74" s="3668">
        <f>+O75</f>
        <v>1791710</v>
      </c>
      <c r="P74" s="3668">
        <f>+P75</f>
        <v>259796</v>
      </c>
      <c r="Q74" s="3760">
        <f t="shared" ref="Q74:T74" si="86">+Q75+Q77</f>
        <v>0</v>
      </c>
      <c r="R74" s="3760">
        <f t="shared" si="86"/>
        <v>0</v>
      </c>
      <c r="S74" s="3760">
        <f t="shared" si="86"/>
        <v>0</v>
      </c>
      <c r="T74" s="3760">
        <f t="shared" si="86"/>
        <v>0</v>
      </c>
      <c r="U74" s="3760">
        <f t="shared" ref="U74:W74" si="87">+U75+U77</f>
        <v>0</v>
      </c>
      <c r="V74" s="3760">
        <f t="shared" si="87"/>
        <v>0</v>
      </c>
      <c r="W74" s="3761">
        <f t="shared" si="87"/>
        <v>0</v>
      </c>
      <c r="X74" s="3639"/>
      <c r="Y74" s="3788"/>
      <c r="AA74" s="3758"/>
      <c r="AB74" s="3758"/>
      <c r="AC74" s="3758"/>
    </row>
    <row r="75" spans="1:29" s="3665" customFormat="1" ht="13.5" customHeight="1">
      <c r="A75" s="3789"/>
      <c r="B75" s="3791" t="s">
        <v>25</v>
      </c>
      <c r="C75" s="3809"/>
      <c r="D75" s="3676">
        <f>M75+O75+P75+Q75+R75+S75+T75+U75+V75+W75</f>
        <v>5195939</v>
      </c>
      <c r="E75" s="3793"/>
      <c r="F75" s="3793"/>
      <c r="G75" s="3793"/>
      <c r="H75" s="3793"/>
      <c r="I75" s="3793"/>
      <c r="J75" s="3793"/>
      <c r="K75" s="3793"/>
      <c r="L75" s="3793"/>
      <c r="M75" s="3676">
        <f>+L75+K75+J75+I75+E75+N75</f>
        <v>3144433</v>
      </c>
      <c r="N75" s="3793">
        <f>4717663-1573230</f>
        <v>3144433</v>
      </c>
      <c r="O75" s="3793">
        <f>478276+1573230-259796</f>
        <v>1791710</v>
      </c>
      <c r="P75" s="3793">
        <v>259796</v>
      </c>
      <c r="Q75" s="3794">
        <v>0</v>
      </c>
      <c r="R75" s="3794">
        <v>0</v>
      </c>
      <c r="S75" s="3794">
        <v>0</v>
      </c>
      <c r="T75" s="3794">
        <v>0</v>
      </c>
      <c r="U75" s="3810">
        <v>0</v>
      </c>
      <c r="V75" s="3794">
        <v>0</v>
      </c>
      <c r="W75" s="3795">
        <v>0</v>
      </c>
      <c r="X75" s="3639"/>
      <c r="Y75" s="3788"/>
    </row>
    <row r="76" spans="1:29" s="3665" customFormat="1" ht="13.5" customHeight="1">
      <c r="A76" s="3811"/>
      <c r="B76" s="3798" t="s">
        <v>30</v>
      </c>
      <c r="C76" s="3812"/>
      <c r="D76" s="3813">
        <f>+D77</f>
        <v>5195939</v>
      </c>
      <c r="E76" s="3813">
        <f t="shared" ref="E76:M76" si="88">+E77</f>
        <v>0</v>
      </c>
      <c r="F76" s="3813">
        <f t="shared" si="88"/>
        <v>0</v>
      </c>
      <c r="G76" s="3813">
        <f t="shared" si="88"/>
        <v>0</v>
      </c>
      <c r="H76" s="3813">
        <f t="shared" si="88"/>
        <v>0</v>
      </c>
      <c r="I76" s="3813">
        <f t="shared" si="88"/>
        <v>0</v>
      </c>
      <c r="J76" s="3813">
        <f t="shared" si="88"/>
        <v>0</v>
      </c>
      <c r="K76" s="3813">
        <f t="shared" si="88"/>
        <v>0</v>
      </c>
      <c r="L76" s="3813">
        <f t="shared" si="88"/>
        <v>0</v>
      </c>
      <c r="M76" s="3813">
        <f t="shared" si="88"/>
        <v>4129608</v>
      </c>
      <c r="N76" s="3813">
        <f>+N77</f>
        <v>4129608</v>
      </c>
      <c r="O76" s="3813">
        <f>+O77</f>
        <v>806533</v>
      </c>
      <c r="P76" s="3813">
        <f t="shared" ref="P76:W76" si="89">+P77</f>
        <v>259798</v>
      </c>
      <c r="Q76" s="3814">
        <f t="shared" si="89"/>
        <v>0</v>
      </c>
      <c r="R76" s="3814">
        <f t="shared" si="89"/>
        <v>0</v>
      </c>
      <c r="S76" s="3814">
        <f t="shared" si="89"/>
        <v>0</v>
      </c>
      <c r="T76" s="3814">
        <f t="shared" si="89"/>
        <v>0</v>
      </c>
      <c r="U76" s="3814">
        <f t="shared" si="89"/>
        <v>0</v>
      </c>
      <c r="V76" s="3814">
        <f t="shared" si="89"/>
        <v>0</v>
      </c>
      <c r="W76" s="3815">
        <f t="shared" si="89"/>
        <v>0</v>
      </c>
      <c r="X76" s="3639"/>
      <c r="Y76" s="3788"/>
    </row>
    <row r="77" spans="1:29" s="3665" customFormat="1" ht="13.5" customHeight="1" thickBot="1">
      <c r="A77" s="3816"/>
      <c r="B77" s="3791" t="s">
        <v>48</v>
      </c>
      <c r="C77" s="3817" t="s">
        <v>35</v>
      </c>
      <c r="D77" s="3676">
        <f>M77+O77+P77+Q77+R77+S77+T77+U77+V77+W77</f>
        <v>5195939</v>
      </c>
      <c r="E77" s="3818"/>
      <c r="F77" s="3818"/>
      <c r="G77" s="3818"/>
      <c r="H77" s="3818"/>
      <c r="I77" s="3818"/>
      <c r="J77" s="3818"/>
      <c r="K77" s="3818"/>
      <c r="L77" s="3818"/>
      <c r="M77" s="3676">
        <f>+L77+K77+J77+I77+E77+N77</f>
        <v>4129608</v>
      </c>
      <c r="N77" s="3818">
        <f>4717663-588055</f>
        <v>4129608</v>
      </c>
      <c r="O77" s="3818">
        <f>478276+588055-259798</f>
        <v>806533</v>
      </c>
      <c r="P77" s="3818">
        <v>259798</v>
      </c>
      <c r="Q77" s="3819">
        <v>0</v>
      </c>
      <c r="R77" s="3819">
        <v>0</v>
      </c>
      <c r="S77" s="3819">
        <v>0</v>
      </c>
      <c r="T77" s="3819">
        <v>0</v>
      </c>
      <c r="U77" s="3819">
        <v>0</v>
      </c>
      <c r="V77" s="3819">
        <v>0</v>
      </c>
      <c r="W77" s="3820">
        <v>0</v>
      </c>
      <c r="X77" s="3646"/>
      <c r="Y77" s="3821"/>
    </row>
    <row r="78" spans="1:29" s="3665" customFormat="1" ht="30" customHeight="1">
      <c r="A78" s="3755" t="s">
        <v>82</v>
      </c>
      <c r="B78" s="3756" t="s">
        <v>467</v>
      </c>
      <c r="C78" s="3649" t="s">
        <v>130</v>
      </c>
      <c r="D78" s="3708"/>
      <c r="E78" s="3757"/>
      <c r="F78" s="3757"/>
      <c r="G78" s="3757"/>
      <c r="H78" s="3757"/>
      <c r="I78" s="3757"/>
      <c r="J78" s="3710"/>
      <c r="K78" s="3710"/>
      <c r="L78" s="3710"/>
      <c r="M78" s="3710"/>
      <c r="N78" s="3710"/>
      <c r="O78" s="3710"/>
      <c r="P78" s="3710"/>
      <c r="Q78" s="3710"/>
      <c r="R78" s="3710"/>
      <c r="S78" s="3710"/>
      <c r="T78" s="3710"/>
      <c r="U78" s="3710"/>
      <c r="V78" s="3710"/>
      <c r="W78" s="3708"/>
      <c r="X78" s="3712"/>
      <c r="Y78" s="3822" t="s">
        <v>547</v>
      </c>
    </row>
    <row r="79" spans="1:29" s="3665" customFormat="1" ht="13.5" customHeight="1">
      <c r="A79" s="3781"/>
      <c r="B79" s="3692" t="s">
        <v>22</v>
      </c>
      <c r="C79" s="3693"/>
      <c r="D79" s="3659">
        <f>+D80</f>
        <v>5000000</v>
      </c>
      <c r="E79" s="3659">
        <f>+E80</f>
        <v>0</v>
      </c>
      <c r="F79" s="3659">
        <f t="shared" ref="F79:W79" si="90">+F80</f>
        <v>0</v>
      </c>
      <c r="G79" s="3659">
        <f t="shared" si="90"/>
        <v>0</v>
      </c>
      <c r="H79" s="3659">
        <f t="shared" si="90"/>
        <v>0</v>
      </c>
      <c r="I79" s="3659">
        <f t="shared" si="90"/>
        <v>0</v>
      </c>
      <c r="J79" s="3659">
        <f t="shared" si="90"/>
        <v>0</v>
      </c>
      <c r="K79" s="3659">
        <f t="shared" si="90"/>
        <v>0</v>
      </c>
      <c r="L79" s="3659">
        <f t="shared" si="90"/>
        <v>0</v>
      </c>
      <c r="M79" s="3659">
        <f t="shared" si="90"/>
        <v>0</v>
      </c>
      <c r="N79" s="3659">
        <f t="shared" si="90"/>
        <v>0</v>
      </c>
      <c r="O79" s="3659">
        <f t="shared" si="90"/>
        <v>0</v>
      </c>
      <c r="P79" s="3659">
        <f t="shared" si="90"/>
        <v>1819380</v>
      </c>
      <c r="Q79" s="3659">
        <f t="shared" si="90"/>
        <v>1361176</v>
      </c>
      <c r="R79" s="3659">
        <f t="shared" si="90"/>
        <v>1819444</v>
      </c>
      <c r="S79" s="3721">
        <f t="shared" si="90"/>
        <v>0</v>
      </c>
      <c r="T79" s="3721">
        <f t="shared" si="90"/>
        <v>0</v>
      </c>
      <c r="U79" s="3721">
        <f t="shared" si="90"/>
        <v>0</v>
      </c>
      <c r="V79" s="3721">
        <f t="shared" si="90"/>
        <v>0</v>
      </c>
      <c r="W79" s="3722">
        <f t="shared" si="90"/>
        <v>0</v>
      </c>
      <c r="X79" s="3723">
        <f>+X80</f>
        <v>5000000</v>
      </c>
      <c r="Y79" s="3823"/>
    </row>
    <row r="80" spans="1:29" s="3665" customFormat="1" ht="13.5" customHeight="1">
      <c r="A80" s="3781"/>
      <c r="B80" s="3724" t="s">
        <v>36</v>
      </c>
      <c r="C80" s="3824" t="s">
        <v>159</v>
      </c>
      <c r="D80" s="3668">
        <f>+D81+D82</f>
        <v>5000000</v>
      </c>
      <c r="E80" s="3668">
        <f>+E81+E82</f>
        <v>0</v>
      </c>
      <c r="F80" s="3668"/>
      <c r="G80" s="3668"/>
      <c r="H80" s="3668"/>
      <c r="I80" s="3668">
        <f>+I81+I82</f>
        <v>0</v>
      </c>
      <c r="J80" s="3668">
        <f t="shared" ref="J80:T80" si="91">+J81+J82</f>
        <v>0</v>
      </c>
      <c r="K80" s="3668">
        <f t="shared" si="91"/>
        <v>0</v>
      </c>
      <c r="L80" s="3668">
        <f t="shared" si="91"/>
        <v>0</v>
      </c>
      <c r="M80" s="3668">
        <f t="shared" ref="M80" si="92">+M81+M82</f>
        <v>0</v>
      </c>
      <c r="N80" s="3668">
        <f t="shared" si="91"/>
        <v>0</v>
      </c>
      <c r="O80" s="3668">
        <f t="shared" si="91"/>
        <v>0</v>
      </c>
      <c r="P80" s="3668">
        <f t="shared" si="91"/>
        <v>1819380</v>
      </c>
      <c r="Q80" s="3668">
        <f t="shared" si="91"/>
        <v>1361176</v>
      </c>
      <c r="R80" s="3668">
        <f t="shared" si="91"/>
        <v>1819444</v>
      </c>
      <c r="S80" s="3760">
        <f t="shared" si="91"/>
        <v>0</v>
      </c>
      <c r="T80" s="3760">
        <f t="shared" si="91"/>
        <v>0</v>
      </c>
      <c r="U80" s="3760">
        <f t="shared" ref="U80:V80" si="93">+U81+U82</f>
        <v>0</v>
      </c>
      <c r="V80" s="3760">
        <f t="shared" si="93"/>
        <v>0</v>
      </c>
      <c r="W80" s="3761">
        <f t="shared" ref="W80" si="94">+W81+W82</f>
        <v>0</v>
      </c>
      <c r="X80" s="3825">
        <f>+X81+X82</f>
        <v>5000000</v>
      </c>
      <c r="Y80" s="3823"/>
    </row>
    <row r="81" spans="1:28" s="3665" customFormat="1" ht="13.5" hidden="1" customHeight="1">
      <c r="A81" s="3781"/>
      <c r="B81" s="3729" t="s">
        <v>156</v>
      </c>
      <c r="C81" s="3826"/>
      <c r="D81" s="3676">
        <f>M81+O81+P81+Q81+R81+S81+T81+U81+V81+W81</f>
        <v>0</v>
      </c>
      <c r="E81" s="3793">
        <v>0</v>
      </c>
      <c r="F81" s="3793">
        <v>0</v>
      </c>
      <c r="G81" s="3793">
        <v>0</v>
      </c>
      <c r="H81" s="3676">
        <v>0</v>
      </c>
      <c r="I81" s="3793">
        <v>0</v>
      </c>
      <c r="J81" s="3793">
        <v>0</v>
      </c>
      <c r="K81" s="3793">
        <v>0</v>
      </c>
      <c r="L81" s="3793">
        <v>0</v>
      </c>
      <c r="M81" s="3676">
        <f>+L81+K81+J81+I81+E81+N81</f>
        <v>0</v>
      </c>
      <c r="N81" s="3793">
        <v>0</v>
      </c>
      <c r="O81" s="3793">
        <v>0</v>
      </c>
      <c r="P81" s="3793">
        <v>0</v>
      </c>
      <c r="Q81" s="3793">
        <v>0</v>
      </c>
      <c r="R81" s="3793">
        <v>0</v>
      </c>
      <c r="S81" s="3794">
        <v>0</v>
      </c>
      <c r="T81" s="3794">
        <v>0</v>
      </c>
      <c r="U81" s="3794">
        <v>0</v>
      </c>
      <c r="V81" s="3794">
        <v>0</v>
      </c>
      <c r="W81" s="3795">
        <v>0</v>
      </c>
      <c r="X81" s="3827">
        <v>0</v>
      </c>
      <c r="Y81" s="3823"/>
    </row>
    <row r="82" spans="1:28" s="3665" customFormat="1" ht="13.5" customHeight="1" thickBot="1">
      <c r="A82" s="3828"/>
      <c r="B82" s="3829" t="s">
        <v>160</v>
      </c>
      <c r="C82" s="3826"/>
      <c r="D82" s="3676">
        <f>M82+O82+P82+Q82+R82+S82+T82+U82+V82+W82</f>
        <v>5000000</v>
      </c>
      <c r="E82" s="3752">
        <v>0</v>
      </c>
      <c r="F82" s="3752">
        <v>0</v>
      </c>
      <c r="G82" s="3752"/>
      <c r="H82" s="3753"/>
      <c r="I82" s="3752">
        <v>0</v>
      </c>
      <c r="J82" s="3752">
        <v>0</v>
      </c>
      <c r="K82" s="3752">
        <v>0</v>
      </c>
      <c r="L82" s="3752">
        <v>0</v>
      </c>
      <c r="M82" s="3676">
        <f>+L82+K82+J82+I82+E82+N82</f>
        <v>0</v>
      </c>
      <c r="N82" s="3752">
        <v>0</v>
      </c>
      <c r="O82" s="3752">
        <v>0</v>
      </c>
      <c r="P82" s="3752">
        <v>1819380</v>
      </c>
      <c r="Q82" s="3752">
        <v>1361176</v>
      </c>
      <c r="R82" s="3752">
        <v>1819444</v>
      </c>
      <c r="S82" s="3778">
        <v>0</v>
      </c>
      <c r="T82" s="3778">
        <v>0</v>
      </c>
      <c r="U82" s="3778">
        <v>0</v>
      </c>
      <c r="V82" s="3778">
        <v>0</v>
      </c>
      <c r="W82" s="3779">
        <v>0</v>
      </c>
      <c r="X82" s="3683">
        <f>SUM(P82:W82)</f>
        <v>5000000</v>
      </c>
      <c r="Y82" s="3830"/>
    </row>
    <row r="83" spans="1:28" s="3665" customFormat="1" ht="27" customHeight="1">
      <c r="A83" s="3755" t="s">
        <v>83</v>
      </c>
      <c r="B83" s="3831" t="s">
        <v>161</v>
      </c>
      <c r="C83" s="3649" t="s">
        <v>130</v>
      </c>
      <c r="D83" s="3708"/>
      <c r="E83" s="3757"/>
      <c r="F83" s="3757">
        <v>0</v>
      </c>
      <c r="G83" s="3757"/>
      <c r="H83" s="3757"/>
      <c r="I83" s="3757"/>
      <c r="J83" s="3710"/>
      <c r="K83" s="3710"/>
      <c r="L83" s="3710"/>
      <c r="M83" s="3710"/>
      <c r="N83" s="3710"/>
      <c r="O83" s="3710"/>
      <c r="P83" s="3710"/>
      <c r="Q83" s="3710"/>
      <c r="R83" s="3710"/>
      <c r="S83" s="3710"/>
      <c r="T83" s="3710"/>
      <c r="U83" s="3710"/>
      <c r="V83" s="3711"/>
      <c r="W83" s="3708"/>
      <c r="X83" s="3712"/>
      <c r="Y83" s="3822" t="s">
        <v>548</v>
      </c>
    </row>
    <row r="84" spans="1:28" s="3665" customFormat="1" ht="13.5" customHeight="1">
      <c r="A84" s="3781"/>
      <c r="B84" s="3692" t="s">
        <v>22</v>
      </c>
      <c r="C84" s="3693"/>
      <c r="D84" s="3659">
        <f>+D85</f>
        <v>2900000</v>
      </c>
      <c r="E84" s="3659">
        <f>+E85</f>
        <v>637500</v>
      </c>
      <c r="F84" s="3659">
        <f t="shared" ref="F84:X84" si="95">+F85</f>
        <v>0</v>
      </c>
      <c r="G84" s="3659">
        <f t="shared" si="95"/>
        <v>0</v>
      </c>
      <c r="H84" s="3659">
        <f t="shared" si="95"/>
        <v>0</v>
      </c>
      <c r="I84" s="3659">
        <f t="shared" si="95"/>
        <v>306000</v>
      </c>
      <c r="J84" s="3659">
        <f t="shared" si="95"/>
        <v>306000</v>
      </c>
      <c r="K84" s="3659">
        <f t="shared" si="95"/>
        <v>306000</v>
      </c>
      <c r="L84" s="3659">
        <f t="shared" si="95"/>
        <v>306000</v>
      </c>
      <c r="M84" s="3659">
        <f t="shared" si="95"/>
        <v>2167500</v>
      </c>
      <c r="N84" s="3659">
        <f t="shared" si="95"/>
        <v>306000</v>
      </c>
      <c r="O84" s="3659">
        <f t="shared" si="95"/>
        <v>306000</v>
      </c>
      <c r="P84" s="3659">
        <f t="shared" si="95"/>
        <v>306000</v>
      </c>
      <c r="Q84" s="3659">
        <f t="shared" si="95"/>
        <v>120500</v>
      </c>
      <c r="R84" s="3721">
        <v>0</v>
      </c>
      <c r="S84" s="3721">
        <v>0</v>
      </c>
      <c r="T84" s="3721">
        <v>0</v>
      </c>
      <c r="U84" s="3721">
        <v>0</v>
      </c>
      <c r="V84" s="3722">
        <v>0</v>
      </c>
      <c r="W84" s="3722">
        <v>0</v>
      </c>
      <c r="X84" s="3723">
        <f t="shared" si="95"/>
        <v>426500</v>
      </c>
      <c r="Y84" s="3823"/>
      <c r="AA84" s="3681"/>
    </row>
    <row r="85" spans="1:28" s="3665" customFormat="1" ht="13.5" customHeight="1">
      <c r="A85" s="3781"/>
      <c r="B85" s="3724" t="s">
        <v>36</v>
      </c>
      <c r="C85" s="3824" t="s">
        <v>159</v>
      </c>
      <c r="D85" s="3668">
        <f>+D86+D87</f>
        <v>2900000</v>
      </c>
      <c r="E85" s="3668">
        <f>+E86</f>
        <v>637500</v>
      </c>
      <c r="F85" s="3668">
        <f>+F87</f>
        <v>0</v>
      </c>
      <c r="G85" s="3668">
        <f>+G87</f>
        <v>0</v>
      </c>
      <c r="H85" s="3668">
        <f>+H87</f>
        <v>0</v>
      </c>
      <c r="I85" s="3668">
        <f>+I86+I87</f>
        <v>306000</v>
      </c>
      <c r="J85" s="3668">
        <f>+J86+J87</f>
        <v>306000</v>
      </c>
      <c r="K85" s="3668">
        <f>+K86+K87</f>
        <v>306000</v>
      </c>
      <c r="L85" s="3668">
        <f>+L86</f>
        <v>306000</v>
      </c>
      <c r="M85" s="3668">
        <f>+M86</f>
        <v>2167500</v>
      </c>
      <c r="N85" s="3668">
        <f>+N86+N87</f>
        <v>306000</v>
      </c>
      <c r="O85" s="3668">
        <f>+O86+O87</f>
        <v>306000</v>
      </c>
      <c r="P85" s="3668">
        <f>+P87</f>
        <v>306000</v>
      </c>
      <c r="Q85" s="3668">
        <f>+Q87</f>
        <v>120500</v>
      </c>
      <c r="R85" s="3760">
        <v>0</v>
      </c>
      <c r="S85" s="3760">
        <v>0</v>
      </c>
      <c r="T85" s="3760">
        <v>0</v>
      </c>
      <c r="U85" s="3760">
        <v>0</v>
      </c>
      <c r="V85" s="3760">
        <v>0</v>
      </c>
      <c r="W85" s="3761">
        <v>0</v>
      </c>
      <c r="X85" s="3825">
        <f>+X87</f>
        <v>426500</v>
      </c>
      <c r="Y85" s="3823"/>
    </row>
    <row r="86" spans="1:28" s="3665" customFormat="1" ht="13.5" customHeight="1">
      <c r="A86" s="3781"/>
      <c r="B86" s="3729" t="s">
        <v>156</v>
      </c>
      <c r="C86" s="3826"/>
      <c r="D86" s="3676">
        <f t="shared" ref="D86:D87" si="96">M86+O86+P86+Q86+R86+S86+T86+U86+V86+W86</f>
        <v>2473500</v>
      </c>
      <c r="E86" s="3793">
        <v>637500</v>
      </c>
      <c r="F86" s="3793"/>
      <c r="G86" s="3793"/>
      <c r="H86" s="3793"/>
      <c r="I86" s="3793">
        <v>306000</v>
      </c>
      <c r="J86" s="3793">
        <v>306000</v>
      </c>
      <c r="K86" s="3793">
        <v>306000</v>
      </c>
      <c r="L86" s="3793">
        <v>306000</v>
      </c>
      <c r="M86" s="3676">
        <f>+L86+K86+J86+I86+E86+N86</f>
        <v>2167500</v>
      </c>
      <c r="N86" s="3793">
        <v>306000</v>
      </c>
      <c r="O86" s="3735">
        <v>306000</v>
      </c>
      <c r="P86" s="3793">
        <v>0</v>
      </c>
      <c r="Q86" s="3793">
        <v>0</v>
      </c>
      <c r="R86" s="3794">
        <v>0</v>
      </c>
      <c r="S86" s="3794">
        <v>0</v>
      </c>
      <c r="T86" s="3794">
        <v>0</v>
      </c>
      <c r="U86" s="3794">
        <v>0</v>
      </c>
      <c r="V86" s="3794">
        <v>0</v>
      </c>
      <c r="W86" s="3795">
        <v>0</v>
      </c>
      <c r="X86" s="3827">
        <v>0</v>
      </c>
      <c r="Y86" s="3823"/>
    </row>
    <row r="87" spans="1:28" s="3665" customFormat="1" ht="13.5" customHeight="1" thickBot="1">
      <c r="A87" s="3828"/>
      <c r="B87" s="3829" t="s">
        <v>160</v>
      </c>
      <c r="C87" s="3826"/>
      <c r="D87" s="3676">
        <f t="shared" si="96"/>
        <v>426500</v>
      </c>
      <c r="E87" s="3818">
        <v>0</v>
      </c>
      <c r="F87" s="3818">
        <v>0</v>
      </c>
      <c r="G87" s="3818">
        <v>0</v>
      </c>
      <c r="H87" s="3818"/>
      <c r="I87" s="3818">
        <v>0</v>
      </c>
      <c r="J87" s="3818">
        <v>0</v>
      </c>
      <c r="K87" s="3818">
        <v>0</v>
      </c>
      <c r="L87" s="3818">
        <v>0</v>
      </c>
      <c r="M87" s="3676">
        <f>+L87+K87+J87+I87+E87+N87</f>
        <v>0</v>
      </c>
      <c r="N87" s="3818">
        <v>0</v>
      </c>
      <c r="O87" s="3832">
        <v>0</v>
      </c>
      <c r="P87" s="3818">
        <v>306000</v>
      </c>
      <c r="Q87" s="3818">
        <v>120500</v>
      </c>
      <c r="R87" s="3819">
        <v>0</v>
      </c>
      <c r="S87" s="3819">
        <v>0</v>
      </c>
      <c r="T87" s="3819">
        <v>0</v>
      </c>
      <c r="U87" s="3819">
        <v>0</v>
      </c>
      <c r="V87" s="3819">
        <v>0</v>
      </c>
      <c r="W87" s="3820">
        <v>0</v>
      </c>
      <c r="X87" s="3683">
        <f>SUM(P87:W87)</f>
        <v>426500</v>
      </c>
      <c r="Y87" s="3830"/>
      <c r="AB87" s="3681"/>
    </row>
    <row r="88" spans="1:28" s="3665" customFormat="1" ht="29.25" customHeight="1">
      <c r="A88" s="3755" t="s">
        <v>138</v>
      </c>
      <c r="B88" s="3756" t="s">
        <v>385</v>
      </c>
      <c r="C88" s="3649" t="s">
        <v>130</v>
      </c>
      <c r="D88" s="3708"/>
      <c r="E88" s="3757"/>
      <c r="F88" s="3757"/>
      <c r="G88" s="3757"/>
      <c r="H88" s="3757"/>
      <c r="I88" s="3757"/>
      <c r="J88" s="3710"/>
      <c r="K88" s="3710"/>
      <c r="L88" s="3710"/>
      <c r="M88" s="3710"/>
      <c r="N88" s="3710"/>
      <c r="O88" s="3710"/>
      <c r="P88" s="3710"/>
      <c r="Q88" s="3710"/>
      <c r="R88" s="3710"/>
      <c r="S88" s="3710"/>
      <c r="T88" s="3710"/>
      <c r="U88" s="3710"/>
      <c r="V88" s="3710"/>
      <c r="W88" s="3708"/>
      <c r="X88" s="3712"/>
      <c r="Y88" s="3822" t="s">
        <v>547</v>
      </c>
    </row>
    <row r="89" spans="1:28" s="3665" customFormat="1" ht="13.5" customHeight="1">
      <c r="A89" s="3781"/>
      <c r="B89" s="3692" t="s">
        <v>22</v>
      </c>
      <c r="C89" s="3693"/>
      <c r="D89" s="3659">
        <f>+D90</f>
        <v>8000000</v>
      </c>
      <c r="E89" s="3659">
        <f>+E90</f>
        <v>0</v>
      </c>
      <c r="F89" s="3659">
        <f t="shared" ref="F89:X89" si="97">+F90</f>
        <v>0</v>
      </c>
      <c r="G89" s="3659">
        <f t="shared" si="97"/>
        <v>0</v>
      </c>
      <c r="H89" s="3659">
        <f t="shared" si="97"/>
        <v>0</v>
      </c>
      <c r="I89" s="3659">
        <f t="shared" si="97"/>
        <v>0</v>
      </c>
      <c r="J89" s="3659">
        <f t="shared" si="97"/>
        <v>0</v>
      </c>
      <c r="K89" s="3659">
        <f t="shared" si="97"/>
        <v>0</v>
      </c>
      <c r="L89" s="3659">
        <f t="shared" si="97"/>
        <v>0</v>
      </c>
      <c r="M89" s="3659">
        <f t="shared" si="97"/>
        <v>480000</v>
      </c>
      <c r="N89" s="3659">
        <f t="shared" si="97"/>
        <v>480000</v>
      </c>
      <c r="O89" s="3659">
        <f t="shared" si="97"/>
        <v>100000</v>
      </c>
      <c r="P89" s="3659">
        <f t="shared" si="97"/>
        <v>1080000</v>
      </c>
      <c r="Q89" s="3659">
        <f t="shared" si="97"/>
        <v>1080000</v>
      </c>
      <c r="R89" s="3659">
        <f t="shared" si="97"/>
        <v>1080000</v>
      </c>
      <c r="S89" s="3659">
        <f t="shared" si="97"/>
        <v>1080000</v>
      </c>
      <c r="T89" s="3659">
        <f t="shared" si="97"/>
        <v>1080000</v>
      </c>
      <c r="U89" s="3659">
        <f t="shared" si="97"/>
        <v>1080000</v>
      </c>
      <c r="V89" s="3659">
        <f t="shared" si="97"/>
        <v>940000</v>
      </c>
      <c r="W89" s="3833">
        <f t="shared" si="97"/>
        <v>0</v>
      </c>
      <c r="X89" s="3723">
        <f t="shared" si="97"/>
        <v>7420000</v>
      </c>
      <c r="Y89" s="3823"/>
    </row>
    <row r="90" spans="1:28" s="3739" customFormat="1" ht="13.5" customHeight="1">
      <c r="A90" s="3781"/>
      <c r="B90" s="3666" t="s">
        <v>36</v>
      </c>
      <c r="C90" s="3824" t="s">
        <v>159</v>
      </c>
      <c r="D90" s="3834">
        <f>+D91+D92</f>
        <v>8000000</v>
      </c>
      <c r="E90" s="3834">
        <f t="shared" ref="E90:L90" si="98">+E92</f>
        <v>0</v>
      </c>
      <c r="F90" s="3834">
        <f t="shared" si="98"/>
        <v>0</v>
      </c>
      <c r="G90" s="3834">
        <f t="shared" si="98"/>
        <v>0</v>
      </c>
      <c r="H90" s="3834">
        <f t="shared" si="98"/>
        <v>0</v>
      </c>
      <c r="I90" s="3834">
        <f t="shared" si="98"/>
        <v>0</v>
      </c>
      <c r="J90" s="3834">
        <f t="shared" si="98"/>
        <v>0</v>
      </c>
      <c r="K90" s="3834">
        <f t="shared" si="98"/>
        <v>0</v>
      </c>
      <c r="L90" s="3834">
        <f t="shared" si="98"/>
        <v>0</v>
      </c>
      <c r="M90" s="3668">
        <f t="shared" ref="M90" si="99">+M91+M92</f>
        <v>480000</v>
      </c>
      <c r="N90" s="3834">
        <f>+N91+N92</f>
        <v>480000</v>
      </c>
      <c r="O90" s="3834">
        <f>+O91+O92</f>
        <v>100000</v>
      </c>
      <c r="P90" s="3834">
        <f>+P91+P92</f>
        <v>1080000</v>
      </c>
      <c r="Q90" s="3834">
        <f>+Q91+Q92</f>
        <v>1080000</v>
      </c>
      <c r="R90" s="3834">
        <f>+R91+R92</f>
        <v>1080000</v>
      </c>
      <c r="S90" s="3834">
        <f t="shared" ref="S90:T90" si="100">+S91+S92</f>
        <v>1080000</v>
      </c>
      <c r="T90" s="3834">
        <f t="shared" si="100"/>
        <v>1080000</v>
      </c>
      <c r="U90" s="3834">
        <f t="shared" ref="U90:W90" si="101">+U91+U92</f>
        <v>1080000</v>
      </c>
      <c r="V90" s="3834">
        <f t="shared" si="101"/>
        <v>940000</v>
      </c>
      <c r="W90" s="3835">
        <f t="shared" si="101"/>
        <v>0</v>
      </c>
      <c r="X90" s="3825">
        <f>+X92</f>
        <v>7420000</v>
      </c>
      <c r="Y90" s="3823"/>
    </row>
    <row r="91" spans="1:28" s="3739" customFormat="1" ht="13.5" customHeight="1">
      <c r="A91" s="3781"/>
      <c r="B91" s="3729" t="s">
        <v>156</v>
      </c>
      <c r="C91" s="3826"/>
      <c r="D91" s="3676">
        <f t="shared" ref="D91:D92" si="102">M91+O91+P91+Q91+R91+S91+T91+U91+V91+W91</f>
        <v>580000</v>
      </c>
      <c r="E91" s="3836"/>
      <c r="F91" s="3837"/>
      <c r="G91" s="3838"/>
      <c r="H91" s="3838"/>
      <c r="I91" s="3735"/>
      <c r="J91" s="3735"/>
      <c r="K91" s="3735"/>
      <c r="L91" s="3839"/>
      <c r="M91" s="3676">
        <f t="shared" ref="M91:M92" si="103">+L91+K91+J91+I91+E91+N91</f>
        <v>480000</v>
      </c>
      <c r="N91" s="3735">
        <v>480000</v>
      </c>
      <c r="O91" s="3735">
        <v>100000</v>
      </c>
      <c r="P91" s="3735">
        <v>0</v>
      </c>
      <c r="Q91" s="3735">
        <v>0</v>
      </c>
      <c r="R91" s="3735">
        <v>0</v>
      </c>
      <c r="S91" s="3735">
        <v>0</v>
      </c>
      <c r="T91" s="3735">
        <v>0</v>
      </c>
      <c r="U91" s="3735">
        <v>0</v>
      </c>
      <c r="V91" s="3735">
        <v>0</v>
      </c>
      <c r="W91" s="3840">
        <v>0</v>
      </c>
      <c r="X91" s="3827">
        <v>0</v>
      </c>
      <c r="Y91" s="3823"/>
    </row>
    <row r="92" spans="1:28" s="3739" customFormat="1" ht="13.5" customHeight="1" thickBot="1">
      <c r="A92" s="3828"/>
      <c r="B92" s="3841" t="s">
        <v>160</v>
      </c>
      <c r="C92" s="3842"/>
      <c r="D92" s="3752">
        <f t="shared" si="102"/>
        <v>7420000</v>
      </c>
      <c r="E92" s="3843">
        <v>0</v>
      </c>
      <c r="F92" s="3844"/>
      <c r="G92" s="3845"/>
      <c r="H92" s="3845"/>
      <c r="I92" s="3832">
        <v>0</v>
      </c>
      <c r="J92" s="3818">
        <v>0</v>
      </c>
      <c r="K92" s="3818">
        <v>0</v>
      </c>
      <c r="L92" s="3843">
        <v>0</v>
      </c>
      <c r="M92" s="3752">
        <f t="shared" si="103"/>
        <v>0</v>
      </c>
      <c r="N92" s="3818">
        <v>0</v>
      </c>
      <c r="O92" s="3818">
        <v>0</v>
      </c>
      <c r="P92" s="3818">
        <v>1080000</v>
      </c>
      <c r="Q92" s="3818">
        <v>1080000</v>
      </c>
      <c r="R92" s="3818">
        <v>1080000</v>
      </c>
      <c r="S92" s="3818">
        <v>1080000</v>
      </c>
      <c r="T92" s="3818">
        <v>1080000</v>
      </c>
      <c r="U92" s="3818">
        <v>1080000</v>
      </c>
      <c r="V92" s="3818">
        <v>940000</v>
      </c>
      <c r="W92" s="3846"/>
      <c r="X92" s="3847">
        <f>SUM(P92:W92)</f>
        <v>7420000</v>
      </c>
      <c r="Y92" s="3848"/>
    </row>
    <row r="93" spans="1:28" s="3655" customFormat="1" ht="38.25" customHeight="1">
      <c r="A93" s="3647" t="s">
        <v>105</v>
      </c>
      <c r="B93" s="3756" t="s">
        <v>162</v>
      </c>
      <c r="C93" s="3649" t="s">
        <v>98</v>
      </c>
      <c r="D93" s="3650"/>
      <c r="E93" s="3651"/>
      <c r="F93" s="3651"/>
      <c r="G93" s="3651"/>
      <c r="H93" s="3651"/>
      <c r="I93" s="3651"/>
      <c r="J93" s="3651"/>
      <c r="K93" s="3651"/>
      <c r="L93" s="3651"/>
      <c r="M93" s="3651"/>
      <c r="N93" s="3651"/>
      <c r="O93" s="3651"/>
      <c r="P93" s="3651"/>
      <c r="Q93" s="3651"/>
      <c r="R93" s="3651"/>
      <c r="S93" s="3651"/>
      <c r="T93" s="3651"/>
      <c r="U93" s="3651"/>
      <c r="V93" s="3651"/>
      <c r="W93" s="3650"/>
      <c r="X93" s="3653"/>
      <c r="Y93" s="3654" t="s">
        <v>549</v>
      </c>
    </row>
    <row r="94" spans="1:28" s="3665" customFormat="1" ht="13.5" customHeight="1">
      <c r="A94" s="3656"/>
      <c r="B94" s="3657" t="s">
        <v>22</v>
      </c>
      <c r="C94" s="3658"/>
      <c r="D94" s="3659">
        <f t="shared" ref="D94:K94" si="104">+D95+D98</f>
        <v>11643371</v>
      </c>
      <c r="E94" s="3659">
        <f t="shared" si="104"/>
        <v>0</v>
      </c>
      <c r="F94" s="3659">
        <f t="shared" si="104"/>
        <v>0</v>
      </c>
      <c r="G94" s="3659">
        <f t="shared" si="104"/>
        <v>12200</v>
      </c>
      <c r="H94" s="3659">
        <f t="shared" si="104"/>
        <v>1690859.03</v>
      </c>
      <c r="I94" s="3659">
        <f t="shared" si="104"/>
        <v>0</v>
      </c>
      <c r="J94" s="3659">
        <f t="shared" si="104"/>
        <v>0</v>
      </c>
      <c r="K94" s="3659">
        <f t="shared" si="104"/>
        <v>0</v>
      </c>
      <c r="L94" s="3659">
        <f>+L95+L98</f>
        <v>548968</v>
      </c>
      <c r="M94" s="3659">
        <f>+M95+M98</f>
        <v>1879766</v>
      </c>
      <c r="N94" s="3659">
        <f>+N95+N98</f>
        <v>4196897</v>
      </c>
      <c r="O94" s="3659">
        <f>+O95+O98</f>
        <v>9280994</v>
      </c>
      <c r="P94" s="3659">
        <f>+P95+P98</f>
        <v>482611</v>
      </c>
      <c r="Q94" s="3721">
        <f t="shared" ref="Q94:T94" si="105">+Q95+Q98</f>
        <v>0</v>
      </c>
      <c r="R94" s="3721">
        <f t="shared" si="105"/>
        <v>0</v>
      </c>
      <c r="S94" s="3721">
        <f t="shared" si="105"/>
        <v>0</v>
      </c>
      <c r="T94" s="3721">
        <f t="shared" si="105"/>
        <v>0</v>
      </c>
      <c r="U94" s="3721">
        <f t="shared" ref="U94:W94" si="106">+U95+U98</f>
        <v>0</v>
      </c>
      <c r="V94" s="3721">
        <f t="shared" si="106"/>
        <v>0</v>
      </c>
      <c r="W94" s="3722">
        <f t="shared" si="106"/>
        <v>0</v>
      </c>
      <c r="X94" s="3723">
        <f>+X95</f>
        <v>0</v>
      </c>
      <c r="Y94" s="3664"/>
    </row>
    <row r="95" spans="1:28" s="3665" customFormat="1" ht="12.75" customHeight="1">
      <c r="A95" s="3656"/>
      <c r="B95" s="3666" t="s">
        <v>36</v>
      </c>
      <c r="C95" s="3667" t="s">
        <v>155</v>
      </c>
      <c r="D95" s="3668">
        <f>+D96+D97</f>
        <v>3493817</v>
      </c>
      <c r="E95" s="3668">
        <f>+E96+E97</f>
        <v>0</v>
      </c>
      <c r="F95" s="3668">
        <f>+F96+F97</f>
        <v>0</v>
      </c>
      <c r="G95" s="3668">
        <f>+G96+G97</f>
        <v>12200</v>
      </c>
      <c r="H95" s="3668">
        <f>+H96+H97</f>
        <v>1690859.03</v>
      </c>
      <c r="I95" s="3668">
        <f t="shared" ref="I95:T95" si="107">+I96+I97</f>
        <v>0</v>
      </c>
      <c r="J95" s="3668">
        <f t="shared" si="107"/>
        <v>0</v>
      </c>
      <c r="K95" s="3668">
        <f t="shared" si="107"/>
        <v>0</v>
      </c>
      <c r="L95" s="3668">
        <f t="shared" si="107"/>
        <v>148492</v>
      </c>
      <c r="M95" s="3668">
        <f t="shared" si="107"/>
        <v>1721730</v>
      </c>
      <c r="N95" s="3668">
        <f t="shared" si="107"/>
        <v>1573238</v>
      </c>
      <c r="O95" s="3668">
        <f t="shared" si="107"/>
        <v>1730400</v>
      </c>
      <c r="P95" s="3668">
        <f t="shared" si="107"/>
        <v>41687</v>
      </c>
      <c r="Q95" s="3760">
        <f t="shared" si="107"/>
        <v>0</v>
      </c>
      <c r="R95" s="3760">
        <f t="shared" si="107"/>
        <v>0</v>
      </c>
      <c r="S95" s="3760">
        <f t="shared" si="107"/>
        <v>0</v>
      </c>
      <c r="T95" s="3760">
        <f t="shared" si="107"/>
        <v>0</v>
      </c>
      <c r="U95" s="3760">
        <f t="shared" ref="U95:W95" si="108">+U96+U97</f>
        <v>0</v>
      </c>
      <c r="V95" s="3760">
        <f t="shared" si="108"/>
        <v>0</v>
      </c>
      <c r="W95" s="3761">
        <f t="shared" si="108"/>
        <v>0</v>
      </c>
      <c r="X95" s="3849">
        <f>+X97</f>
        <v>0</v>
      </c>
      <c r="Y95" s="3673"/>
    </row>
    <row r="96" spans="1:28" s="3665" customFormat="1" ht="12">
      <c r="A96" s="3656"/>
      <c r="B96" s="3674" t="s">
        <v>156</v>
      </c>
      <c r="C96" s="3792"/>
      <c r="D96" s="3676">
        <f t="shared" ref="D96:D97" si="109">M96+O96+P96+Q96+R96+S96+T96+U96+V96+W96</f>
        <v>2493817</v>
      </c>
      <c r="E96" s="3676">
        <v>0</v>
      </c>
      <c r="F96" s="3676">
        <v>0</v>
      </c>
      <c r="G96" s="3676">
        <v>12200</v>
      </c>
      <c r="H96" s="3676">
        <v>1015859</v>
      </c>
      <c r="I96" s="3676">
        <v>0</v>
      </c>
      <c r="J96" s="3676">
        <v>0</v>
      </c>
      <c r="K96" s="3676">
        <v>0</v>
      </c>
      <c r="L96" s="3676">
        <v>148492</v>
      </c>
      <c r="M96" s="3676">
        <f>+L96+K96+J96+I96+E96+N96</f>
        <v>721730</v>
      </c>
      <c r="N96" s="3676">
        <f>737277-164039</f>
        <v>573238</v>
      </c>
      <c r="O96" s="3676">
        <f>1394867+335533</f>
        <v>1730400</v>
      </c>
      <c r="P96" s="3676">
        <v>41687</v>
      </c>
      <c r="Q96" s="3730">
        <v>0</v>
      </c>
      <c r="R96" s="3730">
        <v>0</v>
      </c>
      <c r="S96" s="3730">
        <v>0</v>
      </c>
      <c r="T96" s="3730">
        <v>0</v>
      </c>
      <c r="U96" s="3730">
        <v>0</v>
      </c>
      <c r="V96" s="3730">
        <v>0</v>
      </c>
      <c r="W96" s="3731">
        <v>0</v>
      </c>
      <c r="X96" s="3598" t="s">
        <v>77</v>
      </c>
      <c r="Y96" s="3673"/>
      <c r="AB96" s="3681"/>
    </row>
    <row r="97" spans="1:28" s="3665" customFormat="1" ht="13.5" customHeight="1">
      <c r="A97" s="3656"/>
      <c r="B97" s="3682" t="s">
        <v>152</v>
      </c>
      <c r="C97" s="3797"/>
      <c r="D97" s="3676">
        <f t="shared" si="109"/>
        <v>1000000</v>
      </c>
      <c r="E97" s="3676">
        <v>0</v>
      </c>
      <c r="F97" s="3676">
        <v>0</v>
      </c>
      <c r="G97" s="3676">
        <v>0</v>
      </c>
      <c r="H97" s="3676">
        <v>675000.03</v>
      </c>
      <c r="I97" s="3676">
        <v>0</v>
      </c>
      <c r="J97" s="3676">
        <v>0</v>
      </c>
      <c r="K97" s="3676">
        <v>0</v>
      </c>
      <c r="L97" s="3676">
        <v>0</v>
      </c>
      <c r="M97" s="3676">
        <f>+L97+K97+J97+I97+E97+N97</f>
        <v>1000000</v>
      </c>
      <c r="N97" s="3676">
        <v>1000000</v>
      </c>
      <c r="O97" s="3676">
        <v>0</v>
      </c>
      <c r="P97" s="3676">
        <v>0</v>
      </c>
      <c r="Q97" s="3730">
        <v>0</v>
      </c>
      <c r="R97" s="3730">
        <v>0</v>
      </c>
      <c r="S97" s="3730">
        <v>0</v>
      </c>
      <c r="T97" s="3730">
        <v>0</v>
      </c>
      <c r="U97" s="3730">
        <v>0</v>
      </c>
      <c r="V97" s="3730">
        <v>0</v>
      </c>
      <c r="W97" s="3731">
        <v>0</v>
      </c>
      <c r="X97" s="3733">
        <f>SUM(P97:T97)</f>
        <v>0</v>
      </c>
      <c r="Y97" s="3673"/>
    </row>
    <row r="98" spans="1:28" s="3665" customFormat="1" ht="13.5" customHeight="1">
      <c r="A98" s="3656"/>
      <c r="B98" s="3684" t="s">
        <v>30</v>
      </c>
      <c r="C98" s="3799" t="s">
        <v>35</v>
      </c>
      <c r="D98" s="3685">
        <f>+D99</f>
        <v>8149554</v>
      </c>
      <c r="E98" s="3685">
        <f t="shared" ref="E98:X98" si="110">+E99</f>
        <v>0</v>
      </c>
      <c r="F98" s="3685">
        <f t="shared" si="110"/>
        <v>0</v>
      </c>
      <c r="G98" s="3685">
        <f t="shared" si="110"/>
        <v>0</v>
      </c>
      <c r="H98" s="3685">
        <f t="shared" si="110"/>
        <v>0</v>
      </c>
      <c r="I98" s="3685">
        <f t="shared" si="110"/>
        <v>0</v>
      </c>
      <c r="J98" s="3685">
        <f t="shared" si="110"/>
        <v>0</v>
      </c>
      <c r="K98" s="3685">
        <f t="shared" si="110"/>
        <v>0</v>
      </c>
      <c r="L98" s="3685">
        <f t="shared" si="110"/>
        <v>400476</v>
      </c>
      <c r="M98" s="3685">
        <f t="shared" si="110"/>
        <v>158036</v>
      </c>
      <c r="N98" s="3685">
        <f t="shared" si="110"/>
        <v>2623659</v>
      </c>
      <c r="O98" s="3685">
        <f t="shared" si="110"/>
        <v>7550594</v>
      </c>
      <c r="P98" s="3685">
        <f t="shared" si="110"/>
        <v>440924</v>
      </c>
      <c r="Q98" s="3741">
        <f t="shared" si="110"/>
        <v>0</v>
      </c>
      <c r="R98" s="3741">
        <f t="shared" si="110"/>
        <v>0</v>
      </c>
      <c r="S98" s="3741">
        <f t="shared" si="110"/>
        <v>0</v>
      </c>
      <c r="T98" s="3741">
        <f t="shared" si="110"/>
        <v>0</v>
      </c>
      <c r="U98" s="3741">
        <f t="shared" si="110"/>
        <v>0</v>
      </c>
      <c r="V98" s="3741">
        <f t="shared" si="110"/>
        <v>0</v>
      </c>
      <c r="W98" s="3742">
        <f t="shared" si="110"/>
        <v>0</v>
      </c>
      <c r="X98" s="3743" t="str">
        <f t="shared" si="110"/>
        <v>x</v>
      </c>
      <c r="Y98" s="3673"/>
    </row>
    <row r="99" spans="1:28" s="3665" customFormat="1" ht="11.25" customHeight="1">
      <c r="A99" s="3656"/>
      <c r="B99" s="3690" t="s">
        <v>48</v>
      </c>
      <c r="C99" s="3764"/>
      <c r="D99" s="3676">
        <f>M99+O99+P99+Q99+R99+S99+T99+U99+V99+W99</f>
        <v>8149554</v>
      </c>
      <c r="E99" s="3691">
        <f>+F99+G99+H99</f>
        <v>0</v>
      </c>
      <c r="F99" s="3691">
        <v>0</v>
      </c>
      <c r="G99" s="3691">
        <v>0</v>
      </c>
      <c r="H99" s="3691">
        <v>0</v>
      </c>
      <c r="I99" s="3691">
        <v>0</v>
      </c>
      <c r="J99" s="3691">
        <v>0</v>
      </c>
      <c r="K99" s="3691">
        <v>0</v>
      </c>
      <c r="L99" s="3691">
        <v>400476</v>
      </c>
      <c r="M99" s="3676">
        <f>+L99+K99+J99+I99+E99+N99-2866099</f>
        <v>158036</v>
      </c>
      <c r="N99" s="3691">
        <f>4506398-1882739</f>
        <v>2623659</v>
      </c>
      <c r="O99" s="3691">
        <f>4184600+982505+2383489</f>
        <v>7550594</v>
      </c>
      <c r="P99" s="3691">
        <v>440924</v>
      </c>
      <c r="Q99" s="3762">
        <v>0</v>
      </c>
      <c r="R99" s="3762">
        <v>0</v>
      </c>
      <c r="S99" s="3762">
        <v>0</v>
      </c>
      <c r="T99" s="3762">
        <v>0</v>
      </c>
      <c r="U99" s="3762">
        <v>0</v>
      </c>
      <c r="V99" s="3762">
        <v>0</v>
      </c>
      <c r="W99" s="3763">
        <v>0</v>
      </c>
      <c r="X99" s="3850" t="s">
        <v>77</v>
      </c>
      <c r="Y99" s="3673"/>
    </row>
    <row r="100" spans="1:28" s="3665" customFormat="1" ht="13.5" customHeight="1">
      <c r="A100" s="3656"/>
      <c r="B100" s="3692" t="s">
        <v>34</v>
      </c>
      <c r="C100" s="3769"/>
      <c r="D100" s="3659">
        <f>D102</f>
        <v>8149554</v>
      </c>
      <c r="E100" s="3659">
        <f>E102</f>
        <v>0</v>
      </c>
      <c r="F100" s="3659">
        <f>F102</f>
        <v>0</v>
      </c>
      <c r="G100" s="3659">
        <f>G102</f>
        <v>0</v>
      </c>
      <c r="H100" s="3659">
        <f>H102</f>
        <v>0</v>
      </c>
      <c r="I100" s="3659">
        <f>+I101</f>
        <v>0</v>
      </c>
      <c r="J100" s="3659">
        <f t="shared" ref="J100:W101" si="111">+J101</f>
        <v>0</v>
      </c>
      <c r="K100" s="3659">
        <f t="shared" si="111"/>
        <v>0</v>
      </c>
      <c r="L100" s="3659">
        <f t="shared" si="111"/>
        <v>400476</v>
      </c>
      <c r="M100" s="3659">
        <f t="shared" si="111"/>
        <v>158036</v>
      </c>
      <c r="N100" s="3659">
        <f t="shared" si="111"/>
        <v>2623659</v>
      </c>
      <c r="O100" s="3659">
        <f t="shared" si="111"/>
        <v>7550594</v>
      </c>
      <c r="P100" s="3659">
        <f t="shared" si="111"/>
        <v>440924</v>
      </c>
      <c r="Q100" s="3721">
        <f t="shared" si="111"/>
        <v>0</v>
      </c>
      <c r="R100" s="3721">
        <f t="shared" si="111"/>
        <v>0</v>
      </c>
      <c r="S100" s="3721">
        <f t="shared" si="111"/>
        <v>0</v>
      </c>
      <c r="T100" s="3721">
        <f t="shared" si="111"/>
        <v>0</v>
      </c>
      <c r="U100" s="3721">
        <f t="shared" si="111"/>
        <v>0</v>
      </c>
      <c r="V100" s="3721">
        <f t="shared" si="111"/>
        <v>0</v>
      </c>
      <c r="W100" s="3722">
        <f t="shared" si="111"/>
        <v>0</v>
      </c>
      <c r="X100" s="3638" t="s">
        <v>77</v>
      </c>
      <c r="Y100" s="3673"/>
    </row>
    <row r="101" spans="1:28" s="3665" customFormat="1" ht="13.5" customHeight="1">
      <c r="A101" s="3656"/>
      <c r="B101" s="3684" t="s">
        <v>30</v>
      </c>
      <c r="C101" s="3799" t="s">
        <v>35</v>
      </c>
      <c r="D101" s="3696">
        <f>+D102</f>
        <v>8149554</v>
      </c>
      <c r="E101" s="3696">
        <f t="shared" ref="E101:L101" si="112">+E102</f>
        <v>0</v>
      </c>
      <c r="F101" s="3696">
        <f t="shared" si="112"/>
        <v>0</v>
      </c>
      <c r="G101" s="3696">
        <f t="shared" si="112"/>
        <v>0</v>
      </c>
      <c r="H101" s="3696">
        <f t="shared" si="112"/>
        <v>0</v>
      </c>
      <c r="I101" s="3696">
        <f t="shared" si="112"/>
        <v>0</v>
      </c>
      <c r="J101" s="3696">
        <f t="shared" si="112"/>
        <v>0</v>
      </c>
      <c r="K101" s="3696">
        <f t="shared" si="112"/>
        <v>0</v>
      </c>
      <c r="L101" s="3696">
        <f t="shared" si="112"/>
        <v>400476</v>
      </c>
      <c r="M101" s="3696">
        <f>+M102</f>
        <v>158036</v>
      </c>
      <c r="N101" s="3696">
        <f t="shared" si="111"/>
        <v>2623659</v>
      </c>
      <c r="O101" s="3696">
        <f t="shared" si="111"/>
        <v>7550594</v>
      </c>
      <c r="P101" s="3696">
        <f t="shared" si="111"/>
        <v>440924</v>
      </c>
      <c r="Q101" s="3747">
        <f t="shared" si="111"/>
        <v>0</v>
      </c>
      <c r="R101" s="3747">
        <f t="shared" si="111"/>
        <v>0</v>
      </c>
      <c r="S101" s="3747">
        <f t="shared" si="111"/>
        <v>0</v>
      </c>
      <c r="T101" s="3747">
        <f t="shared" si="111"/>
        <v>0</v>
      </c>
      <c r="U101" s="3851">
        <f t="shared" si="111"/>
        <v>0</v>
      </c>
      <c r="V101" s="3851">
        <f t="shared" si="111"/>
        <v>0</v>
      </c>
      <c r="W101" s="3852">
        <f t="shared" si="111"/>
        <v>0</v>
      </c>
      <c r="X101" s="3639"/>
      <c r="Y101" s="3673"/>
    </row>
    <row r="102" spans="1:28" s="3665" customFormat="1" ht="14.25" customHeight="1" thickBot="1">
      <c r="A102" s="3700"/>
      <c r="B102" s="3853" t="s">
        <v>48</v>
      </c>
      <c r="C102" s="3854"/>
      <c r="D102" s="3752">
        <f>M102+O102+P102+Q102+R102+S102+T102+U102+V102+W102</f>
        <v>8149554</v>
      </c>
      <c r="E102" s="3753">
        <v>0</v>
      </c>
      <c r="F102" s="3753">
        <v>0</v>
      </c>
      <c r="G102" s="3753">
        <v>0</v>
      </c>
      <c r="H102" s="3753">
        <v>0</v>
      </c>
      <c r="I102" s="3753">
        <v>0</v>
      </c>
      <c r="J102" s="3753">
        <v>0</v>
      </c>
      <c r="K102" s="3753">
        <v>0</v>
      </c>
      <c r="L102" s="3753">
        <v>400476</v>
      </c>
      <c r="M102" s="3752">
        <f>+L102+K102+J102+I102+E102+N102-2866099</f>
        <v>158036</v>
      </c>
      <c r="N102" s="3753">
        <f>4506398-1882739</f>
        <v>2623659</v>
      </c>
      <c r="O102" s="3753">
        <f>4184600+982505+2383489</f>
        <v>7550594</v>
      </c>
      <c r="P102" s="3753">
        <v>440924</v>
      </c>
      <c r="Q102" s="3754">
        <v>0</v>
      </c>
      <c r="R102" s="3754">
        <v>0</v>
      </c>
      <c r="S102" s="3754">
        <v>0</v>
      </c>
      <c r="T102" s="3754">
        <v>0</v>
      </c>
      <c r="U102" s="3754">
        <v>0</v>
      </c>
      <c r="V102" s="3754">
        <v>0</v>
      </c>
      <c r="W102" s="3855">
        <v>0</v>
      </c>
      <c r="X102" s="3646"/>
      <c r="Y102" s="3705"/>
    </row>
    <row r="103" spans="1:28" s="3560" customFormat="1" ht="51.75" customHeight="1">
      <c r="A103" s="3647" t="s">
        <v>106</v>
      </c>
      <c r="B103" s="3756" t="s">
        <v>397</v>
      </c>
      <c r="C103" s="3649" t="s">
        <v>98</v>
      </c>
      <c r="D103" s="3650"/>
      <c r="E103" s="3651"/>
      <c r="F103" s="3651"/>
      <c r="G103" s="3651"/>
      <c r="H103" s="3651"/>
      <c r="I103" s="3651"/>
      <c r="J103" s="3651"/>
      <c r="K103" s="3651"/>
      <c r="L103" s="3651"/>
      <c r="M103" s="3651"/>
      <c r="N103" s="3651"/>
      <c r="O103" s="3651"/>
      <c r="P103" s="3651"/>
      <c r="Q103" s="3651"/>
      <c r="R103" s="3651"/>
      <c r="S103" s="3651"/>
      <c r="T103" s="3651"/>
      <c r="U103" s="3651"/>
      <c r="V103" s="3651"/>
      <c r="W103" s="3650"/>
      <c r="X103" s="3653"/>
      <c r="Y103" s="3856" t="s">
        <v>550</v>
      </c>
      <c r="Z103" s="3857"/>
      <c r="AA103" s="3857"/>
      <c r="AB103" s="3857"/>
    </row>
    <row r="104" spans="1:28" s="3560" customFormat="1" ht="15" customHeight="1">
      <c r="A104" s="3759"/>
      <c r="B104" s="3692" t="s">
        <v>22</v>
      </c>
      <c r="C104" s="3658"/>
      <c r="D104" s="3659">
        <f t="shared" ref="D104:K104" si="113">+D105+D109</f>
        <v>23256804</v>
      </c>
      <c r="E104" s="3659">
        <f t="shared" si="113"/>
        <v>0</v>
      </c>
      <c r="F104" s="3659">
        <f t="shared" si="113"/>
        <v>0</v>
      </c>
      <c r="G104" s="3659">
        <f t="shared" si="113"/>
        <v>12200</v>
      </c>
      <c r="H104" s="3659">
        <f t="shared" si="113"/>
        <v>1690859.03</v>
      </c>
      <c r="I104" s="3659">
        <f t="shared" si="113"/>
        <v>0</v>
      </c>
      <c r="J104" s="3659">
        <f t="shared" si="113"/>
        <v>0</v>
      </c>
      <c r="K104" s="3659">
        <f t="shared" si="113"/>
        <v>0</v>
      </c>
      <c r="L104" s="3659">
        <f>+L105+L109</f>
        <v>0</v>
      </c>
      <c r="M104" s="3659">
        <f>+M105+M109</f>
        <v>117351</v>
      </c>
      <c r="N104" s="3659">
        <f>+N105+N109</f>
        <v>117351</v>
      </c>
      <c r="O104" s="3659">
        <f>+O105+O109</f>
        <v>22222069</v>
      </c>
      <c r="P104" s="3659">
        <f>+P105+P109</f>
        <v>917384</v>
      </c>
      <c r="Q104" s="3721">
        <f t="shared" ref="Q104:T104" si="114">+Q105+Q109</f>
        <v>0</v>
      </c>
      <c r="R104" s="3721">
        <f t="shared" si="114"/>
        <v>0</v>
      </c>
      <c r="S104" s="3721">
        <f t="shared" si="114"/>
        <v>0</v>
      </c>
      <c r="T104" s="3721">
        <f t="shared" si="114"/>
        <v>0</v>
      </c>
      <c r="U104" s="3721">
        <f t="shared" ref="U104:W104" si="115">+U105+U109</f>
        <v>0</v>
      </c>
      <c r="V104" s="3721">
        <f t="shared" si="115"/>
        <v>0</v>
      </c>
      <c r="W104" s="3722">
        <f t="shared" si="115"/>
        <v>0</v>
      </c>
      <c r="X104" s="3723">
        <f>+X105</f>
        <v>916455</v>
      </c>
      <c r="Y104" s="3858"/>
    </row>
    <row r="105" spans="1:28" s="3560" customFormat="1" ht="15" customHeight="1">
      <c r="A105" s="3759"/>
      <c r="B105" s="3666" t="s">
        <v>36</v>
      </c>
      <c r="C105" s="3667" t="s">
        <v>155</v>
      </c>
      <c r="D105" s="3668">
        <f>+D106+D107+D108</f>
        <v>8870930</v>
      </c>
      <c r="E105" s="3668">
        <f>+E106+E107</f>
        <v>0</v>
      </c>
      <c r="F105" s="3668">
        <f>+F106+F107</f>
        <v>0</v>
      </c>
      <c r="G105" s="3668">
        <f>+G106+G107</f>
        <v>12200</v>
      </c>
      <c r="H105" s="3668">
        <f>+H106+H107</f>
        <v>1690859.03</v>
      </c>
      <c r="I105" s="3668">
        <f t="shared" ref="I105:T105" si="116">+I106+I107</f>
        <v>0</v>
      </c>
      <c r="J105" s="3668">
        <f t="shared" si="116"/>
        <v>0</v>
      </c>
      <c r="K105" s="3668">
        <f t="shared" si="116"/>
        <v>0</v>
      </c>
      <c r="L105" s="3668">
        <f t="shared" si="116"/>
        <v>0</v>
      </c>
      <c r="M105" s="3668">
        <f t="shared" ref="M105" si="117">+M106+M107</f>
        <v>117351</v>
      </c>
      <c r="N105" s="3668">
        <f t="shared" si="116"/>
        <v>117351</v>
      </c>
      <c r="O105" s="3668">
        <f>+O106+O107+O108</f>
        <v>7837124</v>
      </c>
      <c r="P105" s="3668">
        <f>+P106+P107+P108</f>
        <v>916455</v>
      </c>
      <c r="Q105" s="3760">
        <f t="shared" si="116"/>
        <v>0</v>
      </c>
      <c r="R105" s="3760">
        <f t="shared" si="116"/>
        <v>0</v>
      </c>
      <c r="S105" s="3760">
        <f t="shared" si="116"/>
        <v>0</v>
      </c>
      <c r="T105" s="3760">
        <f t="shared" si="116"/>
        <v>0</v>
      </c>
      <c r="U105" s="3760">
        <f t="shared" ref="U105:W105" si="118">+U106+U107</f>
        <v>0</v>
      </c>
      <c r="V105" s="3760">
        <f t="shared" si="118"/>
        <v>0</v>
      </c>
      <c r="W105" s="3761">
        <f t="shared" si="118"/>
        <v>0</v>
      </c>
      <c r="X105" s="3849">
        <f>+X107+X108</f>
        <v>916455</v>
      </c>
      <c r="Y105" s="3859"/>
    </row>
    <row r="106" spans="1:28" s="3560" customFormat="1">
      <c r="A106" s="3759"/>
      <c r="B106" s="3674" t="s">
        <v>156</v>
      </c>
      <c r="C106" s="3792"/>
      <c r="D106" s="3676">
        <f t="shared" ref="D106:D108" si="119">M106+O106+P106+Q106+R106+S106+T106+U106+V106+W106</f>
        <v>4815526</v>
      </c>
      <c r="E106" s="3676">
        <v>0</v>
      </c>
      <c r="F106" s="3676">
        <v>0</v>
      </c>
      <c r="G106" s="3676">
        <v>12200</v>
      </c>
      <c r="H106" s="3676">
        <v>1015859</v>
      </c>
      <c r="I106" s="3676">
        <v>0</v>
      </c>
      <c r="J106" s="3676">
        <v>0</v>
      </c>
      <c r="K106" s="3676">
        <v>0</v>
      </c>
      <c r="L106" s="3676">
        <v>0</v>
      </c>
      <c r="M106" s="3676">
        <f t="shared" ref="M106:M108" si="120">+L106+K106+J106+I106+E106+N106</f>
        <v>117351</v>
      </c>
      <c r="N106" s="3676">
        <f>1226982-1109631</f>
        <v>117351</v>
      </c>
      <c r="O106" s="3676">
        <f>7341386+209397-1550799-1301809</f>
        <v>4698175</v>
      </c>
      <c r="P106" s="3860">
        <v>0</v>
      </c>
      <c r="Q106" s="3730">
        <v>0</v>
      </c>
      <c r="R106" s="3730">
        <v>0</v>
      </c>
      <c r="S106" s="3730">
        <v>0</v>
      </c>
      <c r="T106" s="3730">
        <v>0</v>
      </c>
      <c r="U106" s="3730">
        <v>0</v>
      </c>
      <c r="V106" s="3730">
        <v>0</v>
      </c>
      <c r="W106" s="3731">
        <v>0</v>
      </c>
      <c r="X106" s="3598" t="s">
        <v>77</v>
      </c>
      <c r="Y106" s="3859"/>
    </row>
    <row r="107" spans="1:28" s="3560" customFormat="1" ht="13.5" customHeight="1">
      <c r="A107" s="3759"/>
      <c r="B107" s="3682" t="s">
        <v>152</v>
      </c>
      <c r="C107" s="3797"/>
      <c r="D107" s="3676">
        <f t="shared" si="119"/>
        <v>1000000</v>
      </c>
      <c r="E107" s="3676">
        <v>0</v>
      </c>
      <c r="F107" s="3676">
        <v>0</v>
      </c>
      <c r="G107" s="3676">
        <v>0</v>
      </c>
      <c r="H107" s="3676">
        <v>675000.03</v>
      </c>
      <c r="I107" s="3676">
        <v>0</v>
      </c>
      <c r="J107" s="3676">
        <v>0</v>
      </c>
      <c r="K107" s="3676">
        <v>0</v>
      </c>
      <c r="L107" s="3676">
        <v>0</v>
      </c>
      <c r="M107" s="3676">
        <f t="shared" si="120"/>
        <v>0</v>
      </c>
      <c r="N107" s="3676">
        <v>0</v>
      </c>
      <c r="O107" s="3676">
        <v>1000000</v>
      </c>
      <c r="P107" s="3860">
        <v>0</v>
      </c>
      <c r="Q107" s="3730">
        <v>0</v>
      </c>
      <c r="R107" s="3730">
        <v>0</v>
      </c>
      <c r="S107" s="3730">
        <v>0</v>
      </c>
      <c r="T107" s="3730">
        <v>0</v>
      </c>
      <c r="U107" s="3730">
        <v>0</v>
      </c>
      <c r="V107" s="3730">
        <v>0</v>
      </c>
      <c r="W107" s="3730">
        <v>0</v>
      </c>
      <c r="X107" s="3733">
        <f>SUM(P107:T107)</f>
        <v>0</v>
      </c>
      <c r="Y107" s="3859"/>
    </row>
    <row r="108" spans="1:28" s="3560" customFormat="1" ht="13.5" customHeight="1">
      <c r="A108" s="3759"/>
      <c r="B108" s="3674" t="s">
        <v>25</v>
      </c>
      <c r="C108" s="3861"/>
      <c r="D108" s="3676">
        <f t="shared" si="119"/>
        <v>3055404</v>
      </c>
      <c r="E108" s="3676"/>
      <c r="F108" s="3676"/>
      <c r="G108" s="3676"/>
      <c r="H108" s="3676"/>
      <c r="I108" s="3676"/>
      <c r="J108" s="3676"/>
      <c r="K108" s="3676"/>
      <c r="L108" s="3676"/>
      <c r="M108" s="3676">
        <f t="shared" si="120"/>
        <v>0</v>
      </c>
      <c r="N108" s="3676">
        <v>0</v>
      </c>
      <c r="O108" s="3676">
        <f>3056332-917383</f>
        <v>2138949</v>
      </c>
      <c r="P108" s="3676">
        <f>917383-928</f>
        <v>916455</v>
      </c>
      <c r="Q108" s="3730">
        <v>0</v>
      </c>
      <c r="R108" s="3730">
        <v>0</v>
      </c>
      <c r="S108" s="3730">
        <v>0</v>
      </c>
      <c r="T108" s="3730">
        <v>0</v>
      </c>
      <c r="U108" s="3730">
        <v>0</v>
      </c>
      <c r="V108" s="3730">
        <v>0</v>
      </c>
      <c r="W108" s="3730">
        <v>0</v>
      </c>
      <c r="X108" s="3733">
        <f>SUM(P108:T108)</f>
        <v>916455</v>
      </c>
      <c r="Y108" s="3859"/>
    </row>
    <row r="109" spans="1:28" s="3560" customFormat="1" ht="13.5" customHeight="1">
      <c r="A109" s="3759"/>
      <c r="B109" s="3684" t="s">
        <v>30</v>
      </c>
      <c r="C109" s="3799" t="s">
        <v>35</v>
      </c>
      <c r="D109" s="3685">
        <f>+D110</f>
        <v>14385874</v>
      </c>
      <c r="E109" s="3685">
        <f t="shared" ref="E109:X109" si="121">+E110</f>
        <v>0</v>
      </c>
      <c r="F109" s="3685">
        <f t="shared" si="121"/>
        <v>0</v>
      </c>
      <c r="G109" s="3685">
        <f t="shared" si="121"/>
        <v>0</v>
      </c>
      <c r="H109" s="3685">
        <f t="shared" si="121"/>
        <v>0</v>
      </c>
      <c r="I109" s="3685">
        <f t="shared" si="121"/>
        <v>0</v>
      </c>
      <c r="J109" s="3685">
        <f t="shared" si="121"/>
        <v>0</v>
      </c>
      <c r="K109" s="3685">
        <f t="shared" si="121"/>
        <v>0</v>
      </c>
      <c r="L109" s="3685">
        <f t="shared" si="121"/>
        <v>0</v>
      </c>
      <c r="M109" s="3685">
        <f t="shared" si="121"/>
        <v>0</v>
      </c>
      <c r="N109" s="3685">
        <f t="shared" si="121"/>
        <v>0</v>
      </c>
      <c r="O109" s="3685">
        <f t="shared" si="121"/>
        <v>14384945</v>
      </c>
      <c r="P109" s="3685">
        <f>+P110</f>
        <v>929</v>
      </c>
      <c r="Q109" s="3741">
        <f t="shared" si="121"/>
        <v>0</v>
      </c>
      <c r="R109" s="3741">
        <f t="shared" si="121"/>
        <v>0</v>
      </c>
      <c r="S109" s="3741">
        <f t="shared" si="121"/>
        <v>0</v>
      </c>
      <c r="T109" s="3741">
        <f t="shared" si="121"/>
        <v>0</v>
      </c>
      <c r="U109" s="3741">
        <f t="shared" si="121"/>
        <v>0</v>
      </c>
      <c r="V109" s="3741">
        <f t="shared" si="121"/>
        <v>0</v>
      </c>
      <c r="W109" s="3741">
        <f t="shared" si="121"/>
        <v>0</v>
      </c>
      <c r="X109" s="3743" t="str">
        <f t="shared" si="121"/>
        <v>x</v>
      </c>
      <c r="Y109" s="3859"/>
    </row>
    <row r="110" spans="1:28" s="3560" customFormat="1" ht="11.25" customHeight="1">
      <c r="A110" s="3759"/>
      <c r="B110" s="3690" t="s">
        <v>48</v>
      </c>
      <c r="C110" s="3764"/>
      <c r="D110" s="3676">
        <f>M110+O110+P110+Q110+R110+S110+T110+U110+V110+W110</f>
        <v>14385874</v>
      </c>
      <c r="E110" s="3691">
        <f>+F110+G110+H110</f>
        <v>0</v>
      </c>
      <c r="F110" s="3691">
        <v>0</v>
      </c>
      <c r="G110" s="3691">
        <v>0</v>
      </c>
      <c r="H110" s="3691">
        <v>0</v>
      </c>
      <c r="I110" s="3691">
        <v>0</v>
      </c>
      <c r="J110" s="3691">
        <v>0</v>
      </c>
      <c r="K110" s="3691">
        <v>0</v>
      </c>
      <c r="L110" s="3691">
        <v>0</v>
      </c>
      <c r="M110" s="3676">
        <f>+L110+K110+J110+I110+E110+N110</f>
        <v>0</v>
      </c>
      <c r="N110" s="3691">
        <f>1599973-1599973</f>
        <v>0</v>
      </c>
      <c r="O110" s="3691">
        <f>10836665+2500207+1053375-678564+673262</f>
        <v>14384945</v>
      </c>
      <c r="P110" s="3691">
        <f>678564-677635</f>
        <v>929</v>
      </c>
      <c r="Q110" s="3762">
        <v>0</v>
      </c>
      <c r="R110" s="3762">
        <v>0</v>
      </c>
      <c r="S110" s="3762">
        <v>0</v>
      </c>
      <c r="T110" s="3762">
        <v>0</v>
      </c>
      <c r="U110" s="3762">
        <v>0</v>
      </c>
      <c r="V110" s="3762">
        <v>0</v>
      </c>
      <c r="W110" s="3762">
        <v>0</v>
      </c>
      <c r="X110" s="3850" t="s">
        <v>77</v>
      </c>
      <c r="Y110" s="3859"/>
    </row>
    <row r="111" spans="1:28" s="3560" customFormat="1" ht="13.5" customHeight="1">
      <c r="A111" s="3759"/>
      <c r="B111" s="3692" t="s">
        <v>34</v>
      </c>
      <c r="C111" s="3693"/>
      <c r="D111" s="3659">
        <f>+D112+D114</f>
        <v>17441278</v>
      </c>
      <c r="E111" s="3659">
        <f>E115</f>
        <v>0</v>
      </c>
      <c r="F111" s="3659">
        <f>F115</f>
        <v>0</v>
      </c>
      <c r="G111" s="3659">
        <f>G115</f>
        <v>0</v>
      </c>
      <c r="H111" s="3659">
        <f>H115</f>
        <v>0</v>
      </c>
      <c r="I111" s="3659">
        <f t="shared" ref="I111:N111" si="122">+I114</f>
        <v>0</v>
      </c>
      <c r="J111" s="3659">
        <f t="shared" si="122"/>
        <v>0</v>
      </c>
      <c r="K111" s="3659">
        <f t="shared" si="122"/>
        <v>0</v>
      </c>
      <c r="L111" s="3659">
        <f t="shared" si="122"/>
        <v>0</v>
      </c>
      <c r="M111" s="3659">
        <f t="shared" si="122"/>
        <v>0</v>
      </c>
      <c r="N111" s="3659">
        <f t="shared" si="122"/>
        <v>0</v>
      </c>
      <c r="O111" s="3659">
        <f>+O112+O114</f>
        <v>16523894</v>
      </c>
      <c r="P111" s="3659">
        <f>+P114+P112</f>
        <v>917384</v>
      </c>
      <c r="Q111" s="3721">
        <f t="shared" ref="Q111:W111" si="123">+Q114</f>
        <v>0</v>
      </c>
      <c r="R111" s="3721">
        <f t="shared" si="123"/>
        <v>0</v>
      </c>
      <c r="S111" s="3721">
        <f t="shared" si="123"/>
        <v>0</v>
      </c>
      <c r="T111" s="3721">
        <f t="shared" si="123"/>
        <v>0</v>
      </c>
      <c r="U111" s="3721">
        <f t="shared" si="123"/>
        <v>0</v>
      </c>
      <c r="V111" s="3721">
        <f t="shared" si="123"/>
        <v>0</v>
      </c>
      <c r="W111" s="3721">
        <f t="shared" si="123"/>
        <v>0</v>
      </c>
      <c r="X111" s="3638" t="s">
        <v>77</v>
      </c>
      <c r="Y111" s="3859"/>
    </row>
    <row r="112" spans="1:28" s="3560" customFormat="1" ht="13.5" customHeight="1">
      <c r="A112" s="3759"/>
      <c r="B112" s="3666" t="s">
        <v>36</v>
      </c>
      <c r="C112" s="3799">
        <v>75861</v>
      </c>
      <c r="D112" s="3862">
        <f>+D113</f>
        <v>3055404</v>
      </c>
      <c r="E112" s="3862"/>
      <c r="F112" s="3862"/>
      <c r="G112" s="3862"/>
      <c r="H112" s="3862"/>
      <c r="I112" s="3862"/>
      <c r="J112" s="3862"/>
      <c r="K112" s="3862"/>
      <c r="L112" s="3862"/>
      <c r="M112" s="3862"/>
      <c r="N112" s="3862"/>
      <c r="O112" s="3862">
        <f>+O113</f>
        <v>2138949</v>
      </c>
      <c r="P112" s="3862">
        <f>+P113</f>
        <v>916455</v>
      </c>
      <c r="Q112" s="3747"/>
      <c r="R112" s="3747"/>
      <c r="S112" s="3747"/>
      <c r="T112" s="3747"/>
      <c r="U112" s="3747"/>
      <c r="V112" s="3747"/>
      <c r="W112" s="3747"/>
      <c r="X112" s="3639"/>
      <c r="Y112" s="3859"/>
    </row>
    <row r="113" spans="1:27" s="3560" customFormat="1" ht="13.5" customHeight="1">
      <c r="A113" s="3759"/>
      <c r="B113" s="3674" t="s">
        <v>25</v>
      </c>
      <c r="C113" s="3764"/>
      <c r="D113" s="3676">
        <f>M113+O113+P113+Q113+R113+S113+T113+U113+V113+W113</f>
        <v>3055404</v>
      </c>
      <c r="E113" s="3676"/>
      <c r="F113" s="3676"/>
      <c r="G113" s="3676"/>
      <c r="H113" s="3676"/>
      <c r="I113" s="3676"/>
      <c r="J113" s="3676"/>
      <c r="K113" s="3676"/>
      <c r="L113" s="3676"/>
      <c r="M113" s="3676">
        <f>+L113+K113+J113+I113+E113+N113</f>
        <v>0</v>
      </c>
      <c r="N113" s="3676">
        <v>0</v>
      </c>
      <c r="O113" s="3676">
        <f>3056332-917383</f>
        <v>2138949</v>
      </c>
      <c r="P113" s="3676">
        <f>917383-928</f>
        <v>916455</v>
      </c>
      <c r="Q113" s="3730">
        <v>0</v>
      </c>
      <c r="R113" s="3730">
        <v>0</v>
      </c>
      <c r="S113" s="3730">
        <v>0</v>
      </c>
      <c r="T113" s="3730">
        <v>0</v>
      </c>
      <c r="U113" s="3730">
        <v>0</v>
      </c>
      <c r="V113" s="3730">
        <v>0</v>
      </c>
      <c r="W113" s="3730">
        <v>0</v>
      </c>
      <c r="X113" s="3639"/>
      <c r="Y113" s="3859"/>
    </row>
    <row r="114" spans="1:27" s="3560" customFormat="1" ht="13.5" customHeight="1">
      <c r="A114" s="3759"/>
      <c r="B114" s="3684" t="s">
        <v>30</v>
      </c>
      <c r="C114" s="3675" t="s">
        <v>35</v>
      </c>
      <c r="D114" s="3862">
        <f>+D115</f>
        <v>14385874</v>
      </c>
      <c r="E114" s="3696">
        <f t="shared" ref="E114:M114" si="124">+E115</f>
        <v>0</v>
      </c>
      <c r="F114" s="3696">
        <f t="shared" si="124"/>
        <v>0</v>
      </c>
      <c r="G114" s="3696">
        <f t="shared" si="124"/>
        <v>0</v>
      </c>
      <c r="H114" s="3696">
        <f t="shared" si="124"/>
        <v>0</v>
      </c>
      <c r="I114" s="3696">
        <f t="shared" si="124"/>
        <v>0</v>
      </c>
      <c r="J114" s="3696">
        <f t="shared" si="124"/>
        <v>0</v>
      </c>
      <c r="K114" s="3696">
        <f t="shared" si="124"/>
        <v>0</v>
      </c>
      <c r="L114" s="3696">
        <f t="shared" si="124"/>
        <v>0</v>
      </c>
      <c r="M114" s="3696">
        <f t="shared" si="124"/>
        <v>0</v>
      </c>
      <c r="N114" s="3696">
        <f t="shared" ref="N114:W114" si="125">+N115</f>
        <v>0</v>
      </c>
      <c r="O114" s="3862">
        <f t="shared" si="125"/>
        <v>14384945</v>
      </c>
      <c r="P114" s="3862">
        <f t="shared" si="125"/>
        <v>929</v>
      </c>
      <c r="Q114" s="3747">
        <f t="shared" si="125"/>
        <v>0</v>
      </c>
      <c r="R114" s="3747">
        <f t="shared" si="125"/>
        <v>0</v>
      </c>
      <c r="S114" s="3747">
        <f t="shared" si="125"/>
        <v>0</v>
      </c>
      <c r="T114" s="3851">
        <f t="shared" si="125"/>
        <v>0</v>
      </c>
      <c r="U114" s="3747">
        <f t="shared" si="125"/>
        <v>0</v>
      </c>
      <c r="V114" s="3747">
        <f t="shared" si="125"/>
        <v>0</v>
      </c>
      <c r="W114" s="3851">
        <f t="shared" si="125"/>
        <v>0</v>
      </c>
      <c r="X114" s="3639"/>
      <c r="Y114" s="3859"/>
    </row>
    <row r="115" spans="1:27" s="3560" customFormat="1" ht="14.25" customHeight="1" thickBot="1">
      <c r="A115" s="3775"/>
      <c r="B115" s="3853" t="s">
        <v>48</v>
      </c>
      <c r="C115" s="3854"/>
      <c r="D115" s="3676">
        <f>M115+O115+P115+Q115+R115+S115+T115+U115+V115+W115</f>
        <v>14385874</v>
      </c>
      <c r="E115" s="3753">
        <v>0</v>
      </c>
      <c r="F115" s="3753"/>
      <c r="G115" s="3753"/>
      <c r="H115" s="3753"/>
      <c r="I115" s="3753">
        <v>0</v>
      </c>
      <c r="J115" s="3753">
        <v>0</v>
      </c>
      <c r="K115" s="3753">
        <v>0</v>
      </c>
      <c r="L115" s="3753">
        <v>0</v>
      </c>
      <c r="M115" s="3676">
        <f>+L115+K115+J115+I115+E115+N115</f>
        <v>0</v>
      </c>
      <c r="N115" s="3753">
        <f>1599973-1599973</f>
        <v>0</v>
      </c>
      <c r="O115" s="3753">
        <f>10836665+2500207+1053375-678564+673262</f>
        <v>14384945</v>
      </c>
      <c r="P115" s="3863">
        <f>678564-677635</f>
        <v>929</v>
      </c>
      <c r="Q115" s="3754">
        <v>0</v>
      </c>
      <c r="R115" s="3754">
        <v>0</v>
      </c>
      <c r="S115" s="3754">
        <v>0</v>
      </c>
      <c r="T115" s="3754">
        <v>0</v>
      </c>
      <c r="U115" s="3778">
        <v>0</v>
      </c>
      <c r="V115" s="3779">
        <v>0</v>
      </c>
      <c r="W115" s="3855">
        <v>0</v>
      </c>
      <c r="X115" s="3646"/>
      <c r="Y115" s="3864"/>
    </row>
    <row r="116" spans="1:27" s="3665" customFormat="1" ht="37.5" customHeight="1">
      <c r="A116" s="3755" t="s">
        <v>107</v>
      </c>
      <c r="B116" s="3756" t="s">
        <v>386</v>
      </c>
      <c r="C116" s="3649" t="s">
        <v>130</v>
      </c>
      <c r="D116" s="3708"/>
      <c r="E116" s="3757"/>
      <c r="F116" s="3757"/>
      <c r="G116" s="3757"/>
      <c r="H116" s="3757"/>
      <c r="I116" s="3757"/>
      <c r="J116" s="3710"/>
      <c r="K116" s="3710"/>
      <c r="L116" s="3710"/>
      <c r="M116" s="3710"/>
      <c r="N116" s="3710"/>
      <c r="O116" s="3710"/>
      <c r="P116" s="3710"/>
      <c r="Q116" s="3710"/>
      <c r="R116" s="3710"/>
      <c r="S116" s="3710"/>
      <c r="T116" s="3710"/>
      <c r="U116" s="3710"/>
      <c r="V116" s="3711"/>
      <c r="W116" s="3708"/>
      <c r="X116" s="3712"/>
      <c r="Y116" s="3865" t="s">
        <v>547</v>
      </c>
    </row>
    <row r="117" spans="1:27" s="3665" customFormat="1" ht="14.25" customHeight="1">
      <c r="A117" s="3781"/>
      <c r="B117" s="3692" t="s">
        <v>22</v>
      </c>
      <c r="C117" s="3866"/>
      <c r="D117" s="3867">
        <f>+D118</f>
        <v>8000000</v>
      </c>
      <c r="E117" s="3867">
        <f>+E118</f>
        <v>0</v>
      </c>
      <c r="F117" s="3867">
        <f t="shared" ref="F117:X117" si="126">+F118</f>
        <v>0</v>
      </c>
      <c r="G117" s="3867">
        <f t="shared" si="126"/>
        <v>0</v>
      </c>
      <c r="H117" s="3867">
        <f t="shared" si="126"/>
        <v>0</v>
      </c>
      <c r="I117" s="3867">
        <f t="shared" si="126"/>
        <v>0</v>
      </c>
      <c r="J117" s="3867">
        <f t="shared" si="126"/>
        <v>0</v>
      </c>
      <c r="K117" s="3867">
        <f t="shared" si="126"/>
        <v>0</v>
      </c>
      <c r="L117" s="3867">
        <f t="shared" si="126"/>
        <v>0</v>
      </c>
      <c r="M117" s="3867">
        <f t="shared" si="126"/>
        <v>0</v>
      </c>
      <c r="N117" s="3867">
        <f t="shared" si="126"/>
        <v>0</v>
      </c>
      <c r="O117" s="3867">
        <f t="shared" si="126"/>
        <v>0</v>
      </c>
      <c r="P117" s="3867">
        <f t="shared" si="126"/>
        <v>685714</v>
      </c>
      <c r="Q117" s="3867">
        <f t="shared" si="126"/>
        <v>685714</v>
      </c>
      <c r="R117" s="3867">
        <f t="shared" si="126"/>
        <v>685714</v>
      </c>
      <c r="S117" s="3867">
        <f t="shared" si="126"/>
        <v>685714</v>
      </c>
      <c r="T117" s="3867">
        <f t="shared" si="126"/>
        <v>685714</v>
      </c>
      <c r="U117" s="3867">
        <f t="shared" si="126"/>
        <v>685714</v>
      </c>
      <c r="V117" s="3868">
        <f t="shared" si="126"/>
        <v>685714</v>
      </c>
      <c r="W117" s="3868">
        <f t="shared" si="126"/>
        <v>685714</v>
      </c>
      <c r="X117" s="3869">
        <f t="shared" si="126"/>
        <v>8000000</v>
      </c>
      <c r="Y117" s="3870"/>
    </row>
    <row r="118" spans="1:27" s="3739" customFormat="1" ht="15.75" customHeight="1">
      <c r="A118" s="3781"/>
      <c r="B118" s="3666" t="s">
        <v>36</v>
      </c>
      <c r="C118" s="3824" t="s">
        <v>159</v>
      </c>
      <c r="D118" s="3834">
        <f>+D119+D120</f>
        <v>8000000</v>
      </c>
      <c r="E118" s="3834">
        <f t="shared" ref="E118:L118" si="127">+E121</f>
        <v>0</v>
      </c>
      <c r="F118" s="3834">
        <f t="shared" si="127"/>
        <v>0</v>
      </c>
      <c r="G118" s="3834">
        <f t="shared" si="127"/>
        <v>0</v>
      </c>
      <c r="H118" s="3834">
        <f t="shared" si="127"/>
        <v>0</v>
      </c>
      <c r="I118" s="3834">
        <f t="shared" si="127"/>
        <v>0</v>
      </c>
      <c r="J118" s="3834">
        <f t="shared" si="127"/>
        <v>0</v>
      </c>
      <c r="K118" s="3834">
        <f t="shared" si="127"/>
        <v>0</v>
      </c>
      <c r="L118" s="3834">
        <f t="shared" si="127"/>
        <v>0</v>
      </c>
      <c r="M118" s="3668">
        <f t="shared" ref="M118" si="128">+M119+M121</f>
        <v>0</v>
      </c>
      <c r="N118" s="3834">
        <f>+N119+N121</f>
        <v>0</v>
      </c>
      <c r="O118" s="3834">
        <f>+O119+O120</f>
        <v>0</v>
      </c>
      <c r="P118" s="3834">
        <f t="shared" ref="P118:T118" si="129">+P119+P120</f>
        <v>685714</v>
      </c>
      <c r="Q118" s="3834">
        <f t="shared" si="129"/>
        <v>685714</v>
      </c>
      <c r="R118" s="3834">
        <f t="shared" si="129"/>
        <v>685714</v>
      </c>
      <c r="S118" s="3834">
        <f t="shared" si="129"/>
        <v>685714</v>
      </c>
      <c r="T118" s="3834">
        <f t="shared" si="129"/>
        <v>685714</v>
      </c>
      <c r="U118" s="3834">
        <f t="shared" ref="U118:W118" si="130">+U119+U120</f>
        <v>685714</v>
      </c>
      <c r="V118" s="3871">
        <f t="shared" si="130"/>
        <v>685714</v>
      </c>
      <c r="W118" s="3871">
        <f t="shared" si="130"/>
        <v>685714</v>
      </c>
      <c r="X118" s="3825">
        <f>+X119+X120</f>
        <v>8000000</v>
      </c>
      <c r="Y118" s="3870"/>
    </row>
    <row r="119" spans="1:27" s="3739" customFormat="1" ht="13.5" hidden="1" customHeight="1">
      <c r="A119" s="3781"/>
      <c r="B119" s="3872" t="s">
        <v>156</v>
      </c>
      <c r="C119" s="3826"/>
      <c r="D119" s="3836">
        <v>0</v>
      </c>
      <c r="E119" s="3836"/>
      <c r="F119" s="3837"/>
      <c r="G119" s="3873"/>
      <c r="H119" s="3873"/>
      <c r="I119" s="3874"/>
      <c r="J119" s="3874"/>
      <c r="K119" s="3874"/>
      <c r="L119" s="3836"/>
      <c r="M119" s="3793">
        <v>0</v>
      </c>
      <c r="N119" s="3874">
        <v>0</v>
      </c>
      <c r="O119" s="3874">
        <v>0</v>
      </c>
      <c r="P119" s="3874">
        <v>0</v>
      </c>
      <c r="Q119" s="3874">
        <v>0</v>
      </c>
      <c r="R119" s="3874">
        <v>0</v>
      </c>
      <c r="S119" s="3874">
        <v>0</v>
      </c>
      <c r="T119" s="3874">
        <v>0</v>
      </c>
      <c r="U119" s="3874"/>
      <c r="V119" s="3875"/>
      <c r="W119" s="3876"/>
      <c r="X119" s="3593">
        <f>SUM(P119:W119)</f>
        <v>0</v>
      </c>
      <c r="Y119" s="3870"/>
    </row>
    <row r="120" spans="1:27" s="3739" customFormat="1" ht="15" customHeight="1" thickBot="1">
      <c r="A120" s="3877"/>
      <c r="B120" s="3841" t="s">
        <v>160</v>
      </c>
      <c r="C120" s="3842"/>
      <c r="D120" s="3735">
        <f>M120+O120+P120+Q120+R120+S120+T120+U120+V120+W120+685714+685714+685714+457146</f>
        <v>8000000</v>
      </c>
      <c r="E120" s="3843">
        <v>0</v>
      </c>
      <c r="F120" s="3844"/>
      <c r="G120" s="3845"/>
      <c r="H120" s="3845"/>
      <c r="I120" s="3832">
        <v>0</v>
      </c>
      <c r="J120" s="3818">
        <v>0</v>
      </c>
      <c r="K120" s="3818">
        <v>0</v>
      </c>
      <c r="L120" s="3843">
        <v>0</v>
      </c>
      <c r="M120" s="3752">
        <v>0</v>
      </c>
      <c r="N120" s="3818">
        <v>0</v>
      </c>
      <c r="O120" s="3874">
        <v>0</v>
      </c>
      <c r="P120" s="3874">
        <f>1000000-314286</f>
        <v>685714</v>
      </c>
      <c r="Q120" s="3874">
        <f>1000000-314286</f>
        <v>685714</v>
      </c>
      <c r="R120" s="3874">
        <f>1000000-314286</f>
        <v>685714</v>
      </c>
      <c r="S120" s="3874">
        <f>1000000-314286</f>
        <v>685714</v>
      </c>
      <c r="T120" s="3874">
        <f>1000000-314286</f>
        <v>685714</v>
      </c>
      <c r="U120" s="3874">
        <f t="shared" ref="U120:W120" si="131">1000000-314286</f>
        <v>685714</v>
      </c>
      <c r="V120" s="3875">
        <f t="shared" si="131"/>
        <v>685714</v>
      </c>
      <c r="W120" s="3875">
        <f t="shared" si="131"/>
        <v>685714</v>
      </c>
      <c r="X120" s="3878">
        <f>SUM(P120:W120)+685714+685714+685714+457146</f>
        <v>8000000</v>
      </c>
      <c r="Y120" s="3879"/>
      <c r="Z120" s="3875">
        <f>685714+685714+685714+457146</f>
        <v>2514288</v>
      </c>
    </row>
    <row r="121" spans="1:27" s="3665" customFormat="1" ht="26.25" customHeight="1">
      <c r="A121" s="3755" t="s">
        <v>108</v>
      </c>
      <c r="B121" s="3831" t="s">
        <v>312</v>
      </c>
      <c r="C121" s="3649" t="s">
        <v>130</v>
      </c>
      <c r="D121" s="3708"/>
      <c r="E121" s="3757"/>
      <c r="F121" s="3757"/>
      <c r="G121" s="3757"/>
      <c r="H121" s="3757"/>
      <c r="I121" s="3757"/>
      <c r="J121" s="3710"/>
      <c r="K121" s="3710"/>
      <c r="L121" s="3710"/>
      <c r="M121" s="3710"/>
      <c r="N121" s="3710"/>
      <c r="O121" s="3710"/>
      <c r="P121" s="3710"/>
      <c r="Q121" s="3710"/>
      <c r="R121" s="3710"/>
      <c r="S121" s="3710"/>
      <c r="T121" s="3710"/>
      <c r="U121" s="3710"/>
      <c r="V121" s="3711"/>
      <c r="W121" s="3708"/>
      <c r="X121" s="3712"/>
      <c r="Y121" s="3865" t="s">
        <v>549</v>
      </c>
    </row>
    <row r="122" spans="1:27" s="3665" customFormat="1" ht="13.5" customHeight="1">
      <c r="A122" s="3781"/>
      <c r="B122" s="3692" t="s">
        <v>22</v>
      </c>
      <c r="C122" s="3693"/>
      <c r="D122" s="3659">
        <f>+D123</f>
        <v>6000000</v>
      </c>
      <c r="E122" s="3659">
        <f>+E123</f>
        <v>0</v>
      </c>
      <c r="F122" s="3659">
        <f t="shared" ref="F122:W122" si="132">+F123</f>
        <v>0</v>
      </c>
      <c r="G122" s="3659">
        <f t="shared" si="132"/>
        <v>0</v>
      </c>
      <c r="H122" s="3659">
        <f t="shared" si="132"/>
        <v>0</v>
      </c>
      <c r="I122" s="3659">
        <f t="shared" si="132"/>
        <v>0</v>
      </c>
      <c r="J122" s="3659">
        <f t="shared" si="132"/>
        <v>0</v>
      </c>
      <c r="K122" s="3659">
        <f t="shared" si="132"/>
        <v>0</v>
      </c>
      <c r="L122" s="3659">
        <f t="shared" si="132"/>
        <v>0</v>
      </c>
      <c r="M122" s="3659">
        <f t="shared" si="132"/>
        <v>0</v>
      </c>
      <c r="N122" s="3659">
        <f t="shared" si="132"/>
        <v>0</v>
      </c>
      <c r="O122" s="3659">
        <f t="shared" si="132"/>
        <v>1027241</v>
      </c>
      <c r="P122" s="3659">
        <f t="shared" si="132"/>
        <v>1629446</v>
      </c>
      <c r="Q122" s="3659">
        <f t="shared" si="132"/>
        <v>1570232</v>
      </c>
      <c r="R122" s="3659">
        <f t="shared" si="132"/>
        <v>1511018</v>
      </c>
      <c r="S122" s="3659">
        <f t="shared" si="132"/>
        <v>262063</v>
      </c>
      <c r="T122" s="3721">
        <f t="shared" si="132"/>
        <v>0</v>
      </c>
      <c r="U122" s="3721">
        <f t="shared" si="132"/>
        <v>0</v>
      </c>
      <c r="V122" s="3722">
        <f t="shared" si="132"/>
        <v>0</v>
      </c>
      <c r="W122" s="3722">
        <f t="shared" si="132"/>
        <v>0</v>
      </c>
      <c r="X122" s="3723">
        <f>+X123</f>
        <v>4972759</v>
      </c>
      <c r="Y122" s="3870"/>
    </row>
    <row r="123" spans="1:27" s="3739" customFormat="1" ht="13.5" customHeight="1">
      <c r="A123" s="3781"/>
      <c r="B123" s="3666" t="s">
        <v>36</v>
      </c>
      <c r="C123" s="3824" t="s">
        <v>159</v>
      </c>
      <c r="D123" s="3834">
        <f>+D124+D125</f>
        <v>6000000</v>
      </c>
      <c r="E123" s="3834">
        <f t="shared" ref="E123:L123" si="133">+E125</f>
        <v>0</v>
      </c>
      <c r="F123" s="3834">
        <f t="shared" si="133"/>
        <v>0</v>
      </c>
      <c r="G123" s="3834">
        <f t="shared" si="133"/>
        <v>0</v>
      </c>
      <c r="H123" s="3834">
        <f t="shared" si="133"/>
        <v>0</v>
      </c>
      <c r="I123" s="3834">
        <f t="shared" si="133"/>
        <v>0</v>
      </c>
      <c r="J123" s="3834">
        <f t="shared" si="133"/>
        <v>0</v>
      </c>
      <c r="K123" s="3834">
        <f t="shared" si="133"/>
        <v>0</v>
      </c>
      <c r="L123" s="3834">
        <f t="shared" si="133"/>
        <v>0</v>
      </c>
      <c r="M123" s="3668">
        <f t="shared" ref="M123" si="134">+M124+M125</f>
        <v>0</v>
      </c>
      <c r="N123" s="3834">
        <f>+N124+N125</f>
        <v>0</v>
      </c>
      <c r="O123" s="3834">
        <f>+O124+O125</f>
        <v>1027241</v>
      </c>
      <c r="P123" s="3834">
        <f>+P124+P125</f>
        <v>1629446</v>
      </c>
      <c r="Q123" s="3834">
        <f>+Q124+Q125</f>
        <v>1570232</v>
      </c>
      <c r="R123" s="3834">
        <f>+R124+R125</f>
        <v>1511018</v>
      </c>
      <c r="S123" s="3834">
        <f t="shared" ref="S123:T123" si="135">+S124+S125</f>
        <v>262063</v>
      </c>
      <c r="T123" s="3880">
        <f t="shared" si="135"/>
        <v>0</v>
      </c>
      <c r="U123" s="3880">
        <f t="shared" ref="U123:W123" si="136">+U124+U125</f>
        <v>0</v>
      </c>
      <c r="V123" s="3881">
        <f t="shared" si="136"/>
        <v>0</v>
      </c>
      <c r="W123" s="3881">
        <f t="shared" si="136"/>
        <v>0</v>
      </c>
      <c r="X123" s="3825">
        <f>+X125</f>
        <v>4972759</v>
      </c>
      <c r="Y123" s="3870"/>
      <c r="AA123" s="3882"/>
    </row>
    <row r="124" spans="1:27" s="3739" customFormat="1" ht="13.5" customHeight="1">
      <c r="A124" s="3781"/>
      <c r="B124" s="3729" t="s">
        <v>156</v>
      </c>
      <c r="C124" s="3826"/>
      <c r="D124" s="3676">
        <f t="shared" ref="D124:D125" si="137">M124+O124+P124+Q124+R124+S124+T124+U124+V124+W124</f>
        <v>1027241</v>
      </c>
      <c r="E124" s="3836"/>
      <c r="F124" s="3837"/>
      <c r="G124" s="3838"/>
      <c r="H124" s="3838"/>
      <c r="I124" s="3735"/>
      <c r="J124" s="3735"/>
      <c r="K124" s="3735"/>
      <c r="L124" s="3839"/>
      <c r="M124" s="3676">
        <f t="shared" ref="M124:M125" si="138">+L124+K124+J124+I124+E124+N124</f>
        <v>0</v>
      </c>
      <c r="N124" s="3735">
        <v>0</v>
      </c>
      <c r="O124" s="3735">
        <v>1027241</v>
      </c>
      <c r="P124" s="3735">
        <v>0</v>
      </c>
      <c r="Q124" s="3735">
        <v>0</v>
      </c>
      <c r="R124" s="3735">
        <v>0</v>
      </c>
      <c r="S124" s="3735">
        <v>0</v>
      </c>
      <c r="T124" s="3736">
        <v>0</v>
      </c>
      <c r="U124" s="3736">
        <v>0</v>
      </c>
      <c r="V124" s="3737">
        <v>0</v>
      </c>
      <c r="W124" s="3737">
        <v>0</v>
      </c>
      <c r="X124" s="3883" t="s">
        <v>77</v>
      </c>
      <c r="Y124" s="3870"/>
    </row>
    <row r="125" spans="1:27" s="3739" customFormat="1" ht="13.5" customHeight="1" thickBot="1">
      <c r="A125" s="3828"/>
      <c r="B125" s="3841" t="s">
        <v>160</v>
      </c>
      <c r="C125" s="3842"/>
      <c r="D125" s="3676">
        <f t="shared" si="137"/>
        <v>4972759</v>
      </c>
      <c r="E125" s="3843">
        <v>0</v>
      </c>
      <c r="F125" s="3844"/>
      <c r="G125" s="3845"/>
      <c r="H125" s="3845"/>
      <c r="I125" s="3832">
        <v>0</v>
      </c>
      <c r="J125" s="3818">
        <v>0</v>
      </c>
      <c r="K125" s="3818">
        <v>0</v>
      </c>
      <c r="L125" s="3843">
        <v>0</v>
      </c>
      <c r="M125" s="3676">
        <f t="shared" si="138"/>
        <v>0</v>
      </c>
      <c r="N125" s="3818">
        <v>0</v>
      </c>
      <c r="O125" s="3832">
        <v>0</v>
      </c>
      <c r="P125" s="3818">
        <v>1629446</v>
      </c>
      <c r="Q125" s="3818">
        <v>1570232</v>
      </c>
      <c r="R125" s="3818">
        <v>1511018</v>
      </c>
      <c r="S125" s="3818">
        <v>262063</v>
      </c>
      <c r="T125" s="3819">
        <v>0</v>
      </c>
      <c r="U125" s="3819">
        <v>0</v>
      </c>
      <c r="V125" s="3820">
        <v>0</v>
      </c>
      <c r="W125" s="3820">
        <v>0</v>
      </c>
      <c r="X125" s="3884">
        <f>SUM(P125:W125)</f>
        <v>4972759</v>
      </c>
      <c r="Y125" s="3848"/>
    </row>
    <row r="126" spans="1:27" s="3739" customFormat="1" ht="48.75" customHeight="1">
      <c r="A126" s="3755" t="s">
        <v>109</v>
      </c>
      <c r="B126" s="3831" t="s">
        <v>396</v>
      </c>
      <c r="C126" s="3649" t="s">
        <v>130</v>
      </c>
      <c r="D126" s="3708"/>
      <c r="E126" s="3757"/>
      <c r="F126" s="3757"/>
      <c r="G126" s="3757"/>
      <c r="H126" s="3757"/>
      <c r="I126" s="3757"/>
      <c r="J126" s="3710"/>
      <c r="K126" s="3710"/>
      <c r="L126" s="3710"/>
      <c r="M126" s="3710"/>
      <c r="N126" s="3710"/>
      <c r="O126" s="3710"/>
      <c r="P126" s="3710"/>
      <c r="Q126" s="3710"/>
      <c r="R126" s="3710"/>
      <c r="S126" s="3710"/>
      <c r="T126" s="3710"/>
      <c r="U126" s="3757"/>
      <c r="V126" s="3757"/>
      <c r="W126" s="3885"/>
      <c r="X126" s="3886"/>
      <c r="Y126" s="3822" t="s">
        <v>551</v>
      </c>
    </row>
    <row r="127" spans="1:27" s="3739" customFormat="1" ht="13.5" customHeight="1">
      <c r="A127" s="3781"/>
      <c r="B127" s="3692" t="s">
        <v>22</v>
      </c>
      <c r="C127" s="3693"/>
      <c r="D127" s="3659">
        <f>+D130</f>
        <v>2799999.6399999997</v>
      </c>
      <c r="E127" s="3659"/>
      <c r="F127" s="3659"/>
      <c r="G127" s="3659"/>
      <c r="H127" s="3659"/>
      <c r="I127" s="3659"/>
      <c r="J127" s="3659"/>
      <c r="K127" s="3659"/>
      <c r="L127" s="3659"/>
      <c r="M127" s="3659"/>
      <c r="N127" s="3659"/>
      <c r="O127" s="3659"/>
      <c r="P127" s="3659">
        <f t="shared" ref="P127:W127" si="139">+P128</f>
        <v>116666.64</v>
      </c>
      <c r="Q127" s="3659">
        <f t="shared" si="139"/>
        <v>233333</v>
      </c>
      <c r="R127" s="3659">
        <f t="shared" si="139"/>
        <v>233333</v>
      </c>
      <c r="S127" s="3659">
        <f t="shared" si="139"/>
        <v>233333</v>
      </c>
      <c r="T127" s="3659">
        <f t="shared" si="139"/>
        <v>233333</v>
      </c>
      <c r="U127" s="3659">
        <f t="shared" si="139"/>
        <v>233333</v>
      </c>
      <c r="V127" s="3659">
        <f t="shared" si="139"/>
        <v>233333</v>
      </c>
      <c r="W127" s="3659">
        <f t="shared" si="139"/>
        <v>233333</v>
      </c>
      <c r="X127" s="3887">
        <f>+X128</f>
        <v>2799999.6399999997</v>
      </c>
      <c r="Y127" s="3823"/>
    </row>
    <row r="128" spans="1:27" s="3739" customFormat="1" ht="13.5" customHeight="1">
      <c r="A128" s="3781"/>
      <c r="B128" s="3666" t="s">
        <v>36</v>
      </c>
      <c r="C128" s="3824" t="s">
        <v>159</v>
      </c>
      <c r="D128" s="3834">
        <f>+D130</f>
        <v>2799999.6399999997</v>
      </c>
      <c r="E128" s="3834"/>
      <c r="F128" s="3834"/>
      <c r="G128" s="3834"/>
      <c r="H128" s="3834"/>
      <c r="I128" s="3834"/>
      <c r="J128" s="3834"/>
      <c r="K128" s="3834"/>
      <c r="L128" s="3834"/>
      <c r="M128" s="3668"/>
      <c r="N128" s="3834"/>
      <c r="O128" s="3834"/>
      <c r="P128" s="3834">
        <f>+P129+P130</f>
        <v>116666.64</v>
      </c>
      <c r="Q128" s="3834">
        <f>+Q129+Q130</f>
        <v>233333</v>
      </c>
      <c r="R128" s="3834">
        <f>+R129+R130</f>
        <v>233333</v>
      </c>
      <c r="S128" s="3834">
        <f t="shared" ref="S128:W128" si="140">+S129+S130</f>
        <v>233333</v>
      </c>
      <c r="T128" s="3834">
        <f t="shared" si="140"/>
        <v>233333</v>
      </c>
      <c r="U128" s="3834">
        <f t="shared" si="140"/>
        <v>233333</v>
      </c>
      <c r="V128" s="3834">
        <f t="shared" si="140"/>
        <v>233333</v>
      </c>
      <c r="W128" s="3834">
        <f t="shared" si="140"/>
        <v>233333</v>
      </c>
      <c r="X128" s="3825">
        <f>+X130</f>
        <v>2799999.6399999997</v>
      </c>
      <c r="Y128" s="3823"/>
    </row>
    <row r="129" spans="1:31" s="3739" customFormat="1" ht="12.75" hidden="1" customHeight="1">
      <c r="A129" s="3781"/>
      <c r="B129" s="3729" t="s">
        <v>156</v>
      </c>
      <c r="C129" s="3826"/>
      <c r="D129" s="3676"/>
      <c r="E129" s="3836"/>
      <c r="F129" s="3837"/>
      <c r="G129" s="3838"/>
      <c r="H129" s="3838"/>
      <c r="I129" s="3735"/>
      <c r="J129" s="3735"/>
      <c r="K129" s="3735"/>
      <c r="L129" s="3839"/>
      <c r="M129" s="3676"/>
      <c r="N129" s="3735"/>
      <c r="O129" s="3735"/>
      <c r="P129" s="3735">
        <v>0</v>
      </c>
      <c r="Q129" s="3735">
        <v>0</v>
      </c>
      <c r="R129" s="3735">
        <v>0</v>
      </c>
      <c r="S129" s="3735">
        <v>0</v>
      </c>
      <c r="T129" s="3735">
        <v>0</v>
      </c>
      <c r="U129" s="3735"/>
      <c r="V129" s="3735"/>
      <c r="W129" s="3735"/>
      <c r="X129" s="3598"/>
      <c r="Y129" s="3823"/>
    </row>
    <row r="130" spans="1:31" s="3739" customFormat="1" ht="13.5" customHeight="1" thickBot="1">
      <c r="A130" s="3828"/>
      <c r="B130" s="3841" t="s">
        <v>160</v>
      </c>
      <c r="C130" s="3842"/>
      <c r="D130" s="3752">
        <f>+X130</f>
        <v>2799999.6399999997</v>
      </c>
      <c r="E130" s="3843"/>
      <c r="F130" s="3844"/>
      <c r="G130" s="3845"/>
      <c r="H130" s="3845"/>
      <c r="I130" s="3832"/>
      <c r="J130" s="3818"/>
      <c r="K130" s="3818"/>
      <c r="L130" s="3843"/>
      <c r="M130" s="3752"/>
      <c r="N130" s="3818"/>
      <c r="O130" s="3832"/>
      <c r="P130" s="3818">
        <v>116666.64</v>
      </c>
      <c r="Q130" s="3818">
        <v>233333</v>
      </c>
      <c r="R130" s="3818">
        <v>233333</v>
      </c>
      <c r="S130" s="3818">
        <v>233333</v>
      </c>
      <c r="T130" s="3818">
        <v>233333</v>
      </c>
      <c r="U130" s="3818">
        <v>233333</v>
      </c>
      <c r="V130" s="3818">
        <v>233333</v>
      </c>
      <c r="W130" s="3818">
        <v>233333</v>
      </c>
      <c r="X130" s="3888">
        <f>+W130+V130+U130+T130+S130+R130+Q130+P130+1050002</f>
        <v>2799999.6399999997</v>
      </c>
      <c r="Y130" s="3848"/>
      <c r="Z130" s="3739">
        <v>1050002</v>
      </c>
    </row>
    <row r="131" spans="1:31" s="3898" customFormat="1" ht="26.25" hidden="1" customHeight="1">
      <c r="A131" s="3889" t="s">
        <v>110</v>
      </c>
      <c r="B131" s="3890" t="s">
        <v>538</v>
      </c>
      <c r="C131" s="3891" t="s">
        <v>98</v>
      </c>
      <c r="D131" s="3892"/>
      <c r="E131" s="3893"/>
      <c r="F131" s="3893"/>
      <c r="G131" s="3893"/>
      <c r="H131" s="3893"/>
      <c r="I131" s="3893"/>
      <c r="J131" s="3894"/>
      <c r="K131" s="3894"/>
      <c r="L131" s="3894"/>
      <c r="M131" s="3894"/>
      <c r="N131" s="3894"/>
      <c r="O131" s="3894"/>
      <c r="P131" s="3894"/>
      <c r="Q131" s="3894"/>
      <c r="R131" s="3894"/>
      <c r="S131" s="3894"/>
      <c r="T131" s="3894"/>
      <c r="U131" s="3894"/>
      <c r="V131" s="3895"/>
      <c r="W131" s="3892"/>
      <c r="X131" s="3896"/>
      <c r="Y131" s="3897" t="s">
        <v>547</v>
      </c>
    </row>
    <row r="132" spans="1:31" s="3898" customFormat="1" ht="13.5" hidden="1" customHeight="1">
      <c r="A132" s="3899"/>
      <c r="B132" s="3900" t="s">
        <v>22</v>
      </c>
      <c r="C132" s="3901"/>
      <c r="D132" s="3902">
        <f>+D133</f>
        <v>0</v>
      </c>
      <c r="E132" s="3902">
        <f>+E133</f>
        <v>0</v>
      </c>
      <c r="F132" s="3902">
        <f t="shared" ref="F132:W132" si="141">+F133</f>
        <v>0</v>
      </c>
      <c r="G132" s="3902">
        <f t="shared" si="141"/>
        <v>0</v>
      </c>
      <c r="H132" s="3902">
        <f t="shared" si="141"/>
        <v>0</v>
      </c>
      <c r="I132" s="3902">
        <f t="shared" si="141"/>
        <v>0</v>
      </c>
      <c r="J132" s="3902">
        <f t="shared" si="141"/>
        <v>0</v>
      </c>
      <c r="K132" s="3902">
        <f t="shared" si="141"/>
        <v>0</v>
      </c>
      <c r="L132" s="3902">
        <f t="shared" si="141"/>
        <v>0</v>
      </c>
      <c r="M132" s="3902">
        <f t="shared" si="141"/>
        <v>0</v>
      </c>
      <c r="N132" s="3902">
        <f t="shared" si="141"/>
        <v>0</v>
      </c>
      <c r="O132" s="3902">
        <f t="shared" si="141"/>
        <v>0</v>
      </c>
      <c r="P132" s="3902">
        <f t="shared" si="141"/>
        <v>0</v>
      </c>
      <c r="Q132" s="3902">
        <f t="shared" si="141"/>
        <v>0</v>
      </c>
      <c r="R132" s="3902">
        <f t="shared" si="141"/>
        <v>0</v>
      </c>
      <c r="S132" s="3902">
        <f t="shared" si="141"/>
        <v>0</v>
      </c>
      <c r="T132" s="3903">
        <f t="shared" si="141"/>
        <v>0</v>
      </c>
      <c r="U132" s="3903">
        <f t="shared" si="141"/>
        <v>0</v>
      </c>
      <c r="V132" s="3904">
        <f t="shared" si="141"/>
        <v>0</v>
      </c>
      <c r="W132" s="3904">
        <f t="shared" si="141"/>
        <v>0</v>
      </c>
      <c r="X132" s="3905">
        <f>+X133</f>
        <v>0</v>
      </c>
      <c r="Y132" s="3906"/>
    </row>
    <row r="133" spans="1:31" s="3618" customFormat="1" ht="13.5" hidden="1" customHeight="1">
      <c r="A133" s="3899"/>
      <c r="B133" s="3907" t="s">
        <v>36</v>
      </c>
      <c r="C133" s="3908" t="s">
        <v>537</v>
      </c>
      <c r="D133" s="3909">
        <f>+D134+D135</f>
        <v>0</v>
      </c>
      <c r="E133" s="3909">
        <f t="shared" ref="E133:L133" si="142">+E135</f>
        <v>0</v>
      </c>
      <c r="F133" s="3909">
        <f t="shared" si="142"/>
        <v>0</v>
      </c>
      <c r="G133" s="3909">
        <f t="shared" si="142"/>
        <v>0</v>
      </c>
      <c r="H133" s="3909">
        <f t="shared" si="142"/>
        <v>0</v>
      </c>
      <c r="I133" s="3909">
        <f t="shared" si="142"/>
        <v>0</v>
      </c>
      <c r="J133" s="3909">
        <f t="shared" si="142"/>
        <v>0</v>
      </c>
      <c r="K133" s="3909">
        <f t="shared" si="142"/>
        <v>0</v>
      </c>
      <c r="L133" s="3909">
        <f t="shared" si="142"/>
        <v>0</v>
      </c>
      <c r="M133" s="3910">
        <f t="shared" ref="M133" si="143">+M134+M135</f>
        <v>0</v>
      </c>
      <c r="N133" s="3909">
        <f>+N134+N135</f>
        <v>0</v>
      </c>
      <c r="O133" s="3909">
        <f>+O134+O135</f>
        <v>0</v>
      </c>
      <c r="P133" s="3909">
        <f>+P134+P135</f>
        <v>0</v>
      </c>
      <c r="Q133" s="3909">
        <f>+Q134+Q135</f>
        <v>0</v>
      </c>
      <c r="R133" s="3909">
        <f>+R134+R135</f>
        <v>0</v>
      </c>
      <c r="S133" s="3909">
        <f t="shared" ref="S133:W133" si="144">+S134+S135</f>
        <v>0</v>
      </c>
      <c r="T133" s="3911">
        <f t="shared" si="144"/>
        <v>0</v>
      </c>
      <c r="U133" s="3911">
        <f t="shared" si="144"/>
        <v>0</v>
      </c>
      <c r="V133" s="3912">
        <f t="shared" si="144"/>
        <v>0</v>
      </c>
      <c r="W133" s="3912">
        <f t="shared" si="144"/>
        <v>0</v>
      </c>
      <c r="X133" s="3913">
        <f>+X134</f>
        <v>0</v>
      </c>
      <c r="Y133" s="3906"/>
      <c r="AA133" s="3619"/>
    </row>
    <row r="134" spans="1:31" s="3618" customFormat="1" ht="13.5" hidden="1" customHeight="1">
      <c r="A134" s="3899"/>
      <c r="B134" s="3914" t="s">
        <v>152</v>
      </c>
      <c r="C134" s="3915"/>
      <c r="D134" s="3916">
        <f t="shared" ref="D134:D135" si="145">M134+O134+P134+Q134+R134+S134+T134+U134+V134+W134</f>
        <v>0</v>
      </c>
      <c r="E134" s="3917"/>
      <c r="F134" s="3918"/>
      <c r="G134" s="3919"/>
      <c r="H134" s="3919"/>
      <c r="I134" s="3920"/>
      <c r="J134" s="3920"/>
      <c r="K134" s="3920"/>
      <c r="L134" s="3921"/>
      <c r="M134" s="3916">
        <f t="shared" ref="M134:M135" si="146">+L134+K134+J134+I134+E134+N134</f>
        <v>0</v>
      </c>
      <c r="N134" s="3920">
        <v>0</v>
      </c>
      <c r="O134" s="3920">
        <v>0</v>
      </c>
      <c r="P134" s="3920"/>
      <c r="Q134" s="3920"/>
      <c r="R134" s="3920">
        <v>0</v>
      </c>
      <c r="S134" s="3920">
        <v>0</v>
      </c>
      <c r="T134" s="3922">
        <v>0</v>
      </c>
      <c r="U134" s="3922">
        <v>0</v>
      </c>
      <c r="V134" s="3923">
        <v>0</v>
      </c>
      <c r="W134" s="3923">
        <v>0</v>
      </c>
      <c r="X134" s="3924">
        <f>+S134+R134+Q134+P134</f>
        <v>0</v>
      </c>
      <c r="Y134" s="3906"/>
    </row>
    <row r="135" spans="1:31" s="3618" customFormat="1" ht="13.5" hidden="1" customHeight="1" thickBot="1">
      <c r="A135" s="3925"/>
      <c r="B135" s="3926" t="s">
        <v>47</v>
      </c>
      <c r="C135" s="3927"/>
      <c r="D135" s="3916">
        <f t="shared" si="145"/>
        <v>0</v>
      </c>
      <c r="E135" s="3928">
        <v>0</v>
      </c>
      <c r="F135" s="3929"/>
      <c r="G135" s="3930"/>
      <c r="H135" s="3930"/>
      <c r="I135" s="3931">
        <v>0</v>
      </c>
      <c r="J135" s="3932">
        <v>0</v>
      </c>
      <c r="K135" s="3932">
        <v>0</v>
      </c>
      <c r="L135" s="3928">
        <v>0</v>
      </c>
      <c r="M135" s="3916">
        <f t="shared" si="146"/>
        <v>0</v>
      </c>
      <c r="N135" s="3932">
        <v>0</v>
      </c>
      <c r="O135" s="3931">
        <v>0</v>
      </c>
      <c r="P135" s="3932"/>
      <c r="Q135" s="3932"/>
      <c r="R135" s="3932">
        <v>0</v>
      </c>
      <c r="S135" s="3932">
        <v>0</v>
      </c>
      <c r="T135" s="3933">
        <v>0</v>
      </c>
      <c r="U135" s="3933">
        <v>0</v>
      </c>
      <c r="V135" s="3934">
        <v>0</v>
      </c>
      <c r="W135" s="3934">
        <v>0</v>
      </c>
      <c r="X135" s="3935" t="s">
        <v>77</v>
      </c>
      <c r="Y135" s="3936"/>
    </row>
    <row r="136" spans="1:31" s="3560" customFormat="1">
      <c r="A136" s="3937" t="s">
        <v>343</v>
      </c>
      <c r="B136" s="3937"/>
      <c r="C136" s="3937"/>
      <c r="D136" s="3937"/>
      <c r="E136" s="3937"/>
      <c r="F136" s="3937"/>
      <c r="G136" s="3937"/>
      <c r="H136" s="3937"/>
      <c r="I136" s="3937"/>
      <c r="J136" s="3937"/>
      <c r="K136" s="3937"/>
      <c r="L136" s="3937"/>
      <c r="M136" s="3937"/>
      <c r="N136" s="3937"/>
      <c r="O136" s="3937"/>
      <c r="P136" s="3937"/>
      <c r="Q136" s="3937"/>
      <c r="R136" s="3937"/>
      <c r="S136" s="3937"/>
      <c r="T136" s="3937"/>
      <c r="U136" s="3937"/>
      <c r="V136" s="3937"/>
      <c r="W136" s="3937"/>
      <c r="X136" s="3938"/>
      <c r="Y136" s="3939"/>
    </row>
    <row r="137" spans="1:31" s="3551" customFormat="1" ht="11.25">
      <c r="A137" s="3940" t="s">
        <v>387</v>
      </c>
      <c r="B137" s="3940"/>
      <c r="C137" s="3940"/>
      <c r="D137" s="3940"/>
      <c r="E137" s="3940"/>
      <c r="F137" s="3940"/>
      <c r="G137" s="3940"/>
      <c r="H137" s="3940"/>
      <c r="I137" s="3940"/>
      <c r="J137" s="3940"/>
      <c r="K137" s="3940"/>
      <c r="L137" s="3940"/>
      <c r="M137" s="3940"/>
      <c r="N137" s="3940"/>
      <c r="O137" s="3940"/>
      <c r="P137" s="3940"/>
      <c r="Q137" s="3940"/>
      <c r="R137" s="3940"/>
      <c r="S137" s="3940"/>
      <c r="T137" s="3940"/>
      <c r="U137" s="3940"/>
      <c r="V137" s="3940"/>
      <c r="W137" s="3940"/>
      <c r="X137" s="3940"/>
      <c r="Y137" s="3940"/>
    </row>
    <row r="138" spans="1:31" s="3551" customFormat="1" ht="11.25">
      <c r="A138" s="3940" t="s">
        <v>406</v>
      </c>
      <c r="B138" s="3940"/>
      <c r="C138" s="3940"/>
      <c r="D138" s="3940"/>
      <c r="E138" s="3940"/>
      <c r="F138" s="3940"/>
      <c r="G138" s="3940"/>
      <c r="H138" s="3940"/>
      <c r="I138" s="3940"/>
      <c r="J138" s="3940"/>
      <c r="K138" s="3940"/>
      <c r="L138" s="3940"/>
      <c r="M138" s="3940"/>
      <c r="N138" s="3940"/>
      <c r="O138" s="3940"/>
      <c r="P138" s="3940"/>
      <c r="Q138" s="3940"/>
      <c r="R138" s="3940"/>
      <c r="S138" s="3940"/>
      <c r="T138" s="3940"/>
      <c r="U138" s="3940"/>
      <c r="V138" s="3940"/>
      <c r="W138" s="3940"/>
    </row>
    <row r="139" spans="1:31" s="3942" customFormat="1" ht="16.5" customHeight="1">
      <c r="A139" s="3941" t="s">
        <v>278</v>
      </c>
      <c r="J139" s="3486"/>
      <c r="K139" s="3486"/>
      <c r="L139" s="3487"/>
      <c r="M139" s="3487"/>
      <c r="N139" s="3486"/>
      <c r="O139" s="3486"/>
      <c r="P139" s="3486"/>
      <c r="Q139" s="3486"/>
      <c r="R139" s="3486"/>
      <c r="S139" s="3486"/>
      <c r="T139" s="3486"/>
      <c r="U139" s="3486"/>
      <c r="V139" s="3486"/>
      <c r="W139" s="3486"/>
      <c r="X139" s="3486"/>
      <c r="Y139" s="3943"/>
    </row>
    <row r="140" spans="1:31" s="3944" customFormat="1" ht="13.5" customHeight="1">
      <c r="D140" s="3945"/>
      <c r="J140" s="3486"/>
      <c r="K140" s="3487"/>
      <c r="L140" s="3486"/>
      <c r="M140" s="3486"/>
      <c r="N140" s="3486"/>
      <c r="O140" s="3486"/>
      <c r="P140" s="3487"/>
      <c r="Q140" s="3487"/>
      <c r="R140" s="3487"/>
      <c r="S140" s="3487"/>
      <c r="T140" s="3487"/>
      <c r="U140" s="3487"/>
      <c r="V140" s="3487"/>
      <c r="W140" s="3487"/>
      <c r="X140" s="3486"/>
      <c r="Y140" s="3943"/>
    </row>
    <row r="141" spans="1:31" s="3946" customFormat="1" ht="12.75" customHeight="1">
      <c r="J141" s="3947"/>
      <c r="K141" s="3947"/>
      <c r="L141" s="3947"/>
      <c r="M141" s="3947"/>
      <c r="N141" s="3947"/>
      <c r="O141" s="3486"/>
      <c r="P141" s="3486"/>
      <c r="Q141" s="3486"/>
      <c r="R141" s="3486"/>
      <c r="S141" s="3486"/>
      <c r="T141" s="3486"/>
      <c r="U141" s="3486"/>
      <c r="V141" s="3486"/>
      <c r="W141" s="3486"/>
      <c r="X141" s="3486"/>
      <c r="Y141" s="3943"/>
    </row>
    <row r="142" spans="1:31" s="3665" customFormat="1" ht="10.5" customHeight="1">
      <c r="A142" s="3485"/>
      <c r="B142" s="3486"/>
      <c r="C142" s="3486"/>
      <c r="D142" s="3487"/>
      <c r="E142" s="3486"/>
      <c r="F142" s="3486"/>
      <c r="G142" s="3486"/>
      <c r="H142" s="3486"/>
      <c r="I142" s="3486"/>
      <c r="J142" s="3486"/>
      <c r="K142" s="3486"/>
      <c r="L142" s="3486"/>
      <c r="M142" s="3486"/>
      <c r="N142" s="3486"/>
      <c r="O142" s="3486">
        <f>1000000+1000000+916667</f>
        <v>2916667</v>
      </c>
      <c r="P142" s="3486"/>
      <c r="Q142" s="3486"/>
      <c r="R142" s="3486"/>
      <c r="S142" s="3486"/>
      <c r="T142" s="3486"/>
      <c r="U142" s="3486"/>
      <c r="V142" s="3486"/>
      <c r="W142" s="3486"/>
      <c r="X142" s="3486"/>
      <c r="Y142" s="3943"/>
    </row>
    <row r="143" spans="1:31" s="3944" customFormat="1" ht="15.75" customHeight="1">
      <c r="B143" s="3486"/>
      <c r="C143" s="3486"/>
      <c r="D143" s="3486"/>
      <c r="E143" s="3486"/>
      <c r="F143" s="3486"/>
      <c r="G143" s="3486"/>
      <c r="H143" s="3486"/>
      <c r="I143" s="3486"/>
      <c r="J143" s="3486"/>
      <c r="K143" s="3486"/>
      <c r="L143" s="3486"/>
      <c r="M143" s="3486"/>
      <c r="N143" s="3486"/>
      <c r="O143" s="3486"/>
      <c r="P143" s="3948">
        <v>2016</v>
      </c>
      <c r="Q143" s="3948">
        <v>2017</v>
      </c>
      <c r="R143" s="3948">
        <v>2018</v>
      </c>
      <c r="S143" s="3948">
        <v>2019</v>
      </c>
      <c r="T143" s="3948">
        <v>2020</v>
      </c>
      <c r="U143" s="3948">
        <v>2021</v>
      </c>
      <c r="V143" s="3948">
        <v>2022</v>
      </c>
      <c r="W143" s="3948">
        <v>2023</v>
      </c>
      <c r="X143" s="3948">
        <v>2024</v>
      </c>
      <c r="Y143" s="3948">
        <v>2025</v>
      </c>
      <c r="Z143" s="3948">
        <v>2026</v>
      </c>
      <c r="AA143" s="3948">
        <v>2027</v>
      </c>
      <c r="AB143" s="3948">
        <v>2028</v>
      </c>
      <c r="AC143" s="3948"/>
      <c r="AD143" s="3948"/>
      <c r="AE143" s="3948"/>
    </row>
    <row r="144" spans="1:31" s="3944" customFormat="1" ht="15.75" customHeight="1">
      <c r="A144" s="3485"/>
      <c r="B144" s="3949" t="s">
        <v>344</v>
      </c>
      <c r="C144" s="3949"/>
      <c r="D144" s="3950"/>
      <c r="E144" s="3950"/>
      <c r="F144" s="3950"/>
      <c r="G144" s="3950"/>
      <c r="H144" s="3950"/>
      <c r="I144" s="3949"/>
      <c r="J144" s="3949"/>
      <c r="K144" s="3949"/>
      <c r="L144" s="3949"/>
      <c r="M144" s="3949"/>
      <c r="N144" s="3949"/>
      <c r="O144" s="3487">
        <f>+O125+O120+O92+O87+O82</f>
        <v>0</v>
      </c>
      <c r="P144" s="3951">
        <f t="shared" ref="P144:W144" si="147">+P125+P120+P92+P87+P82+P130</f>
        <v>5637206.6399999997</v>
      </c>
      <c r="Q144" s="3951">
        <f t="shared" si="147"/>
        <v>5050955</v>
      </c>
      <c r="R144" s="3951">
        <f t="shared" si="147"/>
        <v>5329509</v>
      </c>
      <c r="S144" s="3951">
        <f t="shared" si="147"/>
        <v>2261110</v>
      </c>
      <c r="T144" s="3951">
        <f t="shared" si="147"/>
        <v>1999047</v>
      </c>
      <c r="U144" s="3951">
        <f t="shared" si="147"/>
        <v>1999047</v>
      </c>
      <c r="V144" s="3951">
        <f t="shared" si="147"/>
        <v>1859047</v>
      </c>
      <c r="W144" s="3951">
        <f t="shared" si="147"/>
        <v>919047</v>
      </c>
      <c r="X144" s="3951">
        <f>685714+233333</f>
        <v>919047</v>
      </c>
      <c r="Y144" s="3951">
        <f>685714+233333</f>
        <v>919047</v>
      </c>
      <c r="Z144" s="3951">
        <f>685714+233333</f>
        <v>919047</v>
      </c>
      <c r="AA144" s="3951">
        <f>457146+233333</f>
        <v>690479</v>
      </c>
      <c r="AB144" s="3951">
        <v>116670</v>
      </c>
      <c r="AC144" s="3951"/>
      <c r="AD144" s="3951" t="e">
        <f>+#REF!+#REF!+#REF!+#REF!+#REF!+#REF!</f>
        <v>#REF!</v>
      </c>
      <c r="AE144" s="3951"/>
    </row>
    <row r="145" spans="1:30" s="3944" customFormat="1" ht="15.75" customHeight="1">
      <c r="A145" s="3485"/>
      <c r="B145" s="3486"/>
      <c r="C145" s="3486"/>
      <c r="D145" s="3487"/>
      <c r="E145" s="3486"/>
      <c r="F145" s="3486"/>
      <c r="G145" s="3486"/>
      <c r="H145" s="3486"/>
      <c r="I145" s="3486"/>
      <c r="J145" s="3486"/>
      <c r="K145" s="3486"/>
      <c r="L145" s="3486"/>
      <c r="M145" s="3486"/>
      <c r="N145" s="3486"/>
      <c r="O145" s="3486"/>
      <c r="P145" s="3486"/>
      <c r="Q145" s="3486"/>
      <c r="R145" s="3486"/>
      <c r="S145" s="3486"/>
      <c r="T145" s="3486"/>
      <c r="U145" s="3486"/>
      <c r="V145" s="3486"/>
      <c r="W145" s="3486"/>
      <c r="X145" s="3486"/>
      <c r="Y145" s="3943"/>
      <c r="AD145" s="3945">
        <f>SUM(P144:AB144)</f>
        <v>28619258.640000001</v>
      </c>
    </row>
    <row r="146" spans="1:30" s="3944" customFormat="1" ht="12" customHeight="1">
      <c r="A146" s="3485"/>
      <c r="B146" s="3486"/>
      <c r="C146" s="3486"/>
      <c r="D146" s="3487"/>
      <c r="E146" s="3486"/>
      <c r="F146" s="3486"/>
      <c r="G146" s="3487">
        <f>+E144-G144-H144</f>
        <v>0</v>
      </c>
      <c r="H146" s="3486"/>
      <c r="I146" s="3486"/>
      <c r="J146" s="3486"/>
      <c r="K146" s="3486"/>
      <c r="L146" s="3486"/>
      <c r="M146" s="3486"/>
      <c r="N146" s="3486"/>
      <c r="O146" s="3486"/>
      <c r="P146" s="3486"/>
      <c r="Q146" s="3486"/>
      <c r="R146" s="3486"/>
      <c r="S146" s="3486"/>
      <c r="T146" s="3486"/>
      <c r="U146" s="3486"/>
      <c r="V146" s="3486"/>
      <c r="W146" s="3486"/>
      <c r="X146" s="3486"/>
      <c r="Y146" s="3943"/>
      <c r="AB146" s="3945"/>
      <c r="AD146" s="3945" t="e">
        <f>+AD144-AD145</f>
        <v>#REF!</v>
      </c>
    </row>
    <row r="147" spans="1:30" s="3952" customFormat="1" ht="22.5" customHeight="1">
      <c r="A147" s="3485"/>
      <c r="B147" s="3486"/>
      <c r="C147" s="3486"/>
      <c r="D147" s="3486"/>
      <c r="E147" s="3486"/>
      <c r="F147" s="3486"/>
      <c r="G147" s="3486"/>
      <c r="H147" s="3486"/>
      <c r="I147" s="3486"/>
      <c r="J147" s="3486"/>
      <c r="K147" s="3486"/>
      <c r="L147" s="3486"/>
      <c r="M147" s="3486"/>
      <c r="N147" s="3486"/>
      <c r="O147" s="3486" t="s">
        <v>163</v>
      </c>
      <c r="P147" s="3486"/>
      <c r="Q147" s="3486"/>
      <c r="R147" s="3486"/>
      <c r="S147" s="3486"/>
      <c r="T147" s="3486"/>
      <c r="U147" s="3486"/>
      <c r="V147" s="3486"/>
      <c r="W147" s="3486"/>
      <c r="X147" s="3486"/>
      <c r="Y147" s="3943"/>
    </row>
    <row r="148" spans="1:30" s="3665" customFormat="1" ht="12.75" customHeight="1">
      <c r="A148" s="3485"/>
      <c r="B148" s="3486"/>
      <c r="C148" s="3486"/>
      <c r="D148" s="3486"/>
      <c r="E148" s="3486"/>
      <c r="F148" s="3486"/>
      <c r="G148" s="3486"/>
      <c r="H148" s="3486"/>
      <c r="I148" s="3486"/>
      <c r="J148" s="3486"/>
      <c r="K148" s="3486"/>
      <c r="L148" s="3486"/>
      <c r="M148" s="3486"/>
      <c r="N148" s="3486"/>
      <c r="O148" s="3486"/>
      <c r="P148" s="3486"/>
      <c r="Q148" s="3486"/>
      <c r="R148" s="3486"/>
      <c r="S148" s="3486"/>
      <c r="T148" s="3486"/>
      <c r="U148" s="3486"/>
      <c r="V148" s="3486"/>
      <c r="W148" s="3486"/>
      <c r="X148" s="3486"/>
      <c r="Y148" s="3943"/>
    </row>
    <row r="149" spans="1:30" s="3665" customFormat="1" ht="12.75" customHeight="1">
      <c r="A149" s="3953"/>
      <c r="B149" s="3486"/>
      <c r="C149" s="3486"/>
      <c r="D149" s="3486"/>
      <c r="E149" s="3486"/>
      <c r="F149" s="3486"/>
      <c r="G149" s="3486"/>
      <c r="H149" s="3486"/>
      <c r="I149" s="3486"/>
      <c r="J149" s="3486"/>
      <c r="K149" s="3486"/>
      <c r="L149" s="3486"/>
      <c r="M149" s="3486"/>
      <c r="N149" s="3486"/>
      <c r="O149" s="3486"/>
      <c r="P149" s="3486"/>
      <c r="Q149" s="3486"/>
      <c r="R149" s="3486"/>
      <c r="S149" s="3486"/>
      <c r="T149" s="3486"/>
      <c r="U149" s="3486"/>
      <c r="V149" s="3486"/>
      <c r="W149" s="3486"/>
      <c r="X149" s="3486"/>
      <c r="Y149" s="3943"/>
    </row>
    <row r="150" spans="1:30" s="3665" customFormat="1">
      <c r="A150" s="3485"/>
      <c r="B150" s="3486"/>
      <c r="C150" s="3486"/>
      <c r="D150" s="3486"/>
      <c r="E150" s="3486"/>
      <c r="F150" s="3486"/>
      <c r="G150" s="3486"/>
      <c r="H150" s="3486"/>
      <c r="I150" s="3486"/>
      <c r="J150" s="3486"/>
      <c r="K150" s="3486"/>
      <c r="L150" s="3486"/>
      <c r="M150" s="3486"/>
      <c r="N150" s="3486"/>
      <c r="O150" s="3486"/>
      <c r="P150" s="3486"/>
      <c r="Q150" s="3486"/>
      <c r="R150" s="3486"/>
      <c r="S150" s="3486"/>
      <c r="T150" s="3486"/>
      <c r="U150" s="3486"/>
      <c r="V150" s="3486"/>
      <c r="W150" s="3486"/>
      <c r="X150" s="3486"/>
      <c r="Y150" s="3943"/>
    </row>
    <row r="151" spans="1:30" s="3952" customFormat="1" ht="14.25" customHeight="1">
      <c r="A151" s="3485"/>
      <c r="B151" s="3486"/>
      <c r="C151" s="3486"/>
      <c r="D151" s="3486"/>
      <c r="E151" s="3486"/>
      <c r="F151" s="3486"/>
      <c r="G151" s="3486"/>
      <c r="H151" s="3486"/>
      <c r="I151" s="3486"/>
      <c r="J151" s="3486"/>
      <c r="K151" s="3486"/>
      <c r="L151" s="3486"/>
      <c r="M151" s="3486"/>
      <c r="N151" s="3486"/>
      <c r="O151" s="3486"/>
      <c r="P151" s="3486"/>
      <c r="Q151" s="3486"/>
      <c r="R151" s="3486"/>
      <c r="S151" s="3486"/>
      <c r="T151" s="3486"/>
      <c r="U151" s="3486"/>
      <c r="V151" s="3486"/>
      <c r="W151" s="3486"/>
      <c r="X151" s="3486"/>
      <c r="Y151" s="3943"/>
    </row>
    <row r="152" spans="1:30" s="3665" customFormat="1" ht="12.75" customHeight="1">
      <c r="A152" s="3485"/>
      <c r="B152" s="3486"/>
      <c r="C152" s="3486"/>
      <c r="D152" s="3486"/>
      <c r="E152" s="3486"/>
      <c r="F152" s="3486"/>
      <c r="G152" s="3486"/>
      <c r="H152" s="3486"/>
      <c r="I152" s="3486"/>
      <c r="J152" s="3486"/>
      <c r="K152" s="3486"/>
      <c r="L152" s="3486"/>
      <c r="M152" s="3486"/>
      <c r="N152" s="3486"/>
      <c r="O152" s="3486"/>
      <c r="P152" s="3486"/>
      <c r="Q152" s="3486"/>
      <c r="R152" s="3486"/>
      <c r="S152" s="3486"/>
      <c r="T152" s="3486"/>
      <c r="U152" s="3486"/>
      <c r="V152" s="3486"/>
      <c r="W152" s="3486"/>
      <c r="X152" s="3486"/>
      <c r="Y152" s="3943"/>
    </row>
    <row r="153" spans="1:30" s="3665" customFormat="1" ht="12.75" customHeight="1">
      <c r="A153" s="3485"/>
      <c r="B153" s="3486"/>
      <c r="C153" s="3486"/>
      <c r="D153" s="3486"/>
      <c r="E153" s="3486"/>
      <c r="F153" s="3486"/>
      <c r="G153" s="3486"/>
      <c r="H153" s="3486"/>
      <c r="I153" s="3486"/>
      <c r="J153" s="3486"/>
      <c r="K153" s="3486"/>
      <c r="L153" s="3486"/>
      <c r="M153" s="3486"/>
      <c r="N153" s="3486"/>
      <c r="O153" s="3486"/>
      <c r="P153" s="3486"/>
      <c r="Q153" s="3486"/>
      <c r="R153" s="3486"/>
      <c r="S153" s="3486"/>
      <c r="T153" s="3486"/>
      <c r="U153" s="3486"/>
      <c r="V153" s="3486"/>
      <c r="W153" s="3486"/>
      <c r="X153" s="3486"/>
      <c r="Y153" s="3943"/>
    </row>
    <row r="154" spans="1:30" s="3665" customFormat="1">
      <c r="A154" s="3485"/>
      <c r="B154" s="3486"/>
      <c r="C154" s="3486"/>
      <c r="D154" s="3486"/>
      <c r="E154" s="3486"/>
      <c r="F154" s="3486"/>
      <c r="G154" s="3486"/>
      <c r="H154" s="3486"/>
      <c r="I154" s="3486"/>
      <c r="J154" s="3486"/>
      <c r="K154" s="3486"/>
      <c r="L154" s="3486"/>
      <c r="M154" s="3486"/>
      <c r="N154" s="3486"/>
      <c r="O154" s="3486"/>
      <c r="P154" s="3486"/>
      <c r="Q154" s="3486"/>
      <c r="R154" s="3486"/>
      <c r="S154" s="3486"/>
      <c r="T154" s="3486"/>
      <c r="U154" s="3486"/>
      <c r="V154" s="3486"/>
      <c r="W154" s="3486"/>
      <c r="X154" s="3486"/>
      <c r="Y154" s="3943"/>
    </row>
    <row r="155" spans="1:30" s="3665" customFormat="1">
      <c r="A155" s="3485"/>
      <c r="B155" s="3486"/>
      <c r="C155" s="3486"/>
      <c r="D155" s="3486"/>
      <c r="E155" s="3486"/>
      <c r="F155" s="3486"/>
      <c r="G155" s="3486"/>
      <c r="H155" s="3486"/>
      <c r="I155" s="3486"/>
      <c r="J155" s="3486"/>
      <c r="K155" s="3486"/>
      <c r="L155" s="3486"/>
      <c r="M155" s="3486"/>
      <c r="N155" s="3486"/>
      <c r="O155" s="3486"/>
      <c r="P155" s="3486"/>
      <c r="Q155" s="3486"/>
      <c r="R155" s="3486"/>
      <c r="S155" s="3486"/>
      <c r="T155" s="3486"/>
      <c r="U155" s="3486"/>
      <c r="V155" s="3486"/>
      <c r="W155" s="3486"/>
      <c r="X155" s="3486"/>
      <c r="Y155" s="3943"/>
    </row>
    <row r="156" spans="1:30" s="3952" customFormat="1" ht="33.75" customHeight="1">
      <c r="A156" s="3485"/>
      <c r="B156" s="3486"/>
      <c r="C156" s="3486"/>
      <c r="D156" s="3486"/>
      <c r="E156" s="3486"/>
      <c r="F156" s="3486"/>
      <c r="G156" s="3486"/>
      <c r="H156" s="3486"/>
      <c r="I156" s="3486"/>
      <c r="J156" s="3486"/>
      <c r="K156" s="3486"/>
      <c r="L156" s="3486"/>
      <c r="M156" s="3486"/>
      <c r="N156" s="3486"/>
      <c r="O156" s="3486"/>
      <c r="P156" s="3486"/>
      <c r="Q156" s="3486"/>
      <c r="R156" s="3486"/>
      <c r="S156" s="3486"/>
      <c r="T156" s="3486"/>
      <c r="U156" s="3486"/>
      <c r="V156" s="3486"/>
      <c r="W156" s="3486"/>
      <c r="X156" s="3486"/>
      <c r="Y156" s="3943"/>
    </row>
    <row r="157" spans="1:30" s="3665" customFormat="1" ht="12.75" customHeight="1">
      <c r="A157" s="3485"/>
      <c r="B157" s="3486"/>
      <c r="C157" s="3486"/>
      <c r="D157" s="3486"/>
      <c r="E157" s="3486"/>
      <c r="F157" s="3486"/>
      <c r="G157" s="3486"/>
      <c r="H157" s="3486"/>
      <c r="I157" s="3486"/>
      <c r="J157" s="3486"/>
      <c r="K157" s="3486"/>
      <c r="L157" s="3486"/>
      <c r="M157" s="3486"/>
      <c r="N157" s="3486"/>
      <c r="O157" s="3486"/>
      <c r="P157" s="3486"/>
      <c r="Q157" s="3486"/>
      <c r="R157" s="3486"/>
      <c r="S157" s="3486"/>
      <c r="T157" s="3486"/>
      <c r="U157" s="3486"/>
      <c r="V157" s="3486"/>
      <c r="W157" s="3486"/>
      <c r="X157" s="3486"/>
      <c r="Y157" s="3943"/>
    </row>
    <row r="158" spans="1:30" s="3665" customFormat="1" ht="12.75" customHeight="1">
      <c r="A158" s="3485"/>
      <c r="B158" s="3486"/>
      <c r="C158" s="3486"/>
      <c r="D158" s="3486"/>
      <c r="E158" s="3486"/>
      <c r="F158" s="3486"/>
      <c r="G158" s="3486"/>
      <c r="H158" s="3486"/>
      <c r="I158" s="3486"/>
      <c r="J158" s="3486"/>
      <c r="K158" s="3486"/>
      <c r="L158" s="3486"/>
      <c r="M158" s="3486"/>
      <c r="N158" s="3486"/>
      <c r="O158" s="3486"/>
      <c r="P158" s="3486"/>
      <c r="Q158" s="3486"/>
      <c r="R158" s="3486"/>
      <c r="S158" s="3486"/>
      <c r="T158" s="3486"/>
      <c r="U158" s="3486"/>
      <c r="V158" s="3486"/>
      <c r="W158" s="3486"/>
      <c r="X158" s="3486"/>
      <c r="Y158" s="3943"/>
    </row>
    <row r="159" spans="1:30" s="3665" customFormat="1" ht="12.75" customHeight="1">
      <c r="A159" s="3485"/>
      <c r="B159" s="3486"/>
      <c r="C159" s="3486"/>
      <c r="D159" s="3486"/>
      <c r="E159" s="3486"/>
      <c r="F159" s="3486"/>
      <c r="G159" s="3486"/>
      <c r="H159" s="3486"/>
      <c r="I159" s="3486"/>
      <c r="J159" s="3486"/>
      <c r="K159" s="3486"/>
      <c r="L159" s="3486"/>
      <c r="M159" s="3486"/>
      <c r="N159" s="3486"/>
      <c r="O159" s="3486"/>
      <c r="P159" s="3486"/>
      <c r="Q159" s="3486"/>
      <c r="R159" s="3486"/>
      <c r="S159" s="3486"/>
      <c r="T159" s="3486"/>
      <c r="U159" s="3486"/>
      <c r="V159" s="3486"/>
      <c r="W159" s="3486"/>
      <c r="X159" s="3486"/>
      <c r="Y159" s="3943"/>
    </row>
    <row r="160" spans="1:30" s="3665" customFormat="1" ht="12.75" customHeight="1">
      <c r="A160" s="3485"/>
      <c r="B160" s="3486"/>
      <c r="C160" s="3486"/>
      <c r="D160" s="3486"/>
      <c r="E160" s="3486"/>
      <c r="F160" s="3486"/>
      <c r="G160" s="3486"/>
      <c r="H160" s="3486"/>
      <c r="I160" s="3486"/>
      <c r="J160" s="3486"/>
      <c r="K160" s="3486"/>
      <c r="L160" s="3486"/>
      <c r="M160" s="3486"/>
      <c r="N160" s="3486"/>
      <c r="O160" s="3486"/>
      <c r="P160" s="3486"/>
      <c r="Q160" s="3486"/>
      <c r="R160" s="3486"/>
      <c r="S160" s="3486"/>
      <c r="T160" s="3486"/>
      <c r="U160" s="3486"/>
      <c r="V160" s="3486"/>
      <c r="W160" s="3486"/>
      <c r="X160" s="3486"/>
      <c r="Y160" s="3943"/>
    </row>
    <row r="161" spans="1:25" s="3665" customFormat="1">
      <c r="A161" s="3485"/>
      <c r="B161" s="3486"/>
      <c r="C161" s="3486"/>
      <c r="D161" s="3486"/>
      <c r="E161" s="3486"/>
      <c r="F161" s="3486"/>
      <c r="G161" s="3486"/>
      <c r="H161" s="3486"/>
      <c r="I161" s="3486"/>
      <c r="J161" s="3486"/>
      <c r="K161" s="3486"/>
      <c r="L161" s="3486"/>
      <c r="M161" s="3486"/>
      <c r="N161" s="3486"/>
      <c r="O161" s="3486"/>
      <c r="P161" s="3486"/>
      <c r="Q161" s="3486"/>
      <c r="R161" s="3486"/>
      <c r="S161" s="3486"/>
      <c r="T161" s="3486"/>
      <c r="U161" s="3486"/>
      <c r="V161" s="3486"/>
      <c r="W161" s="3486"/>
      <c r="X161" s="3486"/>
      <c r="Y161" s="3943"/>
    </row>
    <row r="162" spans="1:25" s="3952" customFormat="1" ht="12" customHeight="1">
      <c r="A162" s="3485"/>
      <c r="B162" s="3486"/>
      <c r="C162" s="3486"/>
      <c r="D162" s="3486"/>
      <c r="E162" s="3486"/>
      <c r="F162" s="3486"/>
      <c r="G162" s="3486"/>
      <c r="H162" s="3486"/>
      <c r="I162" s="3486"/>
      <c r="J162" s="3486"/>
      <c r="K162" s="3486"/>
      <c r="L162" s="3486"/>
      <c r="M162" s="3486"/>
      <c r="N162" s="3486"/>
      <c r="O162" s="3486"/>
      <c r="P162" s="3486"/>
      <c r="Q162" s="3486"/>
      <c r="R162" s="3486"/>
      <c r="S162" s="3486"/>
      <c r="T162" s="3486"/>
      <c r="U162" s="3486"/>
      <c r="V162" s="3486"/>
      <c r="W162" s="3486"/>
      <c r="X162" s="3486"/>
      <c r="Y162" s="3943"/>
    </row>
    <row r="163" spans="1:25" s="3665" customFormat="1" ht="12.75" customHeight="1">
      <c r="A163" s="3485"/>
      <c r="B163" s="3486"/>
      <c r="C163" s="3486"/>
      <c r="D163" s="3486"/>
      <c r="E163" s="3486"/>
      <c r="F163" s="3486"/>
      <c r="G163" s="3486"/>
      <c r="H163" s="3486"/>
      <c r="I163" s="3486"/>
      <c r="J163" s="3486"/>
      <c r="K163" s="3486"/>
      <c r="L163" s="3486"/>
      <c r="M163" s="3486"/>
      <c r="N163" s="3486"/>
      <c r="O163" s="3486"/>
      <c r="P163" s="3486"/>
      <c r="Q163" s="3486"/>
      <c r="R163" s="3486"/>
      <c r="S163" s="3486"/>
      <c r="T163" s="3486"/>
      <c r="U163" s="3486"/>
      <c r="V163" s="3486"/>
      <c r="W163" s="3486"/>
      <c r="X163" s="3486"/>
      <c r="Y163" s="3943"/>
    </row>
    <row r="164" spans="1:25" s="3665" customFormat="1" ht="12.75" customHeight="1">
      <c r="A164" s="3485"/>
      <c r="B164" s="3486"/>
      <c r="C164" s="3486"/>
      <c r="D164" s="3486"/>
      <c r="E164" s="3486"/>
      <c r="F164" s="3486"/>
      <c r="G164" s="3486"/>
      <c r="H164" s="3486"/>
      <c r="I164" s="3486"/>
      <c r="J164" s="3486"/>
      <c r="K164" s="3486"/>
      <c r="L164" s="3486"/>
      <c r="M164" s="3486"/>
      <c r="N164" s="3486"/>
      <c r="O164" s="3486"/>
      <c r="P164" s="3486"/>
      <c r="Q164" s="3486"/>
      <c r="R164" s="3486"/>
      <c r="S164" s="3486"/>
      <c r="T164" s="3486"/>
      <c r="U164" s="3486"/>
      <c r="V164" s="3486"/>
      <c r="W164" s="3486"/>
      <c r="X164" s="3486"/>
      <c r="Y164" s="3943"/>
    </row>
    <row r="165" spans="1:25" s="3665" customFormat="1">
      <c r="A165" s="3485"/>
      <c r="B165" s="3486"/>
      <c r="C165" s="3486"/>
      <c r="D165" s="3486"/>
      <c r="E165" s="3486"/>
      <c r="F165" s="3486"/>
      <c r="G165" s="3486"/>
      <c r="H165" s="3486"/>
      <c r="I165" s="3486"/>
      <c r="J165" s="3486"/>
      <c r="K165" s="3486"/>
      <c r="L165" s="3486"/>
      <c r="M165" s="3486"/>
      <c r="N165" s="3486"/>
      <c r="O165" s="3486"/>
      <c r="P165" s="3486"/>
      <c r="Q165" s="3486"/>
      <c r="R165" s="3486"/>
      <c r="S165" s="3486"/>
      <c r="T165" s="3486"/>
      <c r="U165" s="3486"/>
      <c r="V165" s="3486"/>
      <c r="W165" s="3486"/>
      <c r="X165" s="3486"/>
      <c r="Y165" s="3943"/>
    </row>
    <row r="166" spans="1:25" s="3665" customFormat="1">
      <c r="A166" s="3485"/>
      <c r="B166" s="3486"/>
      <c r="C166" s="3486"/>
      <c r="D166" s="3486"/>
      <c r="E166" s="3486"/>
      <c r="F166" s="3486"/>
      <c r="G166" s="3486"/>
      <c r="H166" s="3486"/>
      <c r="I166" s="3486"/>
      <c r="J166" s="3486"/>
      <c r="K166" s="3486"/>
      <c r="L166" s="3486"/>
      <c r="M166" s="3486"/>
      <c r="N166" s="3486"/>
      <c r="O166" s="3486"/>
      <c r="P166" s="3486"/>
      <c r="Q166" s="3486"/>
      <c r="R166" s="3486"/>
      <c r="S166" s="3486"/>
      <c r="T166" s="3486"/>
      <c r="U166" s="3486"/>
      <c r="V166" s="3486"/>
      <c r="W166" s="3486"/>
      <c r="X166" s="3486"/>
      <c r="Y166" s="3943"/>
    </row>
    <row r="167" spans="1:25" s="3952" customFormat="1" ht="22.5" customHeight="1">
      <c r="A167" s="3485"/>
      <c r="B167" s="3486"/>
      <c r="C167" s="3486"/>
      <c r="D167" s="3486"/>
      <c r="E167" s="3486"/>
      <c r="F167" s="3486"/>
      <c r="G167" s="3486"/>
      <c r="H167" s="3486"/>
      <c r="I167" s="3486"/>
      <c r="J167" s="3486"/>
      <c r="K167" s="3486"/>
      <c r="L167" s="3486"/>
      <c r="M167" s="3486"/>
      <c r="N167" s="3486"/>
      <c r="O167" s="3486"/>
      <c r="P167" s="3486"/>
      <c r="Q167" s="3486"/>
      <c r="R167" s="3486"/>
      <c r="S167" s="3486"/>
      <c r="T167" s="3486"/>
      <c r="U167" s="3486"/>
      <c r="V167" s="3486"/>
      <c r="W167" s="3486"/>
      <c r="X167" s="3486"/>
      <c r="Y167" s="3943"/>
    </row>
    <row r="168" spans="1:25" s="3665" customFormat="1" ht="12.75" customHeight="1">
      <c r="A168" s="3485"/>
      <c r="B168" s="3486"/>
      <c r="C168" s="3486"/>
      <c r="D168" s="3486"/>
      <c r="E168" s="3486"/>
      <c r="F168" s="3486"/>
      <c r="G168" s="3486"/>
      <c r="H168" s="3486"/>
      <c r="I168" s="3486"/>
      <c r="J168" s="3486"/>
      <c r="K168" s="3486"/>
      <c r="L168" s="3486"/>
      <c r="M168" s="3486"/>
      <c r="N168" s="3486"/>
      <c r="O168" s="3486"/>
      <c r="P168" s="3486"/>
      <c r="Q168" s="3486"/>
      <c r="R168" s="3486"/>
      <c r="S168" s="3486"/>
      <c r="T168" s="3486"/>
      <c r="U168" s="3486"/>
      <c r="V168" s="3486"/>
      <c r="W168" s="3486"/>
      <c r="X168" s="3486"/>
      <c r="Y168" s="3943"/>
    </row>
    <row r="169" spans="1:25" s="3665" customFormat="1" ht="12.75" customHeight="1">
      <c r="A169" s="3485"/>
      <c r="B169" s="3486"/>
      <c r="C169" s="3486"/>
      <c r="D169" s="3486"/>
      <c r="E169" s="3486"/>
      <c r="F169" s="3486"/>
      <c r="G169" s="3486"/>
      <c r="H169" s="3486"/>
      <c r="I169" s="3486"/>
      <c r="J169" s="3486"/>
      <c r="K169" s="3486"/>
      <c r="L169" s="3486"/>
      <c r="M169" s="3486"/>
      <c r="N169" s="3486"/>
      <c r="O169" s="3486"/>
      <c r="P169" s="3486"/>
      <c r="Q169" s="3486"/>
      <c r="R169" s="3486"/>
      <c r="S169" s="3486"/>
      <c r="T169" s="3486"/>
      <c r="U169" s="3486"/>
      <c r="V169" s="3486"/>
      <c r="W169" s="3486"/>
      <c r="X169" s="3486"/>
      <c r="Y169" s="3943"/>
    </row>
    <row r="170" spans="1:25" s="3665" customFormat="1">
      <c r="A170" s="3485"/>
      <c r="B170" s="3486"/>
      <c r="C170" s="3486"/>
      <c r="D170" s="3486"/>
      <c r="E170" s="3486"/>
      <c r="F170" s="3486"/>
      <c r="G170" s="3486"/>
      <c r="H170" s="3486"/>
      <c r="I170" s="3486"/>
      <c r="J170" s="3486"/>
      <c r="K170" s="3486"/>
      <c r="L170" s="3486"/>
      <c r="M170" s="3486"/>
      <c r="N170" s="3486"/>
      <c r="O170" s="3486"/>
      <c r="P170" s="3486"/>
      <c r="Q170" s="3486"/>
      <c r="R170" s="3486"/>
      <c r="S170" s="3486"/>
      <c r="T170" s="3486"/>
      <c r="U170" s="3486"/>
      <c r="V170" s="3486"/>
      <c r="W170" s="3486"/>
      <c r="X170" s="3486"/>
      <c r="Y170" s="3943"/>
    </row>
    <row r="171" spans="1:25" s="3665" customFormat="1">
      <c r="A171" s="3485"/>
      <c r="B171" s="3486"/>
      <c r="C171" s="3486"/>
      <c r="D171" s="3486"/>
      <c r="E171" s="3486"/>
      <c r="F171" s="3486"/>
      <c r="G171" s="3486"/>
      <c r="H171" s="3486"/>
      <c r="I171" s="3486"/>
      <c r="J171" s="3486"/>
      <c r="K171" s="3486"/>
      <c r="L171" s="3486"/>
      <c r="M171" s="3486"/>
      <c r="N171" s="3486"/>
      <c r="O171" s="3486"/>
      <c r="P171" s="3486"/>
      <c r="Q171" s="3486"/>
      <c r="R171" s="3486"/>
      <c r="S171" s="3486"/>
      <c r="T171" s="3486"/>
      <c r="U171" s="3486"/>
      <c r="V171" s="3486"/>
      <c r="W171" s="3486"/>
      <c r="X171" s="3486"/>
      <c r="Y171" s="3943"/>
    </row>
    <row r="172" spans="1:25" s="3952" customFormat="1" ht="15" customHeight="1">
      <c r="A172" s="3485"/>
      <c r="B172" s="3486"/>
      <c r="C172" s="3486"/>
      <c r="D172" s="3486"/>
      <c r="E172" s="3486"/>
      <c r="F172" s="3486"/>
      <c r="G172" s="3486"/>
      <c r="H172" s="3486"/>
      <c r="I172" s="3486"/>
      <c r="J172" s="3486"/>
      <c r="K172" s="3486"/>
      <c r="L172" s="3486"/>
      <c r="M172" s="3486"/>
      <c r="N172" s="3486"/>
      <c r="O172" s="3486"/>
      <c r="P172" s="3486"/>
      <c r="Q172" s="3486"/>
      <c r="R172" s="3486"/>
      <c r="S172" s="3486"/>
      <c r="T172" s="3486"/>
      <c r="U172" s="3486"/>
      <c r="V172" s="3486"/>
      <c r="W172" s="3486"/>
      <c r="X172" s="3486"/>
      <c r="Y172" s="3943"/>
    </row>
    <row r="173" spans="1:25" s="3665" customFormat="1" ht="12.75" customHeight="1">
      <c r="A173" s="3485"/>
      <c r="B173" s="3486"/>
      <c r="C173" s="3486"/>
      <c r="D173" s="3486"/>
      <c r="E173" s="3486"/>
      <c r="F173" s="3486"/>
      <c r="G173" s="3486"/>
      <c r="H173" s="3486"/>
      <c r="I173" s="3486"/>
      <c r="J173" s="3486"/>
      <c r="K173" s="3486"/>
      <c r="L173" s="3486"/>
      <c r="M173" s="3486"/>
      <c r="N173" s="3486"/>
      <c r="O173" s="3486"/>
      <c r="P173" s="3486"/>
      <c r="Q173" s="3486"/>
      <c r="R173" s="3486"/>
      <c r="S173" s="3486"/>
      <c r="T173" s="3486"/>
      <c r="U173" s="3486"/>
      <c r="V173" s="3486"/>
      <c r="W173" s="3486"/>
      <c r="X173" s="3486"/>
      <c r="Y173" s="3943"/>
    </row>
    <row r="174" spans="1:25" s="3665" customFormat="1" ht="12.75" customHeight="1">
      <c r="A174" s="3485"/>
      <c r="B174" s="3486"/>
      <c r="C174" s="3486"/>
      <c r="D174" s="3486"/>
      <c r="E174" s="3486"/>
      <c r="F174" s="3486"/>
      <c r="G174" s="3486"/>
      <c r="H174" s="3486"/>
      <c r="I174" s="3486"/>
      <c r="J174" s="3486"/>
      <c r="K174" s="3486"/>
      <c r="L174" s="3486"/>
      <c r="M174" s="3486"/>
      <c r="N174" s="3486"/>
      <c r="O174" s="3486"/>
      <c r="P174" s="3486"/>
      <c r="Q174" s="3486"/>
      <c r="R174" s="3486"/>
      <c r="S174" s="3486"/>
      <c r="T174" s="3486"/>
      <c r="U174" s="3486"/>
      <c r="V174" s="3486"/>
      <c r="W174" s="3486"/>
      <c r="X174" s="3486"/>
      <c r="Y174" s="3943"/>
    </row>
    <row r="175" spans="1:25" s="3665" customFormat="1">
      <c r="A175" s="3485"/>
      <c r="B175" s="3486"/>
      <c r="C175" s="3486"/>
      <c r="D175" s="3486"/>
      <c r="E175" s="3486"/>
      <c r="F175" s="3486"/>
      <c r="G175" s="3486"/>
      <c r="H175" s="3486"/>
      <c r="I175" s="3486"/>
      <c r="J175" s="3486"/>
      <c r="K175" s="3486"/>
      <c r="L175" s="3486"/>
      <c r="M175" s="3486"/>
      <c r="N175" s="3486"/>
      <c r="O175" s="3486"/>
      <c r="P175" s="3486"/>
      <c r="Q175" s="3486"/>
      <c r="R175" s="3486"/>
      <c r="S175" s="3486"/>
      <c r="T175" s="3486"/>
      <c r="U175" s="3486"/>
      <c r="V175" s="3486"/>
      <c r="W175" s="3486"/>
      <c r="X175" s="3486"/>
      <c r="Y175" s="3943"/>
    </row>
    <row r="176" spans="1:25" s="3665" customFormat="1">
      <c r="A176" s="3485"/>
      <c r="B176" s="3486"/>
      <c r="C176" s="3486"/>
      <c r="D176" s="3486"/>
      <c r="E176" s="3486"/>
      <c r="F176" s="3486"/>
      <c r="G176" s="3486"/>
      <c r="H176" s="3486"/>
      <c r="I176" s="3486"/>
      <c r="J176" s="3486"/>
      <c r="K176" s="3486"/>
      <c r="L176" s="3486"/>
      <c r="M176" s="3486"/>
      <c r="N176" s="3486"/>
      <c r="O176" s="3486"/>
      <c r="P176" s="3486"/>
      <c r="Q176" s="3486"/>
      <c r="R176" s="3486"/>
      <c r="S176" s="3486"/>
      <c r="T176" s="3486"/>
      <c r="U176" s="3486"/>
      <c r="V176" s="3486"/>
      <c r="W176" s="3486"/>
      <c r="X176" s="3486"/>
      <c r="Y176" s="3943"/>
    </row>
    <row r="177" spans="1:25" s="3952" customFormat="1" ht="13.5" customHeight="1">
      <c r="A177" s="3485"/>
      <c r="B177" s="3486"/>
      <c r="C177" s="3486"/>
      <c r="D177" s="3486"/>
      <c r="E177" s="3486"/>
      <c r="F177" s="3486"/>
      <c r="G177" s="3486"/>
      <c r="H177" s="3486"/>
      <c r="I177" s="3486"/>
      <c r="J177" s="3486"/>
      <c r="K177" s="3486"/>
      <c r="L177" s="3486"/>
      <c r="M177" s="3486"/>
      <c r="N177" s="3486"/>
      <c r="O177" s="3486"/>
      <c r="P177" s="3486"/>
      <c r="Q177" s="3486"/>
      <c r="R177" s="3486"/>
      <c r="S177" s="3486"/>
      <c r="T177" s="3486"/>
      <c r="U177" s="3486"/>
      <c r="V177" s="3486"/>
      <c r="W177" s="3486"/>
      <c r="X177" s="3486"/>
      <c r="Y177" s="3943"/>
    </row>
    <row r="178" spans="1:25" s="3665" customFormat="1" ht="12.75" customHeight="1">
      <c r="A178" s="3485"/>
      <c r="B178" s="3486"/>
      <c r="C178" s="3486"/>
      <c r="D178" s="3486"/>
      <c r="E178" s="3486"/>
      <c r="F178" s="3486"/>
      <c r="G178" s="3486"/>
      <c r="H178" s="3486"/>
      <c r="I178" s="3486"/>
      <c r="J178" s="3486"/>
      <c r="K178" s="3486"/>
      <c r="L178" s="3486"/>
      <c r="M178" s="3486"/>
      <c r="N178" s="3486"/>
      <c r="O178" s="3486"/>
      <c r="P178" s="3486"/>
      <c r="Q178" s="3486"/>
      <c r="R178" s="3486"/>
      <c r="S178" s="3486"/>
      <c r="T178" s="3486"/>
      <c r="U178" s="3486"/>
      <c r="V178" s="3486"/>
      <c r="W178" s="3486"/>
      <c r="X178" s="3486"/>
      <c r="Y178" s="3943"/>
    </row>
    <row r="179" spans="1:25" s="3665" customFormat="1" ht="12.75" customHeight="1">
      <c r="A179" s="3485"/>
      <c r="B179" s="3486"/>
      <c r="C179" s="3486"/>
      <c r="D179" s="3486"/>
      <c r="E179" s="3486"/>
      <c r="F179" s="3486"/>
      <c r="G179" s="3486"/>
      <c r="H179" s="3486"/>
      <c r="I179" s="3486"/>
      <c r="J179" s="3486"/>
      <c r="K179" s="3486"/>
      <c r="L179" s="3486"/>
      <c r="M179" s="3486"/>
      <c r="N179" s="3486"/>
      <c r="O179" s="3486"/>
      <c r="P179" s="3486"/>
      <c r="Q179" s="3486"/>
      <c r="R179" s="3486"/>
      <c r="S179" s="3486"/>
      <c r="T179" s="3486"/>
      <c r="U179" s="3486"/>
      <c r="V179" s="3486"/>
      <c r="W179" s="3486"/>
      <c r="X179" s="3486"/>
      <c r="Y179" s="3943"/>
    </row>
    <row r="180" spans="1:25" s="3665" customFormat="1">
      <c r="A180" s="3485"/>
      <c r="B180" s="3486"/>
      <c r="C180" s="3486"/>
      <c r="D180" s="3486"/>
      <c r="E180" s="3486"/>
      <c r="F180" s="3486"/>
      <c r="G180" s="3486"/>
      <c r="H180" s="3486"/>
      <c r="I180" s="3486"/>
      <c r="J180" s="3486"/>
      <c r="K180" s="3486"/>
      <c r="L180" s="3486"/>
      <c r="M180" s="3486"/>
      <c r="N180" s="3486"/>
      <c r="O180" s="3486"/>
      <c r="P180" s="3486"/>
      <c r="Q180" s="3486"/>
      <c r="R180" s="3486"/>
      <c r="S180" s="3486"/>
      <c r="T180" s="3486"/>
      <c r="U180" s="3486"/>
      <c r="V180" s="3486"/>
      <c r="W180" s="3486"/>
      <c r="X180" s="3486"/>
      <c r="Y180" s="3943"/>
    </row>
    <row r="181" spans="1:25" s="3665" customFormat="1">
      <c r="A181" s="3485"/>
      <c r="B181" s="3486"/>
      <c r="C181" s="3486"/>
      <c r="D181" s="3486"/>
      <c r="E181" s="3486"/>
      <c r="F181" s="3486"/>
      <c r="G181" s="3486"/>
      <c r="H181" s="3486"/>
      <c r="I181" s="3486"/>
      <c r="J181" s="3486"/>
      <c r="K181" s="3486"/>
      <c r="L181" s="3486"/>
      <c r="M181" s="3486"/>
      <c r="N181" s="3486"/>
      <c r="O181" s="3486"/>
      <c r="P181" s="3486"/>
      <c r="Q181" s="3486"/>
      <c r="R181" s="3486"/>
      <c r="S181" s="3486"/>
      <c r="T181" s="3486"/>
      <c r="U181" s="3486"/>
      <c r="V181" s="3486"/>
      <c r="W181" s="3486"/>
      <c r="X181" s="3486"/>
      <c r="Y181" s="3943"/>
    </row>
    <row r="182" spans="1:25" s="3665" customFormat="1">
      <c r="A182" s="3485"/>
      <c r="B182" s="3486"/>
      <c r="C182" s="3486"/>
      <c r="D182" s="3486"/>
      <c r="E182" s="3486"/>
      <c r="F182" s="3486"/>
      <c r="G182" s="3486"/>
      <c r="H182" s="3486"/>
      <c r="I182" s="3486"/>
      <c r="J182" s="3486"/>
      <c r="K182" s="3486"/>
      <c r="L182" s="3486"/>
      <c r="M182" s="3486"/>
      <c r="N182" s="3486"/>
      <c r="O182" s="3486"/>
      <c r="P182" s="3486"/>
      <c r="Q182" s="3486"/>
      <c r="R182" s="3486"/>
      <c r="S182" s="3486"/>
      <c r="T182" s="3486"/>
      <c r="U182" s="3486"/>
      <c r="V182" s="3486"/>
      <c r="W182" s="3486"/>
      <c r="X182" s="3486"/>
      <c r="Y182" s="3943"/>
    </row>
    <row r="183" spans="1:25" s="3952" customFormat="1" ht="22.5" customHeight="1">
      <c r="A183" s="3485"/>
      <c r="B183" s="3486"/>
      <c r="C183" s="3486"/>
      <c r="D183" s="3486"/>
      <c r="E183" s="3486"/>
      <c r="F183" s="3486"/>
      <c r="G183" s="3486"/>
      <c r="H183" s="3486"/>
      <c r="I183" s="3486"/>
      <c r="J183" s="3486"/>
      <c r="K183" s="3486"/>
      <c r="L183" s="3486"/>
      <c r="M183" s="3486"/>
      <c r="N183" s="3486"/>
      <c r="O183" s="3486"/>
      <c r="P183" s="3486"/>
      <c r="Q183" s="3486"/>
      <c r="R183" s="3486"/>
      <c r="S183" s="3486"/>
      <c r="T183" s="3486"/>
      <c r="U183" s="3486"/>
      <c r="V183" s="3486"/>
      <c r="W183" s="3486"/>
      <c r="X183" s="3486"/>
      <c r="Y183" s="3943"/>
    </row>
    <row r="184" spans="1:25" s="3665" customFormat="1" ht="12.75" customHeight="1">
      <c r="A184" s="3485"/>
      <c r="B184" s="3486"/>
      <c r="C184" s="3486"/>
      <c r="D184" s="3486"/>
      <c r="E184" s="3486"/>
      <c r="F184" s="3486"/>
      <c r="G184" s="3486"/>
      <c r="H184" s="3486"/>
      <c r="I184" s="3486"/>
      <c r="J184" s="3486"/>
      <c r="K184" s="3486"/>
      <c r="L184" s="3486"/>
      <c r="M184" s="3486"/>
      <c r="N184" s="3486"/>
      <c r="O184" s="3486"/>
      <c r="P184" s="3486"/>
      <c r="Q184" s="3486"/>
      <c r="R184" s="3486"/>
      <c r="S184" s="3486"/>
      <c r="T184" s="3486"/>
      <c r="U184" s="3486"/>
      <c r="V184" s="3486"/>
      <c r="W184" s="3486"/>
      <c r="X184" s="3486"/>
      <c r="Y184" s="3943"/>
    </row>
    <row r="185" spans="1:25" s="3665" customFormat="1" ht="12.75" customHeight="1">
      <c r="A185" s="3485"/>
      <c r="B185" s="3486"/>
      <c r="C185" s="3486"/>
      <c r="D185" s="3486"/>
      <c r="E185" s="3486"/>
      <c r="F185" s="3486"/>
      <c r="G185" s="3486"/>
      <c r="H185" s="3486"/>
      <c r="I185" s="3486"/>
      <c r="J185" s="3486"/>
      <c r="K185" s="3486"/>
      <c r="L185" s="3486"/>
      <c r="M185" s="3486"/>
      <c r="N185" s="3486"/>
      <c r="O185" s="3486"/>
      <c r="P185" s="3486"/>
      <c r="Q185" s="3486"/>
      <c r="R185" s="3486"/>
      <c r="S185" s="3486"/>
      <c r="T185" s="3486"/>
      <c r="U185" s="3486"/>
      <c r="V185" s="3486"/>
      <c r="W185" s="3486"/>
      <c r="X185" s="3486"/>
      <c r="Y185" s="3943"/>
    </row>
    <row r="186" spans="1:25" s="3665" customFormat="1">
      <c r="A186" s="3485"/>
      <c r="B186" s="3486"/>
      <c r="C186" s="3486"/>
      <c r="D186" s="3486"/>
      <c r="E186" s="3486"/>
      <c r="F186" s="3486"/>
      <c r="G186" s="3486"/>
      <c r="H186" s="3486"/>
      <c r="I186" s="3486"/>
      <c r="J186" s="3486"/>
      <c r="K186" s="3486"/>
      <c r="L186" s="3486"/>
      <c r="M186" s="3486"/>
      <c r="N186" s="3486"/>
      <c r="O186" s="3486"/>
      <c r="P186" s="3486"/>
      <c r="Q186" s="3486"/>
      <c r="R186" s="3486"/>
      <c r="S186" s="3486"/>
      <c r="T186" s="3486"/>
      <c r="U186" s="3486"/>
      <c r="V186" s="3486"/>
      <c r="W186" s="3486"/>
      <c r="X186" s="3486"/>
      <c r="Y186" s="3943"/>
    </row>
    <row r="187" spans="1:25" s="3665" customFormat="1">
      <c r="A187" s="3485"/>
      <c r="B187" s="3486"/>
      <c r="C187" s="3486"/>
      <c r="D187" s="3486"/>
      <c r="E187" s="3486"/>
      <c r="F187" s="3486"/>
      <c r="G187" s="3486"/>
      <c r="H187" s="3486"/>
      <c r="I187" s="3486"/>
      <c r="J187" s="3486"/>
      <c r="K187" s="3486"/>
      <c r="L187" s="3486"/>
      <c r="M187" s="3486"/>
      <c r="N187" s="3486"/>
      <c r="O187" s="3486"/>
      <c r="P187" s="3486"/>
      <c r="Q187" s="3486"/>
      <c r="R187" s="3486"/>
      <c r="S187" s="3486"/>
      <c r="T187" s="3486"/>
      <c r="U187" s="3486"/>
      <c r="V187" s="3486"/>
      <c r="W187" s="3486"/>
      <c r="X187" s="3486"/>
      <c r="Y187" s="3943"/>
    </row>
    <row r="188" spans="1:25" s="3952" customFormat="1" ht="12.75" customHeight="1">
      <c r="A188" s="3485"/>
      <c r="B188" s="3486"/>
      <c r="C188" s="3486"/>
      <c r="D188" s="3486"/>
      <c r="E188" s="3486"/>
      <c r="F188" s="3486"/>
      <c r="G188" s="3486"/>
      <c r="H188" s="3486"/>
      <c r="I188" s="3486"/>
      <c r="J188" s="3486"/>
      <c r="K188" s="3486"/>
      <c r="L188" s="3486"/>
      <c r="M188" s="3486"/>
      <c r="N188" s="3486"/>
      <c r="O188" s="3486"/>
      <c r="P188" s="3486"/>
      <c r="Q188" s="3486"/>
      <c r="R188" s="3486"/>
      <c r="S188" s="3486"/>
      <c r="T188" s="3486"/>
      <c r="U188" s="3486"/>
      <c r="V188" s="3486"/>
      <c r="W188" s="3486"/>
      <c r="X188" s="3486"/>
      <c r="Y188" s="3943"/>
    </row>
    <row r="189" spans="1:25" s="3665" customFormat="1" ht="9.75" customHeight="1">
      <c r="A189" s="3485"/>
      <c r="B189" s="3486"/>
      <c r="C189" s="3486"/>
      <c r="D189" s="3486"/>
      <c r="E189" s="3486"/>
      <c r="F189" s="3486"/>
      <c r="G189" s="3486"/>
      <c r="H189" s="3486"/>
      <c r="I189" s="3486"/>
      <c r="J189" s="3486"/>
      <c r="K189" s="3486"/>
      <c r="L189" s="3486"/>
      <c r="M189" s="3486"/>
      <c r="N189" s="3486"/>
      <c r="O189" s="3486"/>
      <c r="P189" s="3486"/>
      <c r="Q189" s="3486"/>
      <c r="R189" s="3486"/>
      <c r="S189" s="3486"/>
      <c r="T189" s="3486"/>
      <c r="U189" s="3486"/>
      <c r="V189" s="3486"/>
      <c r="W189" s="3486"/>
      <c r="X189" s="3486"/>
      <c r="Y189" s="3943"/>
    </row>
    <row r="190" spans="1:25" s="3665" customFormat="1" ht="12.75" customHeight="1">
      <c r="A190" s="3485"/>
      <c r="B190" s="3486"/>
      <c r="C190" s="3486"/>
      <c r="D190" s="3486"/>
      <c r="E190" s="3486"/>
      <c r="F190" s="3486"/>
      <c r="G190" s="3486"/>
      <c r="H190" s="3486"/>
      <c r="I190" s="3486"/>
      <c r="J190" s="3486"/>
      <c r="K190" s="3486"/>
      <c r="L190" s="3486"/>
      <c r="M190" s="3486"/>
      <c r="N190" s="3486"/>
      <c r="O190" s="3486"/>
      <c r="P190" s="3486"/>
      <c r="Q190" s="3486"/>
      <c r="R190" s="3486"/>
      <c r="S190" s="3486"/>
      <c r="T190" s="3486"/>
      <c r="U190" s="3486"/>
      <c r="V190" s="3486"/>
      <c r="W190" s="3486"/>
      <c r="X190" s="3486"/>
      <c r="Y190" s="3943"/>
    </row>
    <row r="191" spans="1:25" s="3665" customFormat="1">
      <c r="A191" s="3485"/>
      <c r="B191" s="3486"/>
      <c r="C191" s="3486"/>
      <c r="D191" s="3486"/>
      <c r="E191" s="3486"/>
      <c r="F191" s="3486"/>
      <c r="G191" s="3486"/>
      <c r="H191" s="3486"/>
      <c r="I191" s="3486"/>
      <c r="J191" s="3486"/>
      <c r="K191" s="3486"/>
      <c r="L191" s="3486"/>
      <c r="M191" s="3486"/>
      <c r="N191" s="3486"/>
      <c r="O191" s="3486"/>
      <c r="P191" s="3486"/>
      <c r="Q191" s="3486"/>
      <c r="R191" s="3486"/>
      <c r="S191" s="3486"/>
      <c r="T191" s="3486"/>
      <c r="U191" s="3486"/>
      <c r="V191" s="3486"/>
      <c r="W191" s="3486"/>
      <c r="X191" s="3486"/>
      <c r="Y191" s="3943"/>
    </row>
    <row r="192" spans="1:25" s="3665" customFormat="1">
      <c r="A192" s="3485"/>
      <c r="B192" s="3486"/>
      <c r="C192" s="3486"/>
      <c r="D192" s="3486"/>
      <c r="E192" s="3486"/>
      <c r="F192" s="3486"/>
      <c r="G192" s="3486"/>
      <c r="H192" s="3486"/>
      <c r="I192" s="3486"/>
      <c r="J192" s="3486"/>
      <c r="K192" s="3486"/>
      <c r="L192" s="3486"/>
      <c r="M192" s="3486"/>
      <c r="N192" s="3486"/>
      <c r="O192" s="3486"/>
      <c r="P192" s="3486"/>
      <c r="Q192" s="3486"/>
      <c r="R192" s="3486"/>
      <c r="S192" s="3486"/>
      <c r="T192" s="3486"/>
      <c r="U192" s="3486"/>
      <c r="V192" s="3486"/>
      <c r="W192" s="3486"/>
      <c r="X192" s="3486"/>
      <c r="Y192" s="3943"/>
    </row>
    <row r="193" spans="1:25" s="3952" customFormat="1" ht="13.5" customHeight="1">
      <c r="A193" s="3485"/>
      <c r="B193" s="3486"/>
      <c r="C193" s="3486"/>
      <c r="D193" s="3486"/>
      <c r="E193" s="3486"/>
      <c r="F193" s="3486"/>
      <c r="G193" s="3486"/>
      <c r="H193" s="3486"/>
      <c r="I193" s="3486"/>
      <c r="J193" s="3486"/>
      <c r="K193" s="3486"/>
      <c r="L193" s="3486"/>
      <c r="M193" s="3486"/>
      <c r="N193" s="3486"/>
      <c r="O193" s="3486"/>
      <c r="P193" s="3486"/>
      <c r="Q193" s="3486"/>
      <c r="R193" s="3486"/>
      <c r="S193" s="3486"/>
      <c r="T193" s="3486"/>
      <c r="U193" s="3486"/>
      <c r="V193" s="3486"/>
      <c r="W193" s="3486"/>
      <c r="X193" s="3486"/>
      <c r="Y193" s="3943"/>
    </row>
    <row r="194" spans="1:25" s="3665" customFormat="1" ht="9.75" customHeight="1">
      <c r="A194" s="3485"/>
      <c r="B194" s="3486"/>
      <c r="C194" s="3486"/>
      <c r="D194" s="3486"/>
      <c r="E194" s="3486"/>
      <c r="F194" s="3486"/>
      <c r="G194" s="3486"/>
      <c r="H194" s="3486"/>
      <c r="I194" s="3486"/>
      <c r="J194" s="3486"/>
      <c r="K194" s="3486"/>
      <c r="L194" s="3486"/>
      <c r="M194" s="3486"/>
      <c r="N194" s="3486"/>
      <c r="O194" s="3486"/>
      <c r="P194" s="3486"/>
      <c r="Q194" s="3486"/>
      <c r="R194" s="3486"/>
      <c r="S194" s="3486"/>
      <c r="T194" s="3486"/>
      <c r="U194" s="3486"/>
      <c r="V194" s="3486"/>
      <c r="W194" s="3486"/>
      <c r="X194" s="3486"/>
      <c r="Y194" s="3943"/>
    </row>
    <row r="195" spans="1:25" s="3665" customFormat="1" ht="12.75" customHeight="1">
      <c r="A195" s="3485"/>
      <c r="B195" s="3486"/>
      <c r="C195" s="3486"/>
      <c r="D195" s="3486"/>
      <c r="E195" s="3486"/>
      <c r="F195" s="3486"/>
      <c r="G195" s="3486"/>
      <c r="H195" s="3486"/>
      <c r="I195" s="3486"/>
      <c r="J195" s="3486"/>
      <c r="K195" s="3486"/>
      <c r="L195" s="3486"/>
      <c r="M195" s="3486"/>
      <c r="N195" s="3486"/>
      <c r="O195" s="3486"/>
      <c r="P195" s="3486"/>
      <c r="Q195" s="3486"/>
      <c r="R195" s="3486"/>
      <c r="S195" s="3486"/>
      <c r="T195" s="3486"/>
      <c r="U195" s="3486"/>
      <c r="V195" s="3486"/>
      <c r="W195" s="3486"/>
      <c r="X195" s="3486"/>
      <c r="Y195" s="3943"/>
    </row>
    <row r="196" spans="1:25" s="3665" customFormat="1">
      <c r="A196" s="3485"/>
      <c r="B196" s="3486"/>
      <c r="C196" s="3486"/>
      <c r="D196" s="3486"/>
      <c r="E196" s="3486"/>
      <c r="F196" s="3486"/>
      <c r="G196" s="3486"/>
      <c r="H196" s="3486"/>
      <c r="I196" s="3486"/>
      <c r="J196" s="3486"/>
      <c r="K196" s="3486"/>
      <c r="L196" s="3486"/>
      <c r="M196" s="3486"/>
      <c r="N196" s="3486"/>
      <c r="O196" s="3486"/>
      <c r="P196" s="3486"/>
      <c r="Q196" s="3486"/>
      <c r="R196" s="3486"/>
      <c r="S196" s="3486"/>
      <c r="T196" s="3486"/>
      <c r="U196" s="3486"/>
      <c r="V196" s="3486"/>
      <c r="W196" s="3486"/>
      <c r="X196" s="3486"/>
      <c r="Y196" s="3943"/>
    </row>
    <row r="197" spans="1:25" s="3665" customFormat="1">
      <c r="A197" s="3485"/>
      <c r="B197" s="3486"/>
      <c r="C197" s="3486"/>
      <c r="D197" s="3486"/>
      <c r="E197" s="3486"/>
      <c r="F197" s="3486"/>
      <c r="G197" s="3486"/>
      <c r="H197" s="3486"/>
      <c r="I197" s="3486"/>
      <c r="J197" s="3486"/>
      <c r="K197" s="3486"/>
      <c r="L197" s="3486"/>
      <c r="M197" s="3486"/>
      <c r="N197" s="3486"/>
      <c r="O197" s="3486"/>
      <c r="P197" s="3486"/>
      <c r="Q197" s="3486"/>
      <c r="R197" s="3486"/>
      <c r="S197" s="3486"/>
      <c r="T197" s="3486"/>
      <c r="U197" s="3486"/>
      <c r="V197" s="3486"/>
      <c r="W197" s="3486"/>
      <c r="X197" s="3486"/>
      <c r="Y197" s="3943"/>
    </row>
    <row r="198" spans="1:25" s="3665" customFormat="1">
      <c r="A198" s="3485"/>
      <c r="B198" s="3486"/>
      <c r="C198" s="3486"/>
      <c r="D198" s="3486"/>
      <c r="E198" s="3486"/>
      <c r="F198" s="3486"/>
      <c r="G198" s="3486"/>
      <c r="H198" s="3486"/>
      <c r="I198" s="3486"/>
      <c r="J198" s="3486"/>
      <c r="K198" s="3486"/>
      <c r="L198" s="3486"/>
      <c r="M198" s="3486"/>
      <c r="N198" s="3486"/>
      <c r="O198" s="3486"/>
      <c r="P198" s="3486"/>
      <c r="Q198" s="3486"/>
      <c r="R198" s="3486"/>
      <c r="S198" s="3486"/>
      <c r="T198" s="3486"/>
      <c r="U198" s="3486"/>
      <c r="V198" s="3486"/>
      <c r="W198" s="3486"/>
      <c r="X198" s="3486"/>
      <c r="Y198" s="3943"/>
    </row>
    <row r="199" spans="1:25" s="3665" customFormat="1">
      <c r="A199" s="3485"/>
      <c r="B199" s="3486"/>
      <c r="C199" s="3486"/>
      <c r="D199" s="3486"/>
      <c r="E199" s="3486"/>
      <c r="F199" s="3486"/>
      <c r="G199" s="3486"/>
      <c r="H199" s="3486"/>
      <c r="I199" s="3486"/>
      <c r="J199" s="3486"/>
      <c r="K199" s="3486"/>
      <c r="L199" s="3486"/>
      <c r="M199" s="3486"/>
      <c r="N199" s="3486"/>
      <c r="O199" s="3486"/>
      <c r="P199" s="3486"/>
      <c r="Q199" s="3486"/>
      <c r="R199" s="3486"/>
      <c r="S199" s="3486"/>
      <c r="T199" s="3486"/>
      <c r="U199" s="3486"/>
      <c r="V199" s="3486"/>
      <c r="W199" s="3486"/>
      <c r="X199" s="3486"/>
      <c r="Y199" s="3943"/>
    </row>
    <row r="200" spans="1:25" s="3665" customFormat="1">
      <c r="A200" s="3485"/>
      <c r="B200" s="3486"/>
      <c r="C200" s="3486"/>
      <c r="D200" s="3486"/>
      <c r="E200" s="3486"/>
      <c r="F200" s="3486"/>
      <c r="G200" s="3486"/>
      <c r="H200" s="3486"/>
      <c r="I200" s="3486"/>
      <c r="J200" s="3486"/>
      <c r="K200" s="3486"/>
      <c r="L200" s="3486"/>
      <c r="M200" s="3486"/>
      <c r="N200" s="3486"/>
      <c r="O200" s="3486"/>
      <c r="P200" s="3486"/>
      <c r="Q200" s="3486"/>
      <c r="R200" s="3486"/>
      <c r="S200" s="3486"/>
      <c r="T200" s="3486"/>
      <c r="U200" s="3486"/>
      <c r="V200" s="3486"/>
      <c r="W200" s="3486"/>
      <c r="X200" s="3486"/>
      <c r="Y200" s="3943"/>
    </row>
    <row r="201" spans="1:25" s="3952" customFormat="1" ht="22.5" customHeight="1">
      <c r="A201" s="3485"/>
      <c r="B201" s="3486"/>
      <c r="C201" s="3486"/>
      <c r="D201" s="3486"/>
      <c r="E201" s="3486"/>
      <c r="F201" s="3486"/>
      <c r="G201" s="3486"/>
      <c r="H201" s="3486"/>
      <c r="I201" s="3486"/>
      <c r="J201" s="3486"/>
      <c r="K201" s="3486"/>
      <c r="L201" s="3486"/>
      <c r="M201" s="3486"/>
      <c r="N201" s="3486"/>
      <c r="O201" s="3486"/>
      <c r="P201" s="3486"/>
      <c r="Q201" s="3486"/>
      <c r="R201" s="3486"/>
      <c r="S201" s="3486"/>
      <c r="T201" s="3486"/>
      <c r="U201" s="3486"/>
      <c r="V201" s="3486"/>
      <c r="W201" s="3486"/>
      <c r="X201" s="3486"/>
      <c r="Y201" s="3943"/>
    </row>
    <row r="202" spans="1:25" s="3665" customFormat="1" ht="12.75" customHeight="1">
      <c r="A202" s="3485"/>
      <c r="B202" s="3486"/>
      <c r="C202" s="3486"/>
      <c r="D202" s="3486"/>
      <c r="E202" s="3486"/>
      <c r="F202" s="3486"/>
      <c r="G202" s="3486"/>
      <c r="H202" s="3486"/>
      <c r="I202" s="3486"/>
      <c r="J202" s="3486"/>
      <c r="K202" s="3486"/>
      <c r="L202" s="3486"/>
      <c r="M202" s="3486"/>
      <c r="N202" s="3486"/>
      <c r="O202" s="3486"/>
      <c r="P202" s="3486"/>
      <c r="Q202" s="3486"/>
      <c r="R202" s="3486"/>
      <c r="S202" s="3486"/>
      <c r="T202" s="3486"/>
      <c r="U202" s="3486"/>
      <c r="V202" s="3486"/>
      <c r="W202" s="3486"/>
      <c r="X202" s="3486"/>
      <c r="Y202" s="3943"/>
    </row>
    <row r="203" spans="1:25" s="3665" customFormat="1" ht="12.75" customHeight="1">
      <c r="A203" s="3485"/>
      <c r="B203" s="3486"/>
      <c r="C203" s="3486"/>
      <c r="D203" s="3486"/>
      <c r="E203" s="3486"/>
      <c r="F203" s="3486"/>
      <c r="G203" s="3486"/>
      <c r="H203" s="3486"/>
      <c r="I203" s="3486"/>
      <c r="J203" s="3486"/>
      <c r="K203" s="3486"/>
      <c r="L203" s="3486"/>
      <c r="M203" s="3486"/>
      <c r="N203" s="3486"/>
      <c r="O203" s="3486"/>
      <c r="P203" s="3486"/>
      <c r="Q203" s="3486"/>
      <c r="R203" s="3486"/>
      <c r="S203" s="3486"/>
      <c r="T203" s="3486"/>
      <c r="U203" s="3486"/>
      <c r="V203" s="3486"/>
      <c r="W203" s="3486"/>
      <c r="X203" s="3486"/>
      <c r="Y203" s="3943"/>
    </row>
    <row r="204" spans="1:25" s="3665" customFormat="1">
      <c r="A204" s="3485"/>
      <c r="B204" s="3486"/>
      <c r="C204" s="3486"/>
      <c r="D204" s="3486"/>
      <c r="E204" s="3486"/>
      <c r="F204" s="3486"/>
      <c r="G204" s="3486"/>
      <c r="H204" s="3486"/>
      <c r="I204" s="3486"/>
      <c r="J204" s="3486"/>
      <c r="K204" s="3486"/>
      <c r="L204" s="3486"/>
      <c r="M204" s="3486"/>
      <c r="N204" s="3486"/>
      <c r="O204" s="3486"/>
      <c r="P204" s="3486"/>
      <c r="Q204" s="3486"/>
      <c r="R204" s="3486"/>
      <c r="S204" s="3486"/>
      <c r="T204" s="3486"/>
      <c r="U204" s="3486"/>
      <c r="V204" s="3486"/>
      <c r="W204" s="3486"/>
      <c r="X204" s="3486"/>
      <c r="Y204" s="3943"/>
    </row>
    <row r="205" spans="1:25" s="3665" customFormat="1">
      <c r="A205" s="3485"/>
      <c r="B205" s="3486"/>
      <c r="C205" s="3486"/>
      <c r="D205" s="3486"/>
      <c r="E205" s="3486"/>
      <c r="F205" s="3486"/>
      <c r="G205" s="3486"/>
      <c r="H205" s="3486"/>
      <c r="I205" s="3486"/>
      <c r="J205" s="3486"/>
      <c r="K205" s="3486"/>
      <c r="L205" s="3486"/>
      <c r="M205" s="3486"/>
      <c r="N205" s="3486"/>
      <c r="O205" s="3486"/>
      <c r="P205" s="3486"/>
      <c r="Q205" s="3486"/>
      <c r="R205" s="3486"/>
      <c r="S205" s="3486"/>
      <c r="T205" s="3486"/>
      <c r="U205" s="3486"/>
      <c r="V205" s="3486"/>
      <c r="W205" s="3486"/>
      <c r="X205" s="3486"/>
      <c r="Y205" s="3943"/>
    </row>
    <row r="206" spans="1:25" s="3952" customFormat="1" ht="34.5" customHeight="1">
      <c r="A206" s="3485"/>
      <c r="B206" s="3486"/>
      <c r="C206" s="3486"/>
      <c r="D206" s="3486"/>
      <c r="E206" s="3486"/>
      <c r="F206" s="3486"/>
      <c r="G206" s="3486"/>
      <c r="H206" s="3486"/>
      <c r="I206" s="3486"/>
      <c r="J206" s="3486"/>
      <c r="K206" s="3486"/>
      <c r="L206" s="3486"/>
      <c r="M206" s="3486"/>
      <c r="N206" s="3486"/>
      <c r="O206" s="3486"/>
      <c r="P206" s="3486"/>
      <c r="Q206" s="3486"/>
      <c r="R206" s="3486"/>
      <c r="S206" s="3486"/>
      <c r="T206" s="3486"/>
      <c r="U206" s="3486"/>
      <c r="V206" s="3486"/>
      <c r="W206" s="3486"/>
      <c r="X206" s="3486"/>
      <c r="Y206" s="3943"/>
    </row>
    <row r="207" spans="1:25" s="3665" customFormat="1" ht="14.25" customHeight="1">
      <c r="A207" s="3485"/>
      <c r="B207" s="3486"/>
      <c r="C207" s="3486"/>
      <c r="D207" s="3486"/>
      <c r="E207" s="3486"/>
      <c r="F207" s="3486"/>
      <c r="G207" s="3486"/>
      <c r="H207" s="3486"/>
      <c r="I207" s="3486"/>
      <c r="J207" s="3486"/>
      <c r="K207" s="3486"/>
      <c r="L207" s="3486"/>
      <c r="M207" s="3486"/>
      <c r="N207" s="3486"/>
      <c r="O207" s="3486"/>
      <c r="P207" s="3486"/>
      <c r="Q207" s="3486"/>
      <c r="R207" s="3486"/>
      <c r="S207" s="3486"/>
      <c r="T207" s="3486"/>
      <c r="U207" s="3486"/>
      <c r="V207" s="3486"/>
      <c r="W207" s="3486"/>
      <c r="X207" s="3486"/>
      <c r="Y207" s="3943"/>
    </row>
    <row r="208" spans="1:25" s="3665" customFormat="1" ht="12.75" customHeight="1">
      <c r="A208" s="3485"/>
      <c r="B208" s="3486"/>
      <c r="C208" s="3486"/>
      <c r="D208" s="3486"/>
      <c r="E208" s="3486"/>
      <c r="F208" s="3486"/>
      <c r="G208" s="3486"/>
      <c r="H208" s="3486"/>
      <c r="I208" s="3486"/>
      <c r="J208" s="3486"/>
      <c r="K208" s="3486"/>
      <c r="L208" s="3486"/>
      <c r="M208" s="3486"/>
      <c r="N208" s="3486"/>
      <c r="O208" s="3486"/>
      <c r="P208" s="3486"/>
      <c r="Q208" s="3486"/>
      <c r="R208" s="3486"/>
      <c r="S208" s="3486"/>
      <c r="T208" s="3486"/>
      <c r="U208" s="3486"/>
      <c r="V208" s="3486"/>
      <c r="W208" s="3486"/>
      <c r="X208" s="3486"/>
      <c r="Y208" s="3943"/>
    </row>
    <row r="209" spans="1:25" s="3665" customFormat="1">
      <c r="A209" s="3485"/>
      <c r="B209" s="3486"/>
      <c r="C209" s="3486"/>
      <c r="D209" s="3486"/>
      <c r="E209" s="3486"/>
      <c r="F209" s="3486"/>
      <c r="G209" s="3486"/>
      <c r="H209" s="3486"/>
      <c r="I209" s="3486"/>
      <c r="J209" s="3486"/>
      <c r="K209" s="3486"/>
      <c r="L209" s="3486"/>
      <c r="M209" s="3486"/>
      <c r="N209" s="3486"/>
      <c r="O209" s="3486"/>
      <c r="P209" s="3486"/>
      <c r="Q209" s="3486"/>
      <c r="R209" s="3486"/>
      <c r="S209" s="3486"/>
      <c r="T209" s="3486"/>
      <c r="U209" s="3486"/>
      <c r="V209" s="3486"/>
      <c r="W209" s="3486"/>
      <c r="X209" s="3486"/>
      <c r="Y209" s="3943"/>
    </row>
    <row r="210" spans="1:25" s="3665" customFormat="1">
      <c r="A210" s="3485"/>
      <c r="B210" s="3486"/>
      <c r="C210" s="3486"/>
      <c r="D210" s="3486"/>
      <c r="E210" s="3486"/>
      <c r="F210" s="3486"/>
      <c r="G210" s="3486"/>
      <c r="H210" s="3486"/>
      <c r="I210" s="3486"/>
      <c r="J210" s="3486"/>
      <c r="K210" s="3486"/>
      <c r="L210" s="3486"/>
      <c r="M210" s="3486"/>
      <c r="N210" s="3486"/>
      <c r="O210" s="3486"/>
      <c r="P210" s="3486"/>
      <c r="Q210" s="3486"/>
      <c r="R210" s="3486"/>
      <c r="S210" s="3486"/>
      <c r="T210" s="3486"/>
      <c r="U210" s="3486"/>
      <c r="V210" s="3486"/>
      <c r="W210" s="3486"/>
      <c r="X210" s="3486"/>
      <c r="Y210" s="3943"/>
    </row>
    <row r="211" spans="1:25" s="3665" customFormat="1">
      <c r="A211" s="3485"/>
      <c r="B211" s="3486"/>
      <c r="C211" s="3486"/>
      <c r="D211" s="3486"/>
      <c r="E211" s="3486"/>
      <c r="F211" s="3486"/>
      <c r="G211" s="3486"/>
      <c r="H211" s="3486"/>
      <c r="I211" s="3486"/>
      <c r="J211" s="3486"/>
      <c r="K211" s="3486"/>
      <c r="L211" s="3486"/>
      <c r="M211" s="3486"/>
      <c r="N211" s="3486"/>
      <c r="O211" s="3486"/>
      <c r="P211" s="3486"/>
      <c r="Q211" s="3486"/>
      <c r="R211" s="3486"/>
      <c r="S211" s="3486"/>
      <c r="T211" s="3486"/>
      <c r="U211" s="3486"/>
      <c r="V211" s="3486"/>
      <c r="W211" s="3486"/>
      <c r="X211" s="3486"/>
      <c r="Y211" s="3943"/>
    </row>
    <row r="212" spans="1:25" s="3952" customFormat="1" ht="36.75" customHeight="1">
      <c r="A212" s="3485"/>
      <c r="B212" s="3486"/>
      <c r="C212" s="3486"/>
      <c r="D212" s="3486"/>
      <c r="E212" s="3486"/>
      <c r="F212" s="3486"/>
      <c r="G212" s="3486"/>
      <c r="H212" s="3486"/>
      <c r="I212" s="3486"/>
      <c r="J212" s="3486"/>
      <c r="K212" s="3486"/>
      <c r="L212" s="3486"/>
      <c r="M212" s="3486"/>
      <c r="N212" s="3486"/>
      <c r="O212" s="3486"/>
      <c r="P212" s="3486"/>
      <c r="Q212" s="3486"/>
      <c r="R212" s="3486"/>
      <c r="S212" s="3486"/>
      <c r="T212" s="3486"/>
      <c r="U212" s="3486"/>
      <c r="V212" s="3486"/>
      <c r="W212" s="3486"/>
      <c r="X212" s="3486"/>
      <c r="Y212" s="3943"/>
    </row>
    <row r="213" spans="1:25" s="3665" customFormat="1" ht="9.75" customHeight="1">
      <c r="A213" s="3485"/>
      <c r="B213" s="3486"/>
      <c r="C213" s="3486"/>
      <c r="D213" s="3486"/>
      <c r="E213" s="3486"/>
      <c r="F213" s="3486"/>
      <c r="G213" s="3486"/>
      <c r="H213" s="3486"/>
      <c r="I213" s="3486"/>
      <c r="J213" s="3486"/>
      <c r="K213" s="3486"/>
      <c r="L213" s="3486"/>
      <c r="M213" s="3486"/>
      <c r="N213" s="3486"/>
      <c r="O213" s="3486"/>
      <c r="P213" s="3486"/>
      <c r="Q213" s="3486"/>
      <c r="R213" s="3486"/>
      <c r="S213" s="3486"/>
      <c r="T213" s="3486"/>
      <c r="U213" s="3486"/>
      <c r="V213" s="3486"/>
      <c r="W213" s="3486"/>
      <c r="X213" s="3486"/>
      <c r="Y213" s="3943"/>
    </row>
    <row r="214" spans="1:25" s="3665" customFormat="1" ht="12.75" customHeight="1">
      <c r="A214" s="3485"/>
      <c r="B214" s="3486"/>
      <c r="C214" s="3486"/>
      <c r="D214" s="3486"/>
      <c r="E214" s="3486"/>
      <c r="F214" s="3486"/>
      <c r="G214" s="3486"/>
      <c r="H214" s="3486"/>
      <c r="I214" s="3486"/>
      <c r="J214" s="3486"/>
      <c r="K214" s="3486"/>
      <c r="L214" s="3486"/>
      <c r="M214" s="3486"/>
      <c r="N214" s="3486"/>
      <c r="O214" s="3486"/>
      <c r="P214" s="3486"/>
      <c r="Q214" s="3486"/>
      <c r="R214" s="3486"/>
      <c r="S214" s="3486"/>
      <c r="T214" s="3486"/>
      <c r="U214" s="3486"/>
      <c r="V214" s="3486"/>
      <c r="W214" s="3486"/>
      <c r="X214" s="3486"/>
      <c r="Y214" s="3943"/>
    </row>
    <row r="215" spans="1:25" s="3665" customFormat="1">
      <c r="A215" s="3485"/>
      <c r="B215" s="3486"/>
      <c r="C215" s="3486"/>
      <c r="D215" s="3486"/>
      <c r="E215" s="3486"/>
      <c r="F215" s="3486"/>
      <c r="G215" s="3486"/>
      <c r="H215" s="3486"/>
      <c r="I215" s="3486"/>
      <c r="J215" s="3486"/>
      <c r="K215" s="3486"/>
      <c r="L215" s="3486"/>
      <c r="M215" s="3486"/>
      <c r="N215" s="3486"/>
      <c r="O215" s="3486"/>
      <c r="P215" s="3486"/>
      <c r="Q215" s="3486"/>
      <c r="R215" s="3486"/>
      <c r="S215" s="3486"/>
      <c r="T215" s="3486"/>
      <c r="U215" s="3486"/>
      <c r="V215" s="3486"/>
      <c r="W215" s="3486"/>
      <c r="X215" s="3486"/>
      <c r="Y215" s="3943"/>
    </row>
    <row r="216" spans="1:25" s="3665" customFormat="1">
      <c r="A216" s="3485"/>
      <c r="B216" s="3486"/>
      <c r="C216" s="3486"/>
      <c r="D216" s="3486"/>
      <c r="E216" s="3486"/>
      <c r="F216" s="3486"/>
      <c r="G216" s="3486"/>
      <c r="H216" s="3486"/>
      <c r="I216" s="3486"/>
      <c r="J216" s="3486"/>
      <c r="K216" s="3486"/>
      <c r="L216" s="3486"/>
      <c r="M216" s="3486"/>
      <c r="N216" s="3486"/>
      <c r="O216" s="3486"/>
      <c r="P216" s="3486"/>
      <c r="Q216" s="3486"/>
      <c r="R216" s="3486"/>
      <c r="S216" s="3486"/>
      <c r="T216" s="3486"/>
      <c r="U216" s="3486"/>
      <c r="V216" s="3486"/>
      <c r="W216" s="3486"/>
      <c r="X216" s="3486"/>
      <c r="Y216" s="3943"/>
    </row>
    <row r="217" spans="1:25" s="3665" customFormat="1">
      <c r="A217" s="3485"/>
      <c r="B217" s="3486"/>
      <c r="C217" s="3486"/>
      <c r="D217" s="3486"/>
      <c r="E217" s="3486"/>
      <c r="F217" s="3486"/>
      <c r="G217" s="3486"/>
      <c r="H217" s="3486"/>
      <c r="I217" s="3486"/>
      <c r="J217" s="3486"/>
      <c r="K217" s="3486"/>
      <c r="L217" s="3486"/>
      <c r="M217" s="3486"/>
      <c r="N217" s="3486"/>
      <c r="O217" s="3486"/>
      <c r="P217" s="3486"/>
      <c r="Q217" s="3486"/>
      <c r="R217" s="3486"/>
      <c r="S217" s="3486"/>
      <c r="T217" s="3486"/>
      <c r="U217" s="3486"/>
      <c r="V217" s="3486"/>
      <c r="W217" s="3486"/>
      <c r="X217" s="3486"/>
      <c r="Y217" s="3943"/>
    </row>
    <row r="218" spans="1:25" s="3952" customFormat="1" ht="33.75" customHeight="1">
      <c r="A218" s="3485"/>
      <c r="B218" s="3486"/>
      <c r="C218" s="3486"/>
      <c r="D218" s="3486"/>
      <c r="E218" s="3486"/>
      <c r="F218" s="3486"/>
      <c r="G218" s="3486"/>
      <c r="H218" s="3486"/>
      <c r="I218" s="3486"/>
      <c r="J218" s="3486"/>
      <c r="K218" s="3486"/>
      <c r="L218" s="3486"/>
      <c r="M218" s="3486"/>
      <c r="N218" s="3486"/>
      <c r="O218" s="3486"/>
      <c r="P218" s="3486"/>
      <c r="Q218" s="3486"/>
      <c r="R218" s="3486"/>
      <c r="S218" s="3486"/>
      <c r="T218" s="3486"/>
      <c r="U218" s="3486"/>
      <c r="V218" s="3486"/>
      <c r="W218" s="3486"/>
      <c r="X218" s="3486"/>
      <c r="Y218" s="3943"/>
    </row>
    <row r="219" spans="1:25" s="3665" customFormat="1" ht="9.75" customHeight="1">
      <c r="A219" s="3485"/>
      <c r="B219" s="3486"/>
      <c r="C219" s="3486"/>
      <c r="D219" s="3486"/>
      <c r="E219" s="3486"/>
      <c r="F219" s="3486"/>
      <c r="G219" s="3486"/>
      <c r="H219" s="3486"/>
      <c r="I219" s="3486"/>
      <c r="J219" s="3486"/>
      <c r="K219" s="3486"/>
      <c r="L219" s="3486"/>
      <c r="M219" s="3486"/>
      <c r="N219" s="3486"/>
      <c r="O219" s="3486"/>
      <c r="P219" s="3486"/>
      <c r="Q219" s="3486"/>
      <c r="R219" s="3486"/>
      <c r="S219" s="3486"/>
      <c r="T219" s="3486"/>
      <c r="U219" s="3486"/>
      <c r="V219" s="3486"/>
      <c r="W219" s="3486"/>
      <c r="X219" s="3486"/>
      <c r="Y219" s="3943"/>
    </row>
    <row r="220" spans="1:25" s="3665" customFormat="1" ht="12.75" customHeight="1">
      <c r="A220" s="3485"/>
      <c r="B220" s="3486"/>
      <c r="C220" s="3486"/>
      <c r="D220" s="3486"/>
      <c r="E220" s="3486"/>
      <c r="F220" s="3486"/>
      <c r="G220" s="3486"/>
      <c r="H220" s="3486"/>
      <c r="I220" s="3486"/>
      <c r="J220" s="3486"/>
      <c r="K220" s="3486"/>
      <c r="L220" s="3486"/>
      <c r="M220" s="3486"/>
      <c r="N220" s="3486"/>
      <c r="O220" s="3486"/>
      <c r="P220" s="3486"/>
      <c r="Q220" s="3486"/>
      <c r="R220" s="3486"/>
      <c r="S220" s="3486"/>
      <c r="T220" s="3486"/>
      <c r="U220" s="3486"/>
      <c r="V220" s="3486"/>
      <c r="W220" s="3486"/>
      <c r="X220" s="3486"/>
      <c r="Y220" s="3943"/>
    </row>
    <row r="221" spans="1:25" s="3665" customFormat="1">
      <c r="A221" s="3485"/>
      <c r="B221" s="3486"/>
      <c r="C221" s="3486"/>
      <c r="D221" s="3486"/>
      <c r="E221" s="3486"/>
      <c r="F221" s="3486"/>
      <c r="G221" s="3486"/>
      <c r="H221" s="3486"/>
      <c r="I221" s="3486"/>
      <c r="J221" s="3486"/>
      <c r="K221" s="3486"/>
      <c r="L221" s="3486"/>
      <c r="M221" s="3486"/>
      <c r="N221" s="3486"/>
      <c r="O221" s="3486"/>
      <c r="P221" s="3486"/>
      <c r="Q221" s="3486"/>
      <c r="R221" s="3486"/>
      <c r="S221" s="3486"/>
      <c r="T221" s="3486"/>
      <c r="U221" s="3486"/>
      <c r="V221" s="3486"/>
      <c r="W221" s="3486"/>
      <c r="X221" s="3486"/>
      <c r="Y221" s="3943"/>
    </row>
    <row r="222" spans="1:25" s="3665" customFormat="1">
      <c r="A222" s="3485"/>
      <c r="B222" s="3486"/>
      <c r="C222" s="3486"/>
      <c r="D222" s="3486"/>
      <c r="E222" s="3486"/>
      <c r="F222" s="3486"/>
      <c r="G222" s="3486"/>
      <c r="H222" s="3486"/>
      <c r="I222" s="3486"/>
      <c r="J222" s="3486"/>
      <c r="K222" s="3486"/>
      <c r="L222" s="3486"/>
      <c r="M222" s="3486"/>
      <c r="N222" s="3486"/>
      <c r="O222" s="3486"/>
      <c r="P222" s="3486"/>
      <c r="Q222" s="3486"/>
      <c r="R222" s="3486"/>
      <c r="S222" s="3486"/>
      <c r="T222" s="3486"/>
      <c r="U222" s="3486"/>
      <c r="V222" s="3486"/>
      <c r="W222" s="3486"/>
      <c r="X222" s="3486"/>
      <c r="Y222" s="3943"/>
    </row>
    <row r="223" spans="1:25" s="3665" customFormat="1">
      <c r="A223" s="3485"/>
      <c r="B223" s="3486"/>
      <c r="C223" s="3486"/>
      <c r="D223" s="3486"/>
      <c r="E223" s="3486"/>
      <c r="F223" s="3486"/>
      <c r="G223" s="3486"/>
      <c r="H223" s="3486"/>
      <c r="I223" s="3486"/>
      <c r="J223" s="3486"/>
      <c r="K223" s="3486"/>
      <c r="L223" s="3486"/>
      <c r="M223" s="3486"/>
      <c r="N223" s="3486"/>
      <c r="O223" s="3486"/>
      <c r="P223" s="3486"/>
      <c r="Q223" s="3486"/>
      <c r="R223" s="3486"/>
      <c r="S223" s="3486"/>
      <c r="T223" s="3486"/>
      <c r="U223" s="3486"/>
      <c r="V223" s="3486"/>
      <c r="W223" s="3486"/>
      <c r="X223" s="3486"/>
      <c r="Y223" s="3943"/>
    </row>
    <row r="224" spans="1:25" s="3665" customFormat="1">
      <c r="A224" s="3485"/>
      <c r="B224" s="3486"/>
      <c r="C224" s="3486"/>
      <c r="D224" s="3486"/>
      <c r="E224" s="3486"/>
      <c r="F224" s="3486"/>
      <c r="G224" s="3486"/>
      <c r="H224" s="3486"/>
      <c r="I224" s="3486"/>
      <c r="J224" s="3486"/>
      <c r="K224" s="3486"/>
      <c r="L224" s="3486"/>
      <c r="M224" s="3486"/>
      <c r="N224" s="3486"/>
      <c r="O224" s="3486"/>
      <c r="P224" s="3486"/>
      <c r="Q224" s="3486"/>
      <c r="R224" s="3486"/>
      <c r="S224" s="3486"/>
      <c r="T224" s="3486"/>
      <c r="U224" s="3486"/>
      <c r="V224" s="3486"/>
      <c r="W224" s="3486"/>
      <c r="X224" s="3486"/>
      <c r="Y224" s="3943"/>
    </row>
    <row r="225" spans="1:25" s="3942" customFormat="1" ht="14.25" customHeight="1">
      <c r="A225" s="3485"/>
      <c r="B225" s="3486"/>
      <c r="C225" s="3486"/>
      <c r="D225" s="3486"/>
      <c r="E225" s="3486"/>
      <c r="F225" s="3486"/>
      <c r="G225" s="3486"/>
      <c r="H225" s="3486"/>
      <c r="I225" s="3486"/>
      <c r="J225" s="3486"/>
      <c r="K225" s="3486"/>
      <c r="L225" s="3486"/>
      <c r="M225" s="3486"/>
      <c r="N225" s="3486"/>
      <c r="O225" s="3486"/>
      <c r="P225" s="3486"/>
      <c r="Q225" s="3486"/>
      <c r="R225" s="3486"/>
      <c r="S225" s="3486"/>
      <c r="T225" s="3486"/>
      <c r="U225" s="3486"/>
      <c r="V225" s="3486"/>
      <c r="W225" s="3486"/>
      <c r="X225" s="3486"/>
      <c r="Y225" s="3943"/>
    </row>
    <row r="226" spans="1:25" s="3665" customFormat="1">
      <c r="A226" s="3485"/>
      <c r="B226" s="3486"/>
      <c r="C226" s="3486"/>
      <c r="D226" s="3486"/>
      <c r="E226" s="3486"/>
      <c r="F226" s="3486"/>
      <c r="G226" s="3486"/>
      <c r="H226" s="3486"/>
      <c r="I226" s="3486"/>
      <c r="J226" s="3486"/>
      <c r="K226" s="3486"/>
      <c r="L226" s="3486"/>
      <c r="M226" s="3486"/>
      <c r="N226" s="3486"/>
      <c r="O226" s="3486"/>
      <c r="P226" s="3486"/>
      <c r="Q226" s="3486"/>
      <c r="R226" s="3486"/>
      <c r="S226" s="3486"/>
      <c r="T226" s="3486"/>
      <c r="U226" s="3486"/>
      <c r="V226" s="3486"/>
      <c r="W226" s="3486"/>
      <c r="X226" s="3486"/>
      <c r="Y226" s="3943"/>
    </row>
    <row r="227" spans="1:25" s="3946" customFormat="1" ht="23.25" customHeight="1">
      <c r="A227" s="3485"/>
      <c r="B227" s="3486"/>
      <c r="C227" s="3486"/>
      <c r="D227" s="3486"/>
      <c r="E227" s="3486"/>
      <c r="F227" s="3486"/>
      <c r="G227" s="3486"/>
      <c r="H227" s="3486"/>
      <c r="I227" s="3486"/>
      <c r="J227" s="3486"/>
      <c r="K227" s="3486"/>
      <c r="L227" s="3486"/>
      <c r="M227" s="3486"/>
      <c r="N227" s="3486"/>
      <c r="O227" s="3486"/>
      <c r="P227" s="3486"/>
      <c r="Q227" s="3486"/>
      <c r="R227" s="3486"/>
      <c r="S227" s="3486"/>
      <c r="T227" s="3486"/>
      <c r="U227" s="3486"/>
      <c r="V227" s="3486"/>
      <c r="W227" s="3486"/>
      <c r="X227" s="3486"/>
      <c r="Y227" s="3943"/>
    </row>
    <row r="228" spans="1:25" s="3665" customFormat="1">
      <c r="A228" s="3485"/>
      <c r="B228" s="3486"/>
      <c r="C228" s="3486"/>
      <c r="D228" s="3486"/>
      <c r="E228" s="3486"/>
      <c r="F228" s="3486"/>
      <c r="G228" s="3486"/>
      <c r="H228" s="3486"/>
      <c r="I228" s="3486"/>
      <c r="J228" s="3486"/>
      <c r="K228" s="3486"/>
      <c r="L228" s="3486"/>
      <c r="M228" s="3486"/>
      <c r="N228" s="3486"/>
      <c r="O228" s="3486"/>
      <c r="P228" s="3486"/>
      <c r="Q228" s="3486"/>
      <c r="R228" s="3486"/>
      <c r="S228" s="3486"/>
      <c r="T228" s="3486"/>
      <c r="U228" s="3486"/>
      <c r="V228" s="3486"/>
      <c r="W228" s="3486"/>
      <c r="X228" s="3486"/>
      <c r="Y228" s="3943"/>
    </row>
    <row r="229" spans="1:25" s="3944" customFormat="1" ht="15.75" customHeight="1">
      <c r="A229" s="3485"/>
      <c r="B229" s="3486"/>
      <c r="C229" s="3486"/>
      <c r="D229" s="3486"/>
      <c r="E229" s="3486"/>
      <c r="F229" s="3486"/>
      <c r="G229" s="3486"/>
      <c r="H229" s="3486"/>
      <c r="I229" s="3486"/>
      <c r="J229" s="3486"/>
      <c r="K229" s="3486"/>
      <c r="L229" s="3486"/>
      <c r="M229" s="3486"/>
      <c r="N229" s="3486"/>
      <c r="O229" s="3486"/>
      <c r="P229" s="3486"/>
      <c r="Q229" s="3486"/>
      <c r="R229" s="3486"/>
      <c r="S229" s="3486"/>
      <c r="T229" s="3486"/>
      <c r="U229" s="3486"/>
      <c r="V229" s="3486"/>
      <c r="W229" s="3486"/>
      <c r="X229" s="3486"/>
      <c r="Y229" s="3943"/>
    </row>
    <row r="230" spans="1:25" s="3944" customFormat="1" ht="12.75" customHeight="1">
      <c r="A230" s="3485"/>
      <c r="B230" s="3486"/>
      <c r="C230" s="3486"/>
      <c r="D230" s="3486"/>
      <c r="E230" s="3486"/>
      <c r="F230" s="3486"/>
      <c r="G230" s="3486"/>
      <c r="H230" s="3486"/>
      <c r="I230" s="3486"/>
      <c r="J230" s="3486"/>
      <c r="K230" s="3486"/>
      <c r="L230" s="3486"/>
      <c r="M230" s="3486"/>
      <c r="N230" s="3486"/>
      <c r="O230" s="3486"/>
      <c r="P230" s="3486"/>
      <c r="Q230" s="3486"/>
      <c r="R230" s="3486"/>
      <c r="S230" s="3486"/>
      <c r="T230" s="3486"/>
      <c r="U230" s="3486"/>
      <c r="V230" s="3486"/>
      <c r="W230" s="3486"/>
      <c r="X230" s="3486"/>
      <c r="Y230" s="3943"/>
    </row>
    <row r="231" spans="1:25" s="3944" customFormat="1" ht="12.75" customHeight="1">
      <c r="A231" s="3485"/>
      <c r="B231" s="3486"/>
      <c r="C231" s="3486"/>
      <c r="D231" s="3486"/>
      <c r="E231" s="3486"/>
      <c r="F231" s="3486"/>
      <c r="G231" s="3486"/>
      <c r="H231" s="3486"/>
      <c r="I231" s="3486"/>
      <c r="J231" s="3486"/>
      <c r="K231" s="3486"/>
      <c r="L231" s="3486"/>
      <c r="M231" s="3486"/>
      <c r="N231" s="3486"/>
      <c r="O231" s="3486"/>
      <c r="P231" s="3486"/>
      <c r="Q231" s="3486"/>
      <c r="R231" s="3486"/>
      <c r="S231" s="3486"/>
      <c r="T231" s="3486"/>
      <c r="U231" s="3486"/>
      <c r="V231" s="3486"/>
      <c r="W231" s="3486"/>
      <c r="X231" s="3486"/>
      <c r="Y231" s="3943"/>
    </row>
    <row r="232" spans="1:25" s="3944" customFormat="1" ht="12" customHeight="1">
      <c r="A232" s="3485"/>
      <c r="B232" s="3486"/>
      <c r="C232" s="3486"/>
      <c r="D232" s="3486"/>
      <c r="E232" s="3486"/>
      <c r="F232" s="3486"/>
      <c r="G232" s="3486"/>
      <c r="H232" s="3486"/>
      <c r="I232" s="3486"/>
      <c r="J232" s="3486"/>
      <c r="K232" s="3486"/>
      <c r="L232" s="3486"/>
      <c r="M232" s="3486"/>
      <c r="N232" s="3486"/>
      <c r="O232" s="3486"/>
      <c r="P232" s="3486"/>
      <c r="Q232" s="3486"/>
      <c r="R232" s="3486"/>
      <c r="S232" s="3486"/>
      <c r="T232" s="3486"/>
      <c r="U232" s="3486"/>
      <c r="V232" s="3486"/>
      <c r="W232" s="3486"/>
      <c r="X232" s="3486"/>
      <c r="Y232" s="3943"/>
    </row>
    <row r="233" spans="1:25" s="3942" customFormat="1" ht="24" customHeight="1">
      <c r="A233" s="3485"/>
      <c r="B233" s="3486"/>
      <c r="C233" s="3486"/>
      <c r="D233" s="3486"/>
      <c r="E233" s="3486"/>
      <c r="F233" s="3486"/>
      <c r="G233" s="3486"/>
      <c r="H233" s="3486"/>
      <c r="I233" s="3486"/>
      <c r="J233" s="3486"/>
      <c r="K233" s="3486"/>
      <c r="L233" s="3486"/>
      <c r="M233" s="3486"/>
      <c r="N233" s="3486"/>
      <c r="O233" s="3486"/>
      <c r="P233" s="3486"/>
      <c r="Q233" s="3486"/>
      <c r="R233" s="3486"/>
      <c r="S233" s="3486"/>
      <c r="T233" s="3486"/>
      <c r="U233" s="3486"/>
      <c r="V233" s="3486"/>
      <c r="W233" s="3486"/>
      <c r="X233" s="3486"/>
      <c r="Y233" s="3943"/>
    </row>
    <row r="234" spans="1:25" s="3665" customFormat="1" ht="11.25" customHeight="1">
      <c r="A234" s="3485"/>
      <c r="B234" s="3486"/>
      <c r="C234" s="3486"/>
      <c r="D234" s="3486"/>
      <c r="E234" s="3486"/>
      <c r="F234" s="3486"/>
      <c r="G234" s="3486"/>
      <c r="H234" s="3486"/>
      <c r="I234" s="3486"/>
      <c r="J234" s="3486"/>
      <c r="K234" s="3486"/>
      <c r="L234" s="3486"/>
      <c r="M234" s="3486"/>
      <c r="N234" s="3486"/>
      <c r="O234" s="3486"/>
      <c r="P234" s="3486"/>
      <c r="Q234" s="3486"/>
      <c r="R234" s="3486"/>
      <c r="S234" s="3486"/>
      <c r="T234" s="3486"/>
      <c r="U234" s="3486"/>
      <c r="V234" s="3486"/>
      <c r="W234" s="3486"/>
      <c r="X234" s="3486"/>
      <c r="Y234" s="3943"/>
    </row>
    <row r="235" spans="1:25" s="3665" customFormat="1" ht="12.75" customHeight="1">
      <c r="A235" s="3485"/>
      <c r="B235" s="3486"/>
      <c r="C235" s="3486"/>
      <c r="D235" s="3486"/>
      <c r="E235" s="3486"/>
      <c r="F235" s="3486"/>
      <c r="G235" s="3486"/>
      <c r="H235" s="3486"/>
      <c r="I235" s="3486"/>
      <c r="J235" s="3486"/>
      <c r="K235" s="3486"/>
      <c r="L235" s="3486"/>
      <c r="M235" s="3486"/>
      <c r="N235" s="3486"/>
      <c r="O235" s="3486"/>
      <c r="P235" s="3486"/>
      <c r="Q235" s="3486"/>
      <c r="R235" s="3486"/>
      <c r="S235" s="3486"/>
      <c r="T235" s="3486"/>
      <c r="U235" s="3486"/>
      <c r="V235" s="3486"/>
      <c r="W235" s="3486"/>
      <c r="X235" s="3486"/>
      <c r="Y235" s="3943"/>
    </row>
    <row r="236" spans="1:25" s="3665" customFormat="1">
      <c r="A236" s="3485"/>
      <c r="B236" s="3486"/>
      <c r="C236" s="3486"/>
      <c r="D236" s="3486"/>
      <c r="E236" s="3486"/>
      <c r="F236" s="3486"/>
      <c r="G236" s="3486"/>
      <c r="H236" s="3486"/>
      <c r="I236" s="3486"/>
      <c r="J236" s="3486"/>
      <c r="K236" s="3486"/>
      <c r="L236" s="3486"/>
      <c r="M236" s="3486"/>
      <c r="N236" s="3486"/>
      <c r="O236" s="3486"/>
      <c r="P236" s="3486"/>
      <c r="Q236" s="3486"/>
      <c r="R236" s="3486"/>
      <c r="S236" s="3486"/>
      <c r="T236" s="3486"/>
      <c r="U236" s="3486"/>
      <c r="V236" s="3486"/>
      <c r="W236" s="3486"/>
      <c r="X236" s="3486"/>
      <c r="Y236" s="3943"/>
    </row>
    <row r="237" spans="1:25" s="3665" customFormat="1">
      <c r="A237" s="3485"/>
      <c r="B237" s="3486"/>
      <c r="C237" s="3486"/>
      <c r="D237" s="3486"/>
      <c r="E237" s="3486"/>
      <c r="F237" s="3486"/>
      <c r="G237" s="3486"/>
      <c r="H237" s="3486"/>
      <c r="I237" s="3486"/>
      <c r="J237" s="3486"/>
      <c r="K237" s="3486"/>
      <c r="L237" s="3486"/>
      <c r="M237" s="3486"/>
      <c r="N237" s="3486"/>
      <c r="O237" s="3486"/>
      <c r="P237" s="3486"/>
      <c r="Q237" s="3486"/>
      <c r="R237" s="3486"/>
      <c r="S237" s="3486"/>
      <c r="T237" s="3486"/>
      <c r="U237" s="3486"/>
      <c r="V237" s="3486"/>
      <c r="W237" s="3486"/>
      <c r="X237" s="3486"/>
      <c r="Y237" s="3943"/>
    </row>
    <row r="238" spans="1:25" s="3665" customFormat="1">
      <c r="A238" s="3485"/>
      <c r="B238" s="3486"/>
      <c r="C238" s="3486"/>
      <c r="D238" s="3486"/>
      <c r="E238" s="3486"/>
      <c r="F238" s="3486"/>
      <c r="G238" s="3486"/>
      <c r="H238" s="3486"/>
      <c r="I238" s="3486"/>
      <c r="J238" s="3486"/>
      <c r="K238" s="3486"/>
      <c r="L238" s="3486"/>
      <c r="M238" s="3486"/>
      <c r="N238" s="3486"/>
      <c r="O238" s="3486"/>
      <c r="P238" s="3486"/>
      <c r="Q238" s="3486"/>
      <c r="R238" s="3486"/>
      <c r="S238" s="3486"/>
      <c r="T238" s="3486"/>
      <c r="U238" s="3486"/>
      <c r="V238" s="3486"/>
      <c r="W238" s="3486"/>
      <c r="X238" s="3486"/>
      <c r="Y238" s="3943"/>
    </row>
    <row r="239" spans="1:25" s="3665" customFormat="1">
      <c r="A239" s="3485"/>
      <c r="B239" s="3486"/>
      <c r="C239" s="3486"/>
      <c r="D239" s="3486"/>
      <c r="E239" s="3486"/>
      <c r="F239" s="3486"/>
      <c r="G239" s="3486"/>
      <c r="H239" s="3486"/>
      <c r="I239" s="3486"/>
      <c r="J239" s="3486"/>
      <c r="K239" s="3486"/>
      <c r="L239" s="3486"/>
      <c r="M239" s="3486"/>
      <c r="N239" s="3486"/>
      <c r="O239" s="3486"/>
      <c r="P239" s="3486"/>
      <c r="Q239" s="3486"/>
      <c r="R239" s="3486"/>
      <c r="S239" s="3486"/>
      <c r="T239" s="3486"/>
      <c r="U239" s="3486"/>
      <c r="V239" s="3486"/>
      <c r="W239" s="3486"/>
      <c r="X239" s="3486"/>
      <c r="Y239" s="3943"/>
    </row>
    <row r="240" spans="1:25" s="3665" customFormat="1" ht="21.75" customHeight="1">
      <c r="A240" s="3485"/>
      <c r="B240" s="3486"/>
      <c r="C240" s="3486"/>
      <c r="D240" s="3486"/>
      <c r="E240" s="3486"/>
      <c r="F240" s="3486"/>
      <c r="G240" s="3486"/>
      <c r="H240" s="3486"/>
      <c r="I240" s="3486"/>
      <c r="J240" s="3486"/>
      <c r="K240" s="3486"/>
      <c r="L240" s="3486"/>
      <c r="M240" s="3486"/>
      <c r="N240" s="3486"/>
      <c r="O240" s="3486"/>
      <c r="P240" s="3486"/>
      <c r="Q240" s="3486"/>
      <c r="R240" s="3486"/>
      <c r="S240" s="3486"/>
      <c r="T240" s="3486"/>
      <c r="U240" s="3486"/>
      <c r="V240" s="3486"/>
      <c r="W240" s="3486"/>
      <c r="X240" s="3486"/>
      <c r="Y240" s="3943"/>
    </row>
    <row r="241" spans="1:25" s="3665" customFormat="1" ht="12.75" customHeight="1">
      <c r="A241" s="3485"/>
      <c r="B241" s="3486"/>
      <c r="C241" s="3486"/>
      <c r="D241" s="3486"/>
      <c r="E241" s="3486"/>
      <c r="F241" s="3486"/>
      <c r="G241" s="3486"/>
      <c r="H241" s="3486"/>
      <c r="I241" s="3486"/>
      <c r="J241" s="3486"/>
      <c r="K241" s="3486"/>
      <c r="L241" s="3486"/>
      <c r="M241" s="3486"/>
      <c r="N241" s="3486"/>
      <c r="O241" s="3486"/>
      <c r="P241" s="3486"/>
      <c r="Q241" s="3486"/>
      <c r="R241" s="3486"/>
      <c r="S241" s="3486"/>
      <c r="T241" s="3486"/>
      <c r="U241" s="3486"/>
      <c r="V241" s="3486"/>
      <c r="W241" s="3486"/>
      <c r="X241" s="3486"/>
      <c r="Y241" s="3943"/>
    </row>
    <row r="242" spans="1:25" s="3665" customFormat="1">
      <c r="A242" s="3485"/>
      <c r="B242" s="3486"/>
      <c r="C242" s="3486"/>
      <c r="D242" s="3486"/>
      <c r="E242" s="3486"/>
      <c r="F242" s="3486"/>
      <c r="G242" s="3486"/>
      <c r="H242" s="3486"/>
      <c r="I242" s="3486"/>
      <c r="J242" s="3486"/>
      <c r="K242" s="3486"/>
      <c r="L242" s="3486"/>
      <c r="M242" s="3486"/>
      <c r="N242" s="3486"/>
      <c r="O242" s="3486"/>
      <c r="P242" s="3486"/>
      <c r="Q242" s="3486"/>
      <c r="R242" s="3486"/>
      <c r="S242" s="3486"/>
      <c r="T242" s="3486"/>
      <c r="U242" s="3486"/>
      <c r="V242" s="3486"/>
      <c r="W242" s="3486"/>
      <c r="X242" s="3486"/>
      <c r="Y242" s="3943"/>
    </row>
    <row r="243" spans="1:25" s="3665" customFormat="1">
      <c r="A243" s="3485"/>
      <c r="B243" s="3486"/>
      <c r="C243" s="3486"/>
      <c r="D243" s="3486"/>
      <c r="E243" s="3486"/>
      <c r="F243" s="3486"/>
      <c r="G243" s="3486"/>
      <c r="H243" s="3486"/>
      <c r="I243" s="3486"/>
      <c r="J243" s="3486"/>
      <c r="K243" s="3486"/>
      <c r="L243" s="3486"/>
      <c r="M243" s="3486"/>
      <c r="N243" s="3486"/>
      <c r="O243" s="3486"/>
      <c r="P243" s="3486"/>
      <c r="Q243" s="3486"/>
      <c r="R243" s="3486"/>
      <c r="S243" s="3486"/>
      <c r="T243" s="3486"/>
      <c r="U243" s="3486"/>
      <c r="V243" s="3486"/>
      <c r="W243" s="3486"/>
      <c r="X243" s="3486"/>
      <c r="Y243" s="3943"/>
    </row>
    <row r="244" spans="1:25" s="3665" customFormat="1">
      <c r="A244" s="3485"/>
      <c r="B244" s="3486"/>
      <c r="C244" s="3486"/>
      <c r="D244" s="3486"/>
      <c r="E244" s="3486"/>
      <c r="F244" s="3486"/>
      <c r="G244" s="3486"/>
      <c r="H244" s="3486"/>
      <c r="I244" s="3486"/>
      <c r="J244" s="3486"/>
      <c r="K244" s="3486"/>
      <c r="L244" s="3486"/>
      <c r="M244" s="3486"/>
      <c r="N244" s="3486"/>
      <c r="O244" s="3486"/>
      <c r="P244" s="3486"/>
      <c r="Q244" s="3486"/>
      <c r="R244" s="3486"/>
      <c r="S244" s="3486"/>
      <c r="T244" s="3486"/>
      <c r="U244" s="3486"/>
      <c r="V244" s="3486"/>
      <c r="W244" s="3486"/>
      <c r="X244" s="3486"/>
      <c r="Y244" s="3943"/>
    </row>
    <row r="245" spans="1:25" s="3665" customFormat="1">
      <c r="A245" s="3485"/>
      <c r="B245" s="3486"/>
      <c r="C245" s="3486"/>
      <c r="D245" s="3486"/>
      <c r="E245" s="3486"/>
      <c r="F245" s="3486"/>
      <c r="G245" s="3486"/>
      <c r="H245" s="3486"/>
      <c r="I245" s="3486"/>
      <c r="J245" s="3486"/>
      <c r="K245" s="3486"/>
      <c r="L245" s="3486"/>
      <c r="M245" s="3486"/>
      <c r="N245" s="3486"/>
      <c r="O245" s="3486"/>
      <c r="P245" s="3486"/>
      <c r="Q245" s="3486"/>
      <c r="R245" s="3486"/>
      <c r="S245" s="3486"/>
      <c r="T245" s="3486"/>
      <c r="U245" s="3486"/>
      <c r="V245" s="3486"/>
      <c r="W245" s="3486"/>
      <c r="X245" s="3486"/>
      <c r="Y245" s="3943"/>
    </row>
    <row r="246" spans="1:25" s="3665" customFormat="1">
      <c r="A246" s="3485"/>
      <c r="B246" s="3486"/>
      <c r="C246" s="3486"/>
      <c r="D246" s="3486"/>
      <c r="E246" s="3486"/>
      <c r="F246" s="3486"/>
      <c r="G246" s="3486"/>
      <c r="H246" s="3486"/>
      <c r="I246" s="3486"/>
      <c r="J246" s="3486"/>
      <c r="K246" s="3486"/>
      <c r="L246" s="3486"/>
      <c r="M246" s="3486"/>
      <c r="N246" s="3486"/>
      <c r="O246" s="3486"/>
      <c r="P246" s="3486"/>
      <c r="Q246" s="3486"/>
      <c r="R246" s="3486"/>
      <c r="S246" s="3486"/>
      <c r="T246" s="3486"/>
      <c r="U246" s="3486"/>
      <c r="V246" s="3486"/>
      <c r="W246" s="3486"/>
      <c r="X246" s="3486"/>
      <c r="Y246" s="3943"/>
    </row>
    <row r="247" spans="1:25" s="3665" customFormat="1" ht="32.25" customHeight="1">
      <c r="A247" s="3485"/>
      <c r="B247" s="3486"/>
      <c r="C247" s="3486"/>
      <c r="D247" s="3486"/>
      <c r="E247" s="3486"/>
      <c r="F247" s="3486"/>
      <c r="G247" s="3486"/>
      <c r="H247" s="3486"/>
      <c r="I247" s="3486"/>
      <c r="J247" s="3486"/>
      <c r="K247" s="3486"/>
      <c r="L247" s="3486"/>
      <c r="M247" s="3486"/>
      <c r="N247" s="3486"/>
      <c r="O247" s="3486"/>
      <c r="P247" s="3486"/>
      <c r="Q247" s="3486"/>
      <c r="R247" s="3486"/>
      <c r="S247" s="3486"/>
      <c r="T247" s="3486"/>
      <c r="U247" s="3486"/>
      <c r="V247" s="3486"/>
      <c r="W247" s="3486"/>
      <c r="X247" s="3486"/>
      <c r="Y247" s="3943"/>
    </row>
    <row r="248" spans="1:25" s="3665" customFormat="1" ht="15" customHeight="1">
      <c r="A248" s="3485"/>
      <c r="B248" s="3486"/>
      <c r="C248" s="3486"/>
      <c r="D248" s="3486"/>
      <c r="E248" s="3486"/>
      <c r="F248" s="3486"/>
      <c r="G248" s="3486"/>
      <c r="H248" s="3486"/>
      <c r="I248" s="3486"/>
      <c r="J248" s="3486"/>
      <c r="K248" s="3486"/>
      <c r="L248" s="3486"/>
      <c r="M248" s="3486"/>
      <c r="N248" s="3486"/>
      <c r="O248" s="3486"/>
      <c r="P248" s="3486"/>
      <c r="Q248" s="3486"/>
      <c r="R248" s="3486"/>
      <c r="S248" s="3486"/>
      <c r="T248" s="3486"/>
      <c r="U248" s="3486"/>
      <c r="V248" s="3486"/>
      <c r="W248" s="3486"/>
      <c r="X248" s="3486"/>
      <c r="Y248" s="3943"/>
    </row>
    <row r="249" spans="1:25" s="3665" customFormat="1" ht="12.75" customHeight="1">
      <c r="A249" s="3485"/>
      <c r="B249" s="3486"/>
      <c r="C249" s="3486"/>
      <c r="D249" s="3486"/>
      <c r="E249" s="3486"/>
      <c r="F249" s="3486"/>
      <c r="G249" s="3486"/>
      <c r="H249" s="3486"/>
      <c r="I249" s="3486"/>
      <c r="J249" s="3486"/>
      <c r="K249" s="3486"/>
      <c r="L249" s="3486"/>
      <c r="M249" s="3486"/>
      <c r="N249" s="3486"/>
      <c r="O249" s="3486"/>
      <c r="P249" s="3486"/>
      <c r="Q249" s="3486"/>
      <c r="R249" s="3486"/>
      <c r="S249" s="3486"/>
      <c r="T249" s="3486"/>
      <c r="U249" s="3486"/>
      <c r="V249" s="3486"/>
      <c r="W249" s="3486"/>
      <c r="X249" s="3486"/>
      <c r="Y249" s="3943"/>
    </row>
    <row r="250" spans="1:25" s="3665" customFormat="1">
      <c r="A250" s="3485"/>
      <c r="B250" s="3486"/>
      <c r="C250" s="3486"/>
      <c r="D250" s="3486"/>
      <c r="E250" s="3486"/>
      <c r="F250" s="3486"/>
      <c r="G250" s="3486"/>
      <c r="H250" s="3486"/>
      <c r="I250" s="3486"/>
      <c r="J250" s="3486"/>
      <c r="K250" s="3486"/>
      <c r="L250" s="3486"/>
      <c r="M250" s="3486"/>
      <c r="N250" s="3486"/>
      <c r="O250" s="3486"/>
      <c r="P250" s="3486"/>
      <c r="Q250" s="3486"/>
      <c r="R250" s="3486"/>
      <c r="S250" s="3486"/>
      <c r="T250" s="3486"/>
      <c r="U250" s="3486"/>
      <c r="V250" s="3486"/>
      <c r="W250" s="3486"/>
      <c r="X250" s="3486"/>
      <c r="Y250" s="3943"/>
    </row>
    <row r="251" spans="1:25" s="3665" customFormat="1">
      <c r="A251" s="3485"/>
      <c r="B251" s="3486"/>
      <c r="C251" s="3486"/>
      <c r="D251" s="3486"/>
      <c r="E251" s="3486"/>
      <c r="F251" s="3486"/>
      <c r="G251" s="3486"/>
      <c r="H251" s="3486"/>
      <c r="I251" s="3486"/>
      <c r="J251" s="3486"/>
      <c r="K251" s="3486"/>
      <c r="L251" s="3486"/>
      <c r="M251" s="3486"/>
      <c r="N251" s="3486"/>
      <c r="O251" s="3486"/>
      <c r="P251" s="3486"/>
      <c r="Q251" s="3486"/>
      <c r="R251" s="3486"/>
      <c r="S251" s="3486"/>
      <c r="T251" s="3486"/>
      <c r="U251" s="3486"/>
      <c r="V251" s="3486"/>
      <c r="W251" s="3486"/>
      <c r="X251" s="3486"/>
      <c r="Y251" s="3943"/>
    </row>
    <row r="252" spans="1:25" s="3665" customFormat="1">
      <c r="A252" s="3485"/>
      <c r="B252" s="3486"/>
      <c r="C252" s="3486"/>
      <c r="D252" s="3486"/>
      <c r="E252" s="3486"/>
      <c r="F252" s="3486"/>
      <c r="G252" s="3486"/>
      <c r="H252" s="3486"/>
      <c r="I252" s="3486"/>
      <c r="J252" s="3486"/>
      <c r="K252" s="3486"/>
      <c r="L252" s="3486"/>
      <c r="M252" s="3486"/>
      <c r="N252" s="3486"/>
      <c r="O252" s="3486"/>
      <c r="P252" s="3486"/>
      <c r="Q252" s="3486"/>
      <c r="R252" s="3486"/>
      <c r="S252" s="3486"/>
      <c r="T252" s="3486"/>
      <c r="U252" s="3486"/>
      <c r="V252" s="3486"/>
      <c r="W252" s="3486"/>
      <c r="X252" s="3486"/>
      <c r="Y252" s="3943"/>
    </row>
    <row r="253" spans="1:25" s="3665" customFormat="1" ht="11.25" customHeight="1">
      <c r="A253" s="3485"/>
      <c r="B253" s="3486"/>
      <c r="C253" s="3486"/>
      <c r="D253" s="3486"/>
      <c r="E253" s="3486"/>
      <c r="F253" s="3486"/>
      <c r="G253" s="3486"/>
      <c r="H253" s="3486"/>
      <c r="I253" s="3486"/>
      <c r="J253" s="3486"/>
      <c r="K253" s="3486"/>
      <c r="L253" s="3486"/>
      <c r="M253" s="3486"/>
      <c r="N253" s="3486"/>
      <c r="O253" s="3486"/>
      <c r="P253" s="3486"/>
      <c r="Q253" s="3486"/>
      <c r="R253" s="3486"/>
      <c r="S253" s="3486"/>
      <c r="T253" s="3486"/>
      <c r="U253" s="3486"/>
      <c r="V253" s="3486"/>
      <c r="W253" s="3486"/>
      <c r="X253" s="3486"/>
      <c r="Y253" s="3943"/>
    </row>
    <row r="254" spans="1:25" s="3665" customFormat="1" ht="12.75" customHeight="1">
      <c r="A254" s="3485"/>
      <c r="B254" s="3486"/>
      <c r="C254" s="3486"/>
      <c r="D254" s="3486"/>
      <c r="E254" s="3486"/>
      <c r="F254" s="3486"/>
      <c r="G254" s="3486"/>
      <c r="H254" s="3486"/>
      <c r="I254" s="3486"/>
      <c r="J254" s="3486"/>
      <c r="K254" s="3486"/>
      <c r="L254" s="3486"/>
      <c r="M254" s="3486"/>
      <c r="N254" s="3486"/>
      <c r="O254" s="3486"/>
      <c r="P254" s="3486"/>
      <c r="Q254" s="3486"/>
      <c r="R254" s="3486"/>
      <c r="S254" s="3486"/>
      <c r="T254" s="3486"/>
      <c r="U254" s="3486"/>
      <c r="V254" s="3486"/>
      <c r="W254" s="3486"/>
      <c r="X254" s="3486"/>
      <c r="Y254" s="3943"/>
    </row>
    <row r="255" spans="1:25" s="3665" customFormat="1" ht="12.75" customHeight="1">
      <c r="A255" s="3485"/>
      <c r="B255" s="3486"/>
      <c r="C255" s="3486"/>
      <c r="D255" s="3486"/>
      <c r="E255" s="3486"/>
      <c r="F255" s="3486"/>
      <c r="G255" s="3486"/>
      <c r="H255" s="3486"/>
      <c r="I255" s="3486"/>
      <c r="J255" s="3486"/>
      <c r="K255" s="3486"/>
      <c r="L255" s="3486"/>
      <c r="M255" s="3486"/>
      <c r="N255" s="3486"/>
      <c r="O255" s="3486"/>
      <c r="P255" s="3486"/>
      <c r="Q255" s="3486"/>
      <c r="R255" s="3486"/>
      <c r="S255" s="3486"/>
      <c r="T255" s="3486"/>
      <c r="U255" s="3486"/>
      <c r="V255" s="3486"/>
      <c r="W255" s="3486"/>
      <c r="X255" s="3486"/>
      <c r="Y255" s="3943"/>
    </row>
    <row r="256" spans="1:25" s="3665" customFormat="1">
      <c r="A256" s="3485"/>
      <c r="B256" s="3486"/>
      <c r="C256" s="3486"/>
      <c r="D256" s="3486"/>
      <c r="E256" s="3486"/>
      <c r="F256" s="3486"/>
      <c r="G256" s="3486"/>
      <c r="H256" s="3486"/>
      <c r="I256" s="3486"/>
      <c r="J256" s="3486"/>
      <c r="K256" s="3486"/>
      <c r="L256" s="3486"/>
      <c r="M256" s="3486"/>
      <c r="N256" s="3486"/>
      <c r="O256" s="3486"/>
      <c r="P256" s="3486"/>
      <c r="Q256" s="3486"/>
      <c r="R256" s="3486"/>
      <c r="S256" s="3486"/>
      <c r="T256" s="3486"/>
      <c r="U256" s="3486"/>
      <c r="V256" s="3486"/>
      <c r="W256" s="3486"/>
      <c r="X256" s="3486"/>
      <c r="Y256" s="3943"/>
    </row>
    <row r="257" spans="1:25" s="3665" customFormat="1">
      <c r="A257" s="3485"/>
      <c r="B257" s="3486"/>
      <c r="C257" s="3486"/>
      <c r="D257" s="3486"/>
      <c r="E257" s="3486"/>
      <c r="F257" s="3486"/>
      <c r="G257" s="3486"/>
      <c r="H257" s="3486"/>
      <c r="I257" s="3486"/>
      <c r="J257" s="3486"/>
      <c r="K257" s="3486"/>
      <c r="L257" s="3486"/>
      <c r="M257" s="3486"/>
      <c r="N257" s="3486"/>
      <c r="O257" s="3486"/>
      <c r="P257" s="3486"/>
      <c r="Q257" s="3486"/>
      <c r="R257" s="3486"/>
      <c r="S257" s="3486"/>
      <c r="T257" s="3486"/>
      <c r="U257" s="3486"/>
      <c r="V257" s="3486"/>
      <c r="W257" s="3486"/>
      <c r="X257" s="3486"/>
      <c r="Y257" s="3943"/>
    </row>
    <row r="258" spans="1:25" s="3665" customFormat="1">
      <c r="A258" s="3485"/>
      <c r="B258" s="3486"/>
      <c r="C258" s="3486"/>
      <c r="D258" s="3486"/>
      <c r="E258" s="3486"/>
      <c r="F258" s="3486"/>
      <c r="G258" s="3486"/>
      <c r="H258" s="3486"/>
      <c r="I258" s="3486"/>
      <c r="J258" s="3486"/>
      <c r="K258" s="3486"/>
      <c r="L258" s="3486"/>
      <c r="M258" s="3486"/>
      <c r="N258" s="3486"/>
      <c r="O258" s="3486"/>
      <c r="P258" s="3486"/>
      <c r="Q258" s="3486"/>
      <c r="R258" s="3486"/>
      <c r="S258" s="3486"/>
      <c r="T258" s="3486"/>
      <c r="U258" s="3486"/>
      <c r="V258" s="3486"/>
      <c r="W258" s="3486"/>
      <c r="X258" s="3486"/>
      <c r="Y258" s="3943"/>
    </row>
    <row r="259" spans="1:25" s="3665" customFormat="1">
      <c r="A259" s="3485"/>
      <c r="B259" s="3486"/>
      <c r="C259" s="3486"/>
      <c r="D259" s="3486"/>
      <c r="E259" s="3486"/>
      <c r="F259" s="3486"/>
      <c r="G259" s="3486"/>
      <c r="H259" s="3486"/>
      <c r="I259" s="3486"/>
      <c r="J259" s="3486"/>
      <c r="K259" s="3486"/>
      <c r="L259" s="3486"/>
      <c r="M259" s="3486"/>
      <c r="N259" s="3486"/>
      <c r="O259" s="3486"/>
      <c r="P259" s="3486"/>
      <c r="Q259" s="3486"/>
      <c r="R259" s="3486"/>
      <c r="S259" s="3486"/>
      <c r="T259" s="3486"/>
      <c r="U259" s="3486"/>
      <c r="V259" s="3486"/>
      <c r="W259" s="3486"/>
      <c r="X259" s="3486"/>
      <c r="Y259" s="3943"/>
    </row>
    <row r="260" spans="1:25" s="3952" customFormat="1" ht="24.75" customHeight="1">
      <c r="A260" s="3485"/>
      <c r="B260" s="3486"/>
      <c r="C260" s="3486"/>
      <c r="D260" s="3486"/>
      <c r="E260" s="3486"/>
      <c r="F260" s="3486"/>
      <c r="G260" s="3486"/>
      <c r="H260" s="3486"/>
      <c r="I260" s="3486"/>
      <c r="J260" s="3486"/>
      <c r="K260" s="3486"/>
      <c r="L260" s="3486"/>
      <c r="M260" s="3486"/>
      <c r="N260" s="3486"/>
      <c r="O260" s="3486"/>
      <c r="P260" s="3486"/>
      <c r="Q260" s="3486"/>
      <c r="R260" s="3486"/>
      <c r="S260" s="3486"/>
      <c r="T260" s="3486"/>
      <c r="U260" s="3486"/>
      <c r="V260" s="3486"/>
      <c r="W260" s="3486"/>
      <c r="X260" s="3486"/>
      <c r="Y260" s="3943"/>
    </row>
    <row r="261" spans="1:25" s="3665" customFormat="1" ht="12.75" customHeight="1">
      <c r="A261" s="3485"/>
      <c r="B261" s="3486"/>
      <c r="C261" s="3486"/>
      <c r="D261" s="3486"/>
      <c r="E261" s="3486"/>
      <c r="F261" s="3486"/>
      <c r="G261" s="3486"/>
      <c r="H261" s="3486"/>
      <c r="I261" s="3486"/>
      <c r="J261" s="3486"/>
      <c r="K261" s="3486"/>
      <c r="L261" s="3486"/>
      <c r="M261" s="3486"/>
      <c r="N261" s="3486"/>
      <c r="O261" s="3486"/>
      <c r="P261" s="3486"/>
      <c r="Q261" s="3486"/>
      <c r="R261" s="3486"/>
      <c r="S261" s="3486"/>
      <c r="T261" s="3486"/>
      <c r="U261" s="3486"/>
      <c r="V261" s="3486"/>
      <c r="W261" s="3486"/>
      <c r="X261" s="3486"/>
      <c r="Y261" s="3943"/>
    </row>
    <row r="262" spans="1:25" s="3665" customFormat="1" ht="12.75" customHeight="1">
      <c r="A262" s="3485"/>
      <c r="B262" s="3486"/>
      <c r="C262" s="3486"/>
      <c r="D262" s="3486"/>
      <c r="E262" s="3486"/>
      <c r="F262" s="3486"/>
      <c r="G262" s="3486"/>
      <c r="H262" s="3486"/>
      <c r="I262" s="3486"/>
      <c r="J262" s="3486"/>
      <c r="K262" s="3486"/>
      <c r="L262" s="3486"/>
      <c r="M262" s="3486"/>
      <c r="N262" s="3486"/>
      <c r="O262" s="3486"/>
      <c r="P262" s="3486"/>
      <c r="Q262" s="3486"/>
      <c r="R262" s="3486"/>
      <c r="S262" s="3486"/>
      <c r="T262" s="3486"/>
      <c r="U262" s="3486"/>
      <c r="V262" s="3486"/>
      <c r="W262" s="3486"/>
      <c r="X262" s="3486"/>
      <c r="Y262" s="3943"/>
    </row>
    <row r="263" spans="1:25" s="3665" customFormat="1">
      <c r="A263" s="3485"/>
      <c r="B263" s="3486"/>
      <c r="C263" s="3486"/>
      <c r="D263" s="3486"/>
      <c r="E263" s="3486"/>
      <c r="F263" s="3486"/>
      <c r="G263" s="3486"/>
      <c r="H263" s="3486"/>
      <c r="I263" s="3486"/>
      <c r="J263" s="3486"/>
      <c r="K263" s="3486"/>
      <c r="L263" s="3486"/>
      <c r="M263" s="3486"/>
      <c r="N263" s="3486"/>
      <c r="O263" s="3486"/>
      <c r="P263" s="3486"/>
      <c r="Q263" s="3486"/>
      <c r="R263" s="3486"/>
      <c r="S263" s="3486"/>
      <c r="T263" s="3486"/>
      <c r="U263" s="3486"/>
      <c r="V263" s="3486"/>
      <c r="W263" s="3486"/>
      <c r="X263" s="3486"/>
      <c r="Y263" s="3943"/>
    </row>
    <row r="264" spans="1:25" s="3665" customFormat="1">
      <c r="A264" s="3485"/>
      <c r="B264" s="3486"/>
      <c r="C264" s="3486"/>
      <c r="D264" s="3486"/>
      <c r="E264" s="3486"/>
      <c r="F264" s="3486"/>
      <c r="G264" s="3486"/>
      <c r="H264" s="3486"/>
      <c r="I264" s="3486"/>
      <c r="J264" s="3486"/>
      <c r="K264" s="3486"/>
      <c r="L264" s="3486"/>
      <c r="M264" s="3486"/>
      <c r="N264" s="3486"/>
      <c r="O264" s="3486"/>
      <c r="P264" s="3486"/>
      <c r="Q264" s="3486"/>
      <c r="R264" s="3486"/>
      <c r="S264" s="3486"/>
      <c r="T264" s="3486"/>
      <c r="U264" s="3486"/>
      <c r="V264" s="3486"/>
      <c r="W264" s="3486"/>
      <c r="X264" s="3486"/>
      <c r="Y264" s="3943"/>
    </row>
    <row r="265" spans="1:25" s="3665" customFormat="1">
      <c r="A265" s="3485"/>
      <c r="B265" s="3486"/>
      <c r="C265" s="3486"/>
      <c r="D265" s="3486"/>
      <c r="E265" s="3486"/>
      <c r="F265" s="3486"/>
      <c r="G265" s="3486"/>
      <c r="H265" s="3486"/>
      <c r="I265" s="3486"/>
      <c r="J265" s="3486"/>
      <c r="K265" s="3486"/>
      <c r="L265" s="3486"/>
      <c r="M265" s="3486"/>
      <c r="N265" s="3486"/>
      <c r="O265" s="3486"/>
      <c r="P265" s="3486"/>
      <c r="Q265" s="3486"/>
      <c r="R265" s="3486"/>
      <c r="S265" s="3486"/>
      <c r="T265" s="3486"/>
      <c r="U265" s="3486"/>
      <c r="V265" s="3486"/>
      <c r="W265" s="3486"/>
      <c r="X265" s="3486"/>
      <c r="Y265" s="3943"/>
    </row>
    <row r="266" spans="1:25" s="3952" customFormat="1" ht="23.25" customHeight="1">
      <c r="A266" s="3485"/>
      <c r="B266" s="3486"/>
      <c r="C266" s="3486"/>
      <c r="D266" s="3486"/>
      <c r="E266" s="3486"/>
      <c r="F266" s="3486"/>
      <c r="G266" s="3486"/>
      <c r="H266" s="3486"/>
      <c r="I266" s="3486"/>
      <c r="J266" s="3486"/>
      <c r="K266" s="3486"/>
      <c r="L266" s="3486"/>
      <c r="M266" s="3486"/>
      <c r="N266" s="3486"/>
      <c r="O266" s="3486"/>
      <c r="P266" s="3486"/>
      <c r="Q266" s="3486"/>
      <c r="R266" s="3486"/>
      <c r="S266" s="3486"/>
      <c r="T266" s="3486"/>
      <c r="U266" s="3486"/>
      <c r="V266" s="3486"/>
      <c r="W266" s="3486"/>
      <c r="X266" s="3486"/>
      <c r="Y266" s="3943"/>
    </row>
    <row r="267" spans="1:25" s="3665" customFormat="1" ht="15" customHeight="1">
      <c r="A267" s="3485"/>
      <c r="B267" s="3486"/>
      <c r="C267" s="3486"/>
      <c r="D267" s="3486"/>
      <c r="E267" s="3486"/>
      <c r="F267" s="3486"/>
      <c r="G267" s="3486"/>
      <c r="H267" s="3486"/>
      <c r="I267" s="3486"/>
      <c r="J267" s="3486"/>
      <c r="K267" s="3486"/>
      <c r="L267" s="3486"/>
      <c r="M267" s="3486"/>
      <c r="N267" s="3486"/>
      <c r="O267" s="3486"/>
      <c r="P267" s="3486"/>
      <c r="Q267" s="3486"/>
      <c r="R267" s="3486"/>
      <c r="S267" s="3486"/>
      <c r="T267" s="3486"/>
      <c r="U267" s="3486"/>
      <c r="V267" s="3486"/>
      <c r="W267" s="3486"/>
      <c r="X267" s="3486"/>
      <c r="Y267" s="3943"/>
    </row>
    <row r="268" spans="1:25" s="3665" customFormat="1" ht="12.75" customHeight="1">
      <c r="A268" s="3485"/>
      <c r="B268" s="3486"/>
      <c r="C268" s="3486"/>
      <c r="D268" s="3486"/>
      <c r="E268" s="3486"/>
      <c r="F268" s="3486"/>
      <c r="G268" s="3486"/>
      <c r="H268" s="3486"/>
      <c r="I268" s="3486"/>
      <c r="J268" s="3486"/>
      <c r="K268" s="3486"/>
      <c r="L268" s="3486"/>
      <c r="M268" s="3486"/>
      <c r="N268" s="3486"/>
      <c r="O268" s="3486"/>
      <c r="P268" s="3486"/>
      <c r="Q268" s="3486"/>
      <c r="R268" s="3486"/>
      <c r="S268" s="3486"/>
      <c r="T268" s="3486"/>
      <c r="U268" s="3486"/>
      <c r="V268" s="3486"/>
      <c r="W268" s="3486"/>
      <c r="X268" s="3486"/>
      <c r="Y268" s="3943"/>
    </row>
    <row r="269" spans="1:25" s="3665" customFormat="1">
      <c r="A269" s="3485"/>
      <c r="B269" s="3486"/>
      <c r="C269" s="3486"/>
      <c r="D269" s="3486"/>
      <c r="E269" s="3486"/>
      <c r="F269" s="3486"/>
      <c r="G269" s="3486"/>
      <c r="H269" s="3486"/>
      <c r="I269" s="3486"/>
      <c r="J269" s="3486"/>
      <c r="K269" s="3486"/>
      <c r="L269" s="3486"/>
      <c r="M269" s="3486"/>
      <c r="N269" s="3486"/>
      <c r="O269" s="3486"/>
      <c r="P269" s="3486"/>
      <c r="Q269" s="3486"/>
      <c r="R269" s="3486"/>
      <c r="S269" s="3486"/>
      <c r="T269" s="3486"/>
      <c r="U269" s="3486"/>
      <c r="V269" s="3486"/>
      <c r="W269" s="3486"/>
      <c r="X269" s="3486"/>
      <c r="Y269" s="3943"/>
    </row>
    <row r="270" spans="1:25" s="3665" customFormat="1">
      <c r="A270" s="3485"/>
      <c r="B270" s="3486"/>
      <c r="C270" s="3486"/>
      <c r="D270" s="3486"/>
      <c r="E270" s="3486"/>
      <c r="F270" s="3486"/>
      <c r="G270" s="3486"/>
      <c r="H270" s="3486"/>
      <c r="I270" s="3486"/>
      <c r="J270" s="3486"/>
      <c r="K270" s="3486"/>
      <c r="L270" s="3486"/>
      <c r="M270" s="3486"/>
      <c r="N270" s="3486"/>
      <c r="O270" s="3486"/>
      <c r="P270" s="3486"/>
      <c r="Q270" s="3486"/>
      <c r="R270" s="3486"/>
      <c r="S270" s="3486"/>
      <c r="T270" s="3486"/>
      <c r="U270" s="3486"/>
      <c r="V270" s="3486"/>
      <c r="W270" s="3486"/>
      <c r="X270" s="3486"/>
      <c r="Y270" s="3943"/>
    </row>
    <row r="271" spans="1:25" s="3952" customFormat="1" ht="12.75" customHeight="1">
      <c r="A271" s="3485"/>
      <c r="B271" s="3486"/>
      <c r="C271" s="3486"/>
      <c r="D271" s="3486"/>
      <c r="E271" s="3486"/>
      <c r="F271" s="3486"/>
      <c r="G271" s="3486"/>
      <c r="H271" s="3486"/>
      <c r="I271" s="3486"/>
      <c r="J271" s="3486"/>
      <c r="K271" s="3486"/>
      <c r="L271" s="3486"/>
      <c r="M271" s="3486"/>
      <c r="N271" s="3486"/>
      <c r="O271" s="3486"/>
      <c r="P271" s="3486"/>
      <c r="Q271" s="3486"/>
      <c r="R271" s="3486"/>
      <c r="S271" s="3486"/>
      <c r="T271" s="3486"/>
      <c r="U271" s="3486"/>
      <c r="V271" s="3486"/>
      <c r="W271" s="3486"/>
      <c r="X271" s="3486"/>
      <c r="Y271" s="3943"/>
    </row>
    <row r="272" spans="1:25" s="3665" customFormat="1" ht="9.75" customHeight="1">
      <c r="A272" s="3485"/>
      <c r="B272" s="3486"/>
      <c r="C272" s="3486"/>
      <c r="D272" s="3486"/>
      <c r="E272" s="3486"/>
      <c r="F272" s="3486"/>
      <c r="G272" s="3486"/>
      <c r="H272" s="3486"/>
      <c r="I272" s="3486"/>
      <c r="J272" s="3486"/>
      <c r="K272" s="3486"/>
      <c r="L272" s="3486"/>
      <c r="M272" s="3486"/>
      <c r="N272" s="3486"/>
      <c r="O272" s="3486"/>
      <c r="P272" s="3486"/>
      <c r="Q272" s="3486"/>
      <c r="R272" s="3486"/>
      <c r="S272" s="3486"/>
      <c r="T272" s="3486"/>
      <c r="U272" s="3486"/>
      <c r="V272" s="3486"/>
      <c r="W272" s="3486"/>
      <c r="X272" s="3486"/>
      <c r="Y272" s="3943"/>
    </row>
    <row r="273" spans="1:25" s="3665" customFormat="1" ht="12.75" customHeight="1">
      <c r="A273" s="3485"/>
      <c r="B273" s="3486"/>
      <c r="C273" s="3486"/>
      <c r="D273" s="3486"/>
      <c r="E273" s="3486"/>
      <c r="F273" s="3486"/>
      <c r="G273" s="3486"/>
      <c r="H273" s="3486"/>
      <c r="I273" s="3486"/>
      <c r="J273" s="3486"/>
      <c r="K273" s="3486"/>
      <c r="L273" s="3486"/>
      <c r="M273" s="3486"/>
      <c r="N273" s="3486"/>
      <c r="O273" s="3486"/>
      <c r="P273" s="3486"/>
      <c r="Q273" s="3486"/>
      <c r="R273" s="3486"/>
      <c r="S273" s="3486"/>
      <c r="T273" s="3486"/>
      <c r="U273" s="3486"/>
      <c r="V273" s="3486"/>
      <c r="W273" s="3486"/>
      <c r="X273" s="3486"/>
      <c r="Y273" s="3943"/>
    </row>
    <row r="274" spans="1:25" s="3665" customFormat="1">
      <c r="A274" s="3485"/>
      <c r="B274" s="3486"/>
      <c r="C274" s="3486"/>
      <c r="D274" s="3486"/>
      <c r="E274" s="3486"/>
      <c r="F274" s="3486"/>
      <c r="G274" s="3486"/>
      <c r="H274" s="3486"/>
      <c r="I274" s="3486"/>
      <c r="J274" s="3486"/>
      <c r="K274" s="3486"/>
      <c r="L274" s="3486"/>
      <c r="M274" s="3486"/>
      <c r="N274" s="3486"/>
      <c r="O274" s="3486"/>
      <c r="P274" s="3486"/>
      <c r="Q274" s="3486"/>
      <c r="R274" s="3486"/>
      <c r="S274" s="3486"/>
      <c r="T274" s="3486"/>
      <c r="U274" s="3486"/>
      <c r="V274" s="3486"/>
      <c r="W274" s="3486"/>
      <c r="X274" s="3486"/>
      <c r="Y274" s="3943"/>
    </row>
    <row r="275" spans="1:25" s="3665" customFormat="1">
      <c r="A275" s="3485"/>
      <c r="B275" s="3486"/>
      <c r="C275" s="3486"/>
      <c r="D275" s="3486"/>
      <c r="E275" s="3486"/>
      <c r="F275" s="3486"/>
      <c r="G275" s="3486"/>
      <c r="H275" s="3486"/>
      <c r="I275" s="3486"/>
      <c r="J275" s="3486"/>
      <c r="K275" s="3486"/>
      <c r="L275" s="3486"/>
      <c r="M275" s="3486"/>
      <c r="N275" s="3486"/>
      <c r="O275" s="3486"/>
      <c r="P275" s="3486"/>
      <c r="Q275" s="3486"/>
      <c r="R275" s="3486"/>
      <c r="S275" s="3486"/>
      <c r="T275" s="3486"/>
      <c r="U275" s="3486"/>
      <c r="V275" s="3486"/>
      <c r="W275" s="3486"/>
      <c r="X275" s="3486"/>
      <c r="Y275" s="3943"/>
    </row>
    <row r="276" spans="1:25" s="3942" customFormat="1" ht="24" customHeight="1">
      <c r="A276" s="3485"/>
      <c r="B276" s="3486"/>
      <c r="C276" s="3486"/>
      <c r="D276" s="3486"/>
      <c r="E276" s="3486"/>
      <c r="F276" s="3486"/>
      <c r="G276" s="3486"/>
      <c r="H276" s="3486"/>
      <c r="I276" s="3486"/>
      <c r="J276" s="3486"/>
      <c r="K276" s="3486"/>
      <c r="L276" s="3486"/>
      <c r="M276" s="3486"/>
      <c r="N276" s="3486"/>
      <c r="O276" s="3486"/>
      <c r="P276" s="3486"/>
      <c r="Q276" s="3486"/>
      <c r="R276" s="3486"/>
      <c r="S276" s="3486"/>
      <c r="T276" s="3486"/>
      <c r="U276" s="3486"/>
      <c r="V276" s="3486"/>
      <c r="W276" s="3486"/>
      <c r="X276" s="3486"/>
      <c r="Y276" s="3943"/>
    </row>
    <row r="277" spans="1:25" s="3665" customFormat="1" ht="11.25" customHeight="1">
      <c r="A277" s="3485"/>
      <c r="B277" s="3486"/>
      <c r="C277" s="3486"/>
      <c r="D277" s="3486"/>
      <c r="E277" s="3486"/>
      <c r="F277" s="3486"/>
      <c r="G277" s="3486"/>
      <c r="H277" s="3486"/>
      <c r="I277" s="3486"/>
      <c r="J277" s="3486"/>
      <c r="K277" s="3486"/>
      <c r="L277" s="3486"/>
      <c r="M277" s="3486"/>
      <c r="N277" s="3486"/>
      <c r="O277" s="3486"/>
      <c r="P277" s="3486"/>
      <c r="Q277" s="3486"/>
      <c r="R277" s="3486"/>
      <c r="S277" s="3486"/>
      <c r="T277" s="3486"/>
      <c r="U277" s="3486"/>
      <c r="V277" s="3486"/>
      <c r="W277" s="3486"/>
      <c r="X277" s="3486"/>
      <c r="Y277" s="3943"/>
    </row>
    <row r="278" spans="1:25" s="3665" customFormat="1" ht="12.75" customHeight="1">
      <c r="A278" s="3485"/>
      <c r="B278" s="3486"/>
      <c r="C278" s="3486"/>
      <c r="D278" s="3486"/>
      <c r="E278" s="3486"/>
      <c r="F278" s="3486"/>
      <c r="G278" s="3486"/>
      <c r="H278" s="3486"/>
      <c r="I278" s="3486"/>
      <c r="J278" s="3486"/>
      <c r="K278" s="3486"/>
      <c r="L278" s="3486"/>
      <c r="M278" s="3486"/>
      <c r="N278" s="3486"/>
      <c r="O278" s="3486"/>
      <c r="P278" s="3486"/>
      <c r="Q278" s="3486"/>
      <c r="R278" s="3486"/>
      <c r="S278" s="3486"/>
      <c r="T278" s="3486"/>
      <c r="U278" s="3486"/>
      <c r="V278" s="3486"/>
      <c r="W278" s="3486"/>
      <c r="X278" s="3486"/>
      <c r="Y278" s="3943"/>
    </row>
    <row r="279" spans="1:25" s="3665" customFormat="1">
      <c r="A279" s="3485"/>
      <c r="B279" s="3486"/>
      <c r="C279" s="3486"/>
      <c r="D279" s="3486"/>
      <c r="E279" s="3486"/>
      <c r="F279" s="3486"/>
      <c r="G279" s="3486"/>
      <c r="H279" s="3486"/>
      <c r="I279" s="3486"/>
      <c r="J279" s="3486"/>
      <c r="K279" s="3486"/>
      <c r="L279" s="3486"/>
      <c r="M279" s="3486"/>
      <c r="N279" s="3486"/>
      <c r="O279" s="3486"/>
      <c r="P279" s="3486"/>
      <c r="Q279" s="3486"/>
      <c r="R279" s="3486"/>
      <c r="S279" s="3486"/>
      <c r="T279" s="3486"/>
      <c r="U279" s="3486"/>
      <c r="V279" s="3486"/>
      <c r="W279" s="3486"/>
      <c r="X279" s="3486"/>
      <c r="Y279" s="3943"/>
    </row>
    <row r="280" spans="1:25" s="3665" customFormat="1">
      <c r="A280" s="3485"/>
      <c r="B280" s="3486"/>
      <c r="C280" s="3486"/>
      <c r="D280" s="3486"/>
      <c r="E280" s="3486"/>
      <c r="F280" s="3486"/>
      <c r="G280" s="3486"/>
      <c r="H280" s="3486"/>
      <c r="I280" s="3486"/>
      <c r="J280" s="3486"/>
      <c r="K280" s="3486"/>
      <c r="L280" s="3486"/>
      <c r="M280" s="3486"/>
      <c r="N280" s="3486"/>
      <c r="O280" s="3486"/>
      <c r="P280" s="3486"/>
      <c r="Q280" s="3486"/>
      <c r="R280" s="3486"/>
      <c r="S280" s="3486"/>
      <c r="T280" s="3486"/>
      <c r="U280" s="3486"/>
      <c r="V280" s="3486"/>
      <c r="W280" s="3486"/>
      <c r="X280" s="3486"/>
      <c r="Y280" s="3943"/>
    </row>
    <row r="281" spans="1:25" s="3665" customFormat="1">
      <c r="A281" s="3485"/>
      <c r="B281" s="3486"/>
      <c r="C281" s="3486"/>
      <c r="D281" s="3486"/>
      <c r="E281" s="3486"/>
      <c r="F281" s="3486"/>
      <c r="G281" s="3486"/>
      <c r="H281" s="3486"/>
      <c r="I281" s="3486"/>
      <c r="J281" s="3486"/>
      <c r="K281" s="3486"/>
      <c r="L281" s="3486"/>
      <c r="M281" s="3486"/>
      <c r="N281" s="3486"/>
      <c r="O281" s="3486"/>
      <c r="P281" s="3486"/>
      <c r="Q281" s="3486"/>
      <c r="R281" s="3486"/>
      <c r="S281" s="3486"/>
      <c r="T281" s="3486"/>
      <c r="U281" s="3486"/>
      <c r="V281" s="3486"/>
      <c r="W281" s="3486"/>
      <c r="X281" s="3486"/>
      <c r="Y281" s="3943"/>
    </row>
    <row r="282" spans="1:25" s="3665" customFormat="1">
      <c r="A282" s="3485"/>
      <c r="B282" s="3486"/>
      <c r="C282" s="3486"/>
      <c r="D282" s="3486"/>
      <c r="E282" s="3486"/>
      <c r="F282" s="3486"/>
      <c r="G282" s="3486"/>
      <c r="H282" s="3486"/>
      <c r="I282" s="3486"/>
      <c r="J282" s="3486"/>
      <c r="K282" s="3486"/>
      <c r="L282" s="3486"/>
      <c r="M282" s="3486"/>
      <c r="N282" s="3486"/>
      <c r="O282" s="3486"/>
      <c r="P282" s="3486"/>
      <c r="Q282" s="3486"/>
      <c r="R282" s="3486"/>
      <c r="S282" s="3486"/>
      <c r="T282" s="3486"/>
      <c r="U282" s="3486"/>
      <c r="V282" s="3486"/>
      <c r="W282" s="3486"/>
      <c r="X282" s="3486"/>
      <c r="Y282" s="3943"/>
    </row>
    <row r="283" spans="1:25" s="3665" customFormat="1" ht="12" customHeight="1">
      <c r="A283" s="3485"/>
      <c r="B283" s="3486"/>
      <c r="C283" s="3486"/>
      <c r="D283" s="3486"/>
      <c r="E283" s="3486"/>
      <c r="F283" s="3486"/>
      <c r="G283" s="3486"/>
      <c r="H283" s="3486"/>
      <c r="I283" s="3486"/>
      <c r="J283" s="3486"/>
      <c r="K283" s="3486"/>
      <c r="L283" s="3486"/>
      <c r="M283" s="3486"/>
      <c r="N283" s="3486"/>
      <c r="O283" s="3486"/>
      <c r="P283" s="3486"/>
      <c r="Q283" s="3486"/>
      <c r="R283" s="3486"/>
      <c r="S283" s="3486"/>
      <c r="T283" s="3486"/>
      <c r="U283" s="3486"/>
      <c r="V283" s="3486"/>
      <c r="W283" s="3486"/>
      <c r="X283" s="3486"/>
      <c r="Y283" s="3943"/>
    </row>
    <row r="284" spans="1:25" s="3665" customFormat="1" ht="10.5" customHeight="1">
      <c r="A284" s="3485"/>
      <c r="B284" s="3486"/>
      <c r="C284" s="3486"/>
      <c r="D284" s="3486"/>
      <c r="E284" s="3486"/>
      <c r="F284" s="3486"/>
      <c r="G284" s="3486"/>
      <c r="H284" s="3486"/>
      <c r="I284" s="3486"/>
      <c r="J284" s="3486"/>
      <c r="K284" s="3486"/>
      <c r="L284" s="3486"/>
      <c r="M284" s="3486"/>
      <c r="N284" s="3486"/>
      <c r="O284" s="3486"/>
      <c r="P284" s="3486"/>
      <c r="Q284" s="3486"/>
      <c r="R284" s="3486"/>
      <c r="S284" s="3486"/>
      <c r="T284" s="3486"/>
      <c r="U284" s="3486"/>
      <c r="V284" s="3486"/>
      <c r="W284" s="3486"/>
      <c r="X284" s="3486"/>
      <c r="Y284" s="3943"/>
    </row>
    <row r="285" spans="1:25" s="3665" customFormat="1">
      <c r="A285" s="3485"/>
      <c r="B285" s="3486"/>
      <c r="C285" s="3486"/>
      <c r="D285" s="3486"/>
      <c r="E285" s="3486"/>
      <c r="F285" s="3486"/>
      <c r="G285" s="3486"/>
      <c r="H285" s="3486"/>
      <c r="I285" s="3486"/>
      <c r="J285" s="3486"/>
      <c r="K285" s="3486"/>
      <c r="L285" s="3486"/>
      <c r="M285" s="3486"/>
      <c r="N285" s="3486"/>
      <c r="O285" s="3486"/>
      <c r="P285" s="3486"/>
      <c r="Q285" s="3486"/>
      <c r="R285" s="3486"/>
      <c r="S285" s="3486"/>
      <c r="T285" s="3486"/>
      <c r="U285" s="3486"/>
      <c r="V285" s="3486"/>
      <c r="W285" s="3486"/>
      <c r="X285" s="3486"/>
      <c r="Y285" s="3943"/>
    </row>
    <row r="286" spans="1:25" s="3665" customFormat="1">
      <c r="A286" s="3485"/>
      <c r="B286" s="3486"/>
      <c r="C286" s="3486"/>
      <c r="D286" s="3486"/>
      <c r="E286" s="3486"/>
      <c r="F286" s="3486"/>
      <c r="G286" s="3486"/>
      <c r="H286" s="3486"/>
      <c r="I286" s="3486"/>
      <c r="J286" s="3486"/>
      <c r="K286" s="3486"/>
      <c r="L286" s="3486"/>
      <c r="M286" s="3486"/>
      <c r="N286" s="3486"/>
      <c r="O286" s="3486"/>
      <c r="P286" s="3486"/>
      <c r="Q286" s="3486"/>
      <c r="R286" s="3486"/>
      <c r="S286" s="3486"/>
      <c r="T286" s="3486"/>
      <c r="U286" s="3486"/>
      <c r="V286" s="3486"/>
      <c r="W286" s="3486"/>
      <c r="X286" s="3486"/>
      <c r="Y286" s="3943"/>
    </row>
    <row r="287" spans="1:25" s="3665" customFormat="1">
      <c r="A287" s="3485"/>
      <c r="B287" s="3486"/>
      <c r="C287" s="3486"/>
      <c r="D287" s="3486"/>
      <c r="E287" s="3486"/>
      <c r="F287" s="3486"/>
      <c r="G287" s="3486"/>
      <c r="H287" s="3486"/>
      <c r="I287" s="3486"/>
      <c r="J287" s="3486"/>
      <c r="K287" s="3486"/>
      <c r="L287" s="3486"/>
      <c r="M287" s="3486"/>
      <c r="N287" s="3486"/>
      <c r="O287" s="3486"/>
      <c r="P287" s="3486"/>
      <c r="Q287" s="3486"/>
      <c r="R287" s="3486"/>
      <c r="S287" s="3486"/>
      <c r="T287" s="3486"/>
      <c r="U287" s="3486"/>
      <c r="V287" s="3486"/>
      <c r="W287" s="3486"/>
      <c r="X287" s="3486"/>
      <c r="Y287" s="3943"/>
    </row>
    <row r="288" spans="1:25" s="3665" customFormat="1">
      <c r="A288" s="3485"/>
      <c r="B288" s="3486"/>
      <c r="C288" s="3486"/>
      <c r="D288" s="3486"/>
      <c r="E288" s="3486"/>
      <c r="F288" s="3486"/>
      <c r="G288" s="3486"/>
      <c r="H288" s="3486"/>
      <c r="I288" s="3486"/>
      <c r="J288" s="3486"/>
      <c r="K288" s="3486"/>
      <c r="L288" s="3486"/>
      <c r="M288" s="3486"/>
      <c r="N288" s="3486"/>
      <c r="O288" s="3486"/>
      <c r="P288" s="3486"/>
      <c r="Q288" s="3486"/>
      <c r="R288" s="3486"/>
      <c r="S288" s="3486"/>
      <c r="T288" s="3486"/>
      <c r="U288" s="3486"/>
      <c r="V288" s="3486"/>
      <c r="W288" s="3486"/>
      <c r="X288" s="3486"/>
      <c r="Y288" s="3943"/>
    </row>
    <row r="289" spans="1:25" s="3665" customFormat="1">
      <c r="A289" s="3485"/>
      <c r="B289" s="3486"/>
      <c r="C289" s="3486"/>
      <c r="D289" s="3486"/>
      <c r="E289" s="3486"/>
      <c r="F289" s="3486"/>
      <c r="G289" s="3486"/>
      <c r="H289" s="3486"/>
      <c r="I289" s="3486"/>
      <c r="J289" s="3486"/>
      <c r="K289" s="3486"/>
      <c r="L289" s="3486"/>
      <c r="M289" s="3486"/>
      <c r="N289" s="3486"/>
      <c r="O289" s="3486"/>
      <c r="P289" s="3486"/>
      <c r="Q289" s="3486"/>
      <c r="R289" s="3486"/>
      <c r="S289" s="3486"/>
      <c r="T289" s="3486"/>
      <c r="U289" s="3486"/>
      <c r="V289" s="3486"/>
      <c r="W289" s="3486"/>
      <c r="X289" s="3486"/>
      <c r="Y289" s="3943"/>
    </row>
    <row r="290" spans="1:25" s="3665" customFormat="1" ht="32.25" customHeight="1">
      <c r="A290" s="3485"/>
      <c r="B290" s="3486"/>
      <c r="C290" s="3486"/>
      <c r="D290" s="3486"/>
      <c r="E290" s="3486"/>
      <c r="F290" s="3486"/>
      <c r="G290" s="3486"/>
      <c r="H290" s="3486"/>
      <c r="I290" s="3486"/>
      <c r="J290" s="3486"/>
      <c r="K290" s="3486"/>
      <c r="L290" s="3486"/>
      <c r="M290" s="3486"/>
      <c r="N290" s="3486"/>
      <c r="O290" s="3486"/>
      <c r="P290" s="3486"/>
      <c r="Q290" s="3486"/>
      <c r="R290" s="3486"/>
      <c r="S290" s="3486"/>
      <c r="T290" s="3486"/>
      <c r="U290" s="3486"/>
      <c r="V290" s="3486"/>
      <c r="W290" s="3486"/>
      <c r="X290" s="3486"/>
      <c r="Y290" s="3943"/>
    </row>
    <row r="291" spans="1:25" s="3665" customFormat="1" ht="15" customHeight="1">
      <c r="A291" s="3485"/>
      <c r="B291" s="3486"/>
      <c r="C291" s="3486"/>
      <c r="D291" s="3486"/>
      <c r="E291" s="3486"/>
      <c r="F291" s="3486"/>
      <c r="G291" s="3486"/>
      <c r="H291" s="3486"/>
      <c r="I291" s="3486"/>
      <c r="J291" s="3486"/>
      <c r="K291" s="3486"/>
      <c r="L291" s="3486"/>
      <c r="M291" s="3486"/>
      <c r="N291" s="3486"/>
      <c r="O291" s="3486"/>
      <c r="P291" s="3486"/>
      <c r="Q291" s="3486"/>
      <c r="R291" s="3486"/>
      <c r="S291" s="3486"/>
      <c r="T291" s="3486"/>
      <c r="U291" s="3486"/>
      <c r="V291" s="3486"/>
      <c r="W291" s="3486"/>
      <c r="X291" s="3486"/>
      <c r="Y291" s="3943"/>
    </row>
    <row r="292" spans="1:25" s="3665" customFormat="1" ht="12.75" customHeight="1">
      <c r="A292" s="3485"/>
      <c r="B292" s="3486"/>
      <c r="C292" s="3486"/>
      <c r="D292" s="3486"/>
      <c r="E292" s="3486"/>
      <c r="F292" s="3486"/>
      <c r="G292" s="3486"/>
      <c r="H292" s="3486"/>
      <c r="I292" s="3486"/>
      <c r="J292" s="3486"/>
      <c r="K292" s="3486"/>
      <c r="L292" s="3486"/>
      <c r="M292" s="3486"/>
      <c r="N292" s="3486"/>
      <c r="O292" s="3486"/>
      <c r="P292" s="3486"/>
      <c r="Q292" s="3486"/>
      <c r="R292" s="3486"/>
      <c r="S292" s="3486"/>
      <c r="T292" s="3486"/>
      <c r="U292" s="3486"/>
      <c r="V292" s="3486"/>
      <c r="W292" s="3486"/>
      <c r="X292" s="3486"/>
      <c r="Y292" s="3943"/>
    </row>
    <row r="293" spans="1:25" s="3665" customFormat="1">
      <c r="A293" s="3485"/>
      <c r="B293" s="3486"/>
      <c r="C293" s="3486"/>
      <c r="D293" s="3486"/>
      <c r="E293" s="3486"/>
      <c r="F293" s="3486"/>
      <c r="G293" s="3486"/>
      <c r="H293" s="3486"/>
      <c r="I293" s="3486"/>
      <c r="J293" s="3486"/>
      <c r="K293" s="3486"/>
      <c r="L293" s="3486"/>
      <c r="M293" s="3486"/>
      <c r="N293" s="3486"/>
      <c r="O293" s="3486"/>
      <c r="P293" s="3486"/>
      <c r="Q293" s="3486"/>
      <c r="R293" s="3486"/>
      <c r="S293" s="3486"/>
      <c r="T293" s="3486"/>
      <c r="U293" s="3486"/>
      <c r="V293" s="3486"/>
      <c r="W293" s="3486"/>
      <c r="X293" s="3486"/>
      <c r="Y293" s="3943"/>
    </row>
    <row r="294" spans="1:25" s="3665" customFormat="1">
      <c r="A294" s="3485"/>
      <c r="B294" s="3486"/>
      <c r="C294" s="3486"/>
      <c r="D294" s="3486"/>
      <c r="E294" s="3486"/>
      <c r="F294" s="3486"/>
      <c r="G294" s="3486"/>
      <c r="H294" s="3486"/>
      <c r="I294" s="3486"/>
      <c r="J294" s="3486"/>
      <c r="K294" s="3486"/>
      <c r="L294" s="3486"/>
      <c r="M294" s="3486"/>
      <c r="N294" s="3486"/>
      <c r="O294" s="3486"/>
      <c r="P294" s="3486"/>
      <c r="Q294" s="3486"/>
      <c r="R294" s="3486"/>
      <c r="S294" s="3486"/>
      <c r="T294" s="3486"/>
      <c r="U294" s="3486"/>
      <c r="V294" s="3486"/>
      <c r="W294" s="3486"/>
      <c r="X294" s="3486"/>
      <c r="Y294" s="3954"/>
    </row>
    <row r="295" spans="1:25" s="3665" customFormat="1">
      <c r="A295" s="3485"/>
      <c r="B295" s="3486"/>
      <c r="C295" s="3486"/>
      <c r="D295" s="3486"/>
      <c r="E295" s="3486"/>
      <c r="F295" s="3486"/>
      <c r="G295" s="3486"/>
      <c r="H295" s="3486"/>
      <c r="I295" s="3486"/>
      <c r="J295" s="3486"/>
      <c r="K295" s="3486"/>
      <c r="L295" s="3486"/>
      <c r="M295" s="3486"/>
      <c r="N295" s="3486"/>
      <c r="O295" s="3486"/>
      <c r="P295" s="3486"/>
      <c r="Q295" s="3486"/>
      <c r="R295" s="3486"/>
      <c r="S295" s="3486"/>
      <c r="T295" s="3486"/>
      <c r="U295" s="3486"/>
      <c r="V295" s="3486"/>
      <c r="W295" s="3486"/>
      <c r="X295" s="3486"/>
      <c r="Y295" s="3954"/>
    </row>
    <row r="296" spans="1:25" s="3665" customFormat="1" ht="21.75" customHeight="1">
      <c r="A296" s="3485"/>
      <c r="B296" s="3486"/>
      <c r="C296" s="3486"/>
      <c r="D296" s="3486"/>
      <c r="E296" s="3486"/>
      <c r="F296" s="3486"/>
      <c r="G296" s="3486"/>
      <c r="H296" s="3486"/>
      <c r="I296" s="3486"/>
      <c r="J296" s="3486"/>
      <c r="K296" s="3486"/>
      <c r="L296" s="3486"/>
      <c r="M296" s="3486"/>
      <c r="N296" s="3486"/>
      <c r="O296" s="3486"/>
      <c r="P296" s="3486"/>
      <c r="Q296" s="3486"/>
      <c r="R296" s="3486"/>
      <c r="S296" s="3486"/>
      <c r="T296" s="3486"/>
      <c r="U296" s="3486"/>
      <c r="V296" s="3486"/>
      <c r="W296" s="3486"/>
      <c r="X296" s="3486"/>
      <c r="Y296" s="3954"/>
    </row>
    <row r="297" spans="1:25" s="3665" customFormat="1" ht="12.75" customHeight="1">
      <c r="A297" s="3485"/>
      <c r="B297" s="3486"/>
      <c r="C297" s="3486"/>
      <c r="D297" s="3486"/>
      <c r="E297" s="3486"/>
      <c r="F297" s="3486"/>
      <c r="G297" s="3486"/>
      <c r="H297" s="3486"/>
      <c r="I297" s="3486"/>
      <c r="J297" s="3486"/>
      <c r="K297" s="3486"/>
      <c r="L297" s="3486"/>
      <c r="M297" s="3486"/>
      <c r="N297" s="3486"/>
      <c r="O297" s="3486"/>
      <c r="P297" s="3486"/>
      <c r="Q297" s="3486"/>
      <c r="R297" s="3486"/>
      <c r="S297" s="3486"/>
      <c r="T297" s="3486"/>
      <c r="U297" s="3486"/>
      <c r="V297" s="3486"/>
      <c r="W297" s="3486"/>
      <c r="X297" s="3486"/>
      <c r="Y297" s="3954"/>
    </row>
    <row r="298" spans="1:25" s="3665" customFormat="1" ht="12.75" customHeight="1">
      <c r="A298" s="3485"/>
      <c r="B298" s="3486"/>
      <c r="C298" s="3486"/>
      <c r="D298" s="3486"/>
      <c r="E298" s="3486"/>
      <c r="F298" s="3486"/>
      <c r="G298" s="3486"/>
      <c r="H298" s="3486"/>
      <c r="I298" s="3486"/>
      <c r="J298" s="3486"/>
      <c r="K298" s="3486"/>
      <c r="L298" s="3486"/>
      <c r="M298" s="3486"/>
      <c r="N298" s="3486"/>
      <c r="O298" s="3486"/>
      <c r="P298" s="3486"/>
      <c r="Q298" s="3486"/>
      <c r="R298" s="3486"/>
      <c r="S298" s="3486"/>
      <c r="T298" s="3486"/>
      <c r="U298" s="3486"/>
      <c r="V298" s="3486"/>
      <c r="W298" s="3486"/>
      <c r="X298" s="3486"/>
      <c r="Y298" s="3954"/>
    </row>
    <row r="299" spans="1:25" s="3665" customFormat="1">
      <c r="A299" s="3485"/>
      <c r="B299" s="3486"/>
      <c r="C299" s="3486"/>
      <c r="D299" s="3486"/>
      <c r="E299" s="3486"/>
      <c r="F299" s="3486"/>
      <c r="G299" s="3486"/>
      <c r="H299" s="3486"/>
      <c r="I299" s="3486"/>
      <c r="J299" s="3486"/>
      <c r="K299" s="3486"/>
      <c r="L299" s="3486"/>
      <c r="M299" s="3486"/>
      <c r="N299" s="3486"/>
      <c r="O299" s="3486"/>
      <c r="P299" s="3486"/>
      <c r="Q299" s="3486"/>
      <c r="R299" s="3486"/>
      <c r="S299" s="3486"/>
      <c r="T299" s="3486"/>
      <c r="U299" s="3486"/>
      <c r="V299" s="3486"/>
      <c r="W299" s="3486"/>
      <c r="X299" s="3486"/>
      <c r="Y299" s="3954"/>
    </row>
    <row r="300" spans="1:25" s="3665" customFormat="1">
      <c r="A300" s="3485"/>
      <c r="B300" s="3486"/>
      <c r="C300" s="3486"/>
      <c r="D300" s="3486"/>
      <c r="E300" s="3486"/>
      <c r="F300" s="3486"/>
      <c r="G300" s="3486"/>
      <c r="H300" s="3486"/>
      <c r="I300" s="3486"/>
      <c r="J300" s="3486"/>
      <c r="K300" s="3486"/>
      <c r="L300" s="3486"/>
      <c r="M300" s="3486"/>
      <c r="N300" s="3486"/>
      <c r="O300" s="3486"/>
      <c r="P300" s="3486"/>
      <c r="Q300" s="3486"/>
      <c r="R300" s="3486"/>
      <c r="S300" s="3486"/>
      <c r="T300" s="3486"/>
      <c r="U300" s="3486"/>
      <c r="V300" s="3486"/>
      <c r="W300" s="3486"/>
      <c r="X300" s="3486"/>
      <c r="Y300" s="3954"/>
    </row>
    <row r="301" spans="1:25" s="3665" customFormat="1">
      <c r="A301" s="3485"/>
      <c r="B301" s="3486"/>
      <c r="C301" s="3486"/>
      <c r="D301" s="3486"/>
      <c r="E301" s="3486"/>
      <c r="F301" s="3486"/>
      <c r="G301" s="3486"/>
      <c r="H301" s="3486"/>
      <c r="I301" s="3486"/>
      <c r="J301" s="3486"/>
      <c r="K301" s="3486"/>
      <c r="L301" s="3486"/>
      <c r="M301" s="3486"/>
      <c r="N301" s="3486"/>
      <c r="O301" s="3486"/>
      <c r="P301" s="3486"/>
      <c r="Q301" s="3486"/>
      <c r="R301" s="3486"/>
      <c r="S301" s="3486"/>
      <c r="T301" s="3486"/>
      <c r="U301" s="3486"/>
      <c r="V301" s="3486"/>
      <c r="W301" s="3486"/>
      <c r="X301" s="3486"/>
      <c r="Y301" s="3954"/>
    </row>
    <row r="302" spans="1:25" s="3665" customFormat="1">
      <c r="A302" s="3485"/>
      <c r="B302" s="3486"/>
      <c r="C302" s="3486"/>
      <c r="D302" s="3486"/>
      <c r="E302" s="3486"/>
      <c r="F302" s="3486"/>
      <c r="G302" s="3486"/>
      <c r="H302" s="3486"/>
      <c r="I302" s="3486"/>
      <c r="J302" s="3486"/>
      <c r="K302" s="3486"/>
      <c r="L302" s="3486"/>
      <c r="M302" s="3486"/>
      <c r="N302" s="3486"/>
      <c r="O302" s="3486"/>
      <c r="P302" s="3486"/>
      <c r="Q302" s="3486"/>
      <c r="R302" s="3486"/>
      <c r="S302" s="3486"/>
      <c r="T302" s="3486"/>
      <c r="U302" s="3486"/>
      <c r="V302" s="3486"/>
      <c r="W302" s="3486"/>
      <c r="X302" s="3486"/>
      <c r="Y302" s="3954"/>
    </row>
    <row r="303" spans="1:25" s="3942" customFormat="1" ht="35.25" customHeight="1">
      <c r="A303" s="3485"/>
      <c r="B303" s="3486"/>
      <c r="C303" s="3486"/>
      <c r="D303" s="3486"/>
      <c r="E303" s="3486"/>
      <c r="F303" s="3486"/>
      <c r="G303" s="3486"/>
      <c r="H303" s="3486"/>
      <c r="I303" s="3486"/>
      <c r="J303" s="3486"/>
      <c r="K303" s="3486"/>
      <c r="L303" s="3486"/>
      <c r="M303" s="3486"/>
      <c r="N303" s="3486"/>
      <c r="O303" s="3486"/>
      <c r="P303" s="3486"/>
      <c r="Q303" s="3486"/>
      <c r="R303" s="3486"/>
      <c r="S303" s="3486"/>
      <c r="T303" s="3486"/>
      <c r="U303" s="3486"/>
      <c r="V303" s="3486"/>
      <c r="W303" s="3486"/>
      <c r="X303" s="3486"/>
      <c r="Y303" s="3954"/>
    </row>
    <row r="304" spans="1:25" s="3665" customFormat="1" ht="11.25" customHeight="1">
      <c r="A304" s="3485"/>
      <c r="B304" s="3486"/>
      <c r="C304" s="3486"/>
      <c r="D304" s="3486"/>
      <c r="E304" s="3486"/>
      <c r="F304" s="3486"/>
      <c r="G304" s="3486"/>
      <c r="H304" s="3486"/>
      <c r="I304" s="3486"/>
      <c r="J304" s="3486"/>
      <c r="K304" s="3486"/>
      <c r="L304" s="3486"/>
      <c r="M304" s="3486"/>
      <c r="N304" s="3486"/>
      <c r="O304" s="3486"/>
      <c r="P304" s="3486"/>
      <c r="Q304" s="3486"/>
      <c r="R304" s="3486"/>
      <c r="S304" s="3486"/>
      <c r="T304" s="3486"/>
      <c r="U304" s="3486"/>
      <c r="V304" s="3486"/>
      <c r="W304" s="3486"/>
      <c r="X304" s="3486"/>
      <c r="Y304" s="3954"/>
    </row>
    <row r="305" spans="1:25" s="3665" customFormat="1" ht="12.75" customHeight="1">
      <c r="A305" s="3485"/>
      <c r="B305" s="3486"/>
      <c r="C305" s="3486"/>
      <c r="D305" s="3486"/>
      <c r="E305" s="3486"/>
      <c r="F305" s="3486"/>
      <c r="G305" s="3486"/>
      <c r="H305" s="3486"/>
      <c r="I305" s="3486"/>
      <c r="J305" s="3486"/>
      <c r="K305" s="3486"/>
      <c r="L305" s="3486"/>
      <c r="M305" s="3486"/>
      <c r="N305" s="3486"/>
      <c r="O305" s="3486"/>
      <c r="P305" s="3486"/>
      <c r="Q305" s="3486"/>
      <c r="R305" s="3486"/>
      <c r="S305" s="3486"/>
      <c r="T305" s="3486"/>
      <c r="U305" s="3486"/>
      <c r="V305" s="3486"/>
      <c r="W305" s="3486"/>
      <c r="X305" s="3486"/>
      <c r="Y305" s="3954"/>
    </row>
    <row r="306" spans="1:25" s="3942" customFormat="1" ht="14.25" customHeight="1">
      <c r="A306" s="3485"/>
      <c r="B306" s="3486"/>
      <c r="C306" s="3486"/>
      <c r="D306" s="3486"/>
      <c r="E306" s="3486"/>
      <c r="F306" s="3486"/>
      <c r="G306" s="3486"/>
      <c r="H306" s="3486"/>
      <c r="I306" s="3486"/>
      <c r="J306" s="3486"/>
      <c r="K306" s="3486"/>
      <c r="L306" s="3486"/>
      <c r="M306" s="3486"/>
      <c r="N306" s="3486"/>
      <c r="O306" s="3486"/>
      <c r="P306" s="3486"/>
      <c r="Q306" s="3486"/>
      <c r="R306" s="3486"/>
      <c r="S306" s="3486"/>
      <c r="T306" s="3486"/>
      <c r="U306" s="3486"/>
      <c r="V306" s="3486"/>
      <c r="W306" s="3486"/>
      <c r="X306" s="3486"/>
      <c r="Y306" s="3954"/>
    </row>
    <row r="307" spans="1:25" s="3665" customFormat="1" ht="11.25" customHeight="1">
      <c r="A307" s="3485"/>
      <c r="B307" s="3486"/>
      <c r="C307" s="3486"/>
      <c r="D307" s="3486"/>
      <c r="E307" s="3486"/>
      <c r="F307" s="3486"/>
      <c r="G307" s="3486"/>
      <c r="H307" s="3486"/>
      <c r="I307" s="3486"/>
      <c r="J307" s="3486"/>
      <c r="K307" s="3486"/>
      <c r="L307" s="3486"/>
      <c r="M307" s="3486"/>
      <c r="N307" s="3486"/>
      <c r="O307" s="3486"/>
      <c r="P307" s="3486"/>
      <c r="Q307" s="3486"/>
      <c r="R307" s="3486"/>
      <c r="S307" s="3486"/>
      <c r="T307" s="3486"/>
      <c r="U307" s="3486"/>
      <c r="V307" s="3486"/>
      <c r="W307" s="3486"/>
      <c r="X307" s="3486"/>
      <c r="Y307" s="3954"/>
    </row>
    <row r="308" spans="1:25" s="3665" customFormat="1" ht="12.75" customHeight="1">
      <c r="A308" s="3485"/>
      <c r="B308" s="3486"/>
      <c r="C308" s="3486"/>
      <c r="D308" s="3486"/>
      <c r="E308" s="3486"/>
      <c r="F308" s="3486"/>
      <c r="G308" s="3486"/>
      <c r="H308" s="3486"/>
      <c r="I308" s="3486"/>
      <c r="J308" s="3486"/>
      <c r="K308" s="3486"/>
      <c r="L308" s="3486"/>
      <c r="M308" s="3486"/>
      <c r="N308" s="3486"/>
      <c r="O308" s="3486"/>
      <c r="P308" s="3486"/>
      <c r="Q308" s="3486"/>
      <c r="R308" s="3486"/>
      <c r="S308" s="3486"/>
      <c r="T308" s="3486"/>
      <c r="U308" s="3486"/>
      <c r="V308" s="3486"/>
      <c r="W308" s="3486"/>
      <c r="X308" s="3486"/>
      <c r="Y308" s="3954"/>
    </row>
    <row r="309" spans="1:25" s="3942" customFormat="1" ht="23.25" customHeight="1">
      <c r="A309" s="3485"/>
      <c r="B309" s="3486"/>
      <c r="C309" s="3486"/>
      <c r="D309" s="3486"/>
      <c r="E309" s="3486"/>
      <c r="F309" s="3486"/>
      <c r="G309" s="3486"/>
      <c r="H309" s="3486"/>
      <c r="I309" s="3486"/>
      <c r="J309" s="3486"/>
      <c r="K309" s="3486"/>
      <c r="L309" s="3486"/>
      <c r="M309" s="3486"/>
      <c r="N309" s="3486"/>
      <c r="O309" s="3486"/>
      <c r="P309" s="3486"/>
      <c r="Q309" s="3486"/>
      <c r="R309" s="3486"/>
      <c r="S309" s="3486"/>
      <c r="T309" s="3486"/>
      <c r="U309" s="3486"/>
      <c r="V309" s="3486"/>
      <c r="W309" s="3486"/>
      <c r="X309" s="3486"/>
      <c r="Y309" s="3954"/>
    </row>
    <row r="310" spans="1:25" s="3665" customFormat="1" ht="11.25" customHeight="1">
      <c r="A310" s="3485"/>
      <c r="B310" s="3486"/>
      <c r="C310" s="3486"/>
      <c r="D310" s="3486"/>
      <c r="E310" s="3486"/>
      <c r="F310" s="3486"/>
      <c r="G310" s="3486"/>
      <c r="H310" s="3486"/>
      <c r="I310" s="3486"/>
      <c r="J310" s="3486"/>
      <c r="K310" s="3486"/>
      <c r="L310" s="3486"/>
      <c r="M310" s="3486"/>
      <c r="N310" s="3486"/>
      <c r="O310" s="3486"/>
      <c r="P310" s="3486"/>
      <c r="Q310" s="3486"/>
      <c r="R310" s="3486"/>
      <c r="S310" s="3486"/>
      <c r="T310" s="3486"/>
      <c r="U310" s="3486"/>
      <c r="V310" s="3486"/>
      <c r="W310" s="3486"/>
      <c r="X310" s="3486"/>
      <c r="Y310" s="3954"/>
    </row>
    <row r="311" spans="1:25" s="3665" customFormat="1">
      <c r="A311" s="3485"/>
      <c r="B311" s="3486"/>
      <c r="C311" s="3486"/>
      <c r="D311" s="3486"/>
      <c r="E311" s="3486"/>
      <c r="F311" s="3486"/>
      <c r="G311" s="3486"/>
      <c r="H311" s="3486"/>
      <c r="I311" s="3486"/>
      <c r="J311" s="3486"/>
      <c r="K311" s="3486"/>
      <c r="L311" s="3486"/>
      <c r="M311" s="3486"/>
      <c r="N311" s="3486"/>
      <c r="O311" s="3486"/>
      <c r="P311" s="3486"/>
      <c r="Q311" s="3486"/>
      <c r="R311" s="3486"/>
      <c r="S311" s="3486"/>
      <c r="T311" s="3486"/>
      <c r="U311" s="3486"/>
      <c r="V311" s="3486"/>
      <c r="W311" s="3486"/>
      <c r="X311" s="3486"/>
      <c r="Y311" s="3954"/>
    </row>
    <row r="312" spans="1:25" s="3665" customFormat="1">
      <c r="A312" s="3485"/>
      <c r="B312" s="3486"/>
      <c r="C312" s="3486"/>
      <c r="D312" s="3486"/>
      <c r="E312" s="3486"/>
      <c r="F312" s="3486"/>
      <c r="G312" s="3486"/>
      <c r="H312" s="3486"/>
      <c r="I312" s="3486"/>
      <c r="J312" s="3486"/>
      <c r="K312" s="3486"/>
      <c r="L312" s="3486"/>
      <c r="M312" s="3486"/>
      <c r="N312" s="3486"/>
      <c r="O312" s="3486"/>
      <c r="P312" s="3486"/>
      <c r="Q312" s="3486"/>
      <c r="R312" s="3486"/>
      <c r="S312" s="3486"/>
      <c r="T312" s="3486"/>
      <c r="U312" s="3486"/>
      <c r="V312" s="3486"/>
      <c r="W312" s="3486"/>
      <c r="X312" s="3486"/>
      <c r="Y312" s="3954"/>
    </row>
    <row r="313" spans="1:25" s="3942" customFormat="1" ht="23.25" customHeight="1">
      <c r="A313" s="3485"/>
      <c r="B313" s="3486"/>
      <c r="C313" s="3486"/>
      <c r="D313" s="3486"/>
      <c r="E313" s="3486"/>
      <c r="F313" s="3486"/>
      <c r="G313" s="3486"/>
      <c r="H313" s="3486"/>
      <c r="I313" s="3486"/>
      <c r="J313" s="3486"/>
      <c r="K313" s="3486"/>
      <c r="L313" s="3486"/>
      <c r="M313" s="3486"/>
      <c r="N313" s="3486"/>
      <c r="O313" s="3486"/>
      <c r="P313" s="3486"/>
      <c r="Q313" s="3486"/>
      <c r="R313" s="3486"/>
      <c r="S313" s="3486"/>
      <c r="T313" s="3486"/>
      <c r="U313" s="3486"/>
      <c r="V313" s="3486"/>
      <c r="W313" s="3486"/>
      <c r="X313" s="3486"/>
      <c r="Y313" s="3954"/>
    </row>
    <row r="314" spans="1:25" s="3665" customFormat="1" ht="11.25" customHeight="1">
      <c r="A314" s="3485"/>
      <c r="B314" s="3486"/>
      <c r="C314" s="3486"/>
      <c r="D314" s="3486"/>
      <c r="E314" s="3486"/>
      <c r="F314" s="3486"/>
      <c r="G314" s="3486"/>
      <c r="H314" s="3486"/>
      <c r="I314" s="3486"/>
      <c r="J314" s="3486"/>
      <c r="K314" s="3486"/>
      <c r="L314" s="3486"/>
      <c r="M314" s="3486"/>
      <c r="N314" s="3486"/>
      <c r="O314" s="3486"/>
      <c r="P314" s="3486"/>
      <c r="Q314" s="3486"/>
      <c r="R314" s="3486"/>
      <c r="S314" s="3486"/>
      <c r="T314" s="3486"/>
      <c r="U314" s="3486"/>
      <c r="V314" s="3486"/>
      <c r="W314" s="3486"/>
      <c r="X314" s="3486"/>
      <c r="Y314" s="3954"/>
    </row>
    <row r="315" spans="1:25" s="3665" customFormat="1">
      <c r="A315" s="3485"/>
      <c r="B315" s="3486"/>
      <c r="C315" s="3486"/>
      <c r="D315" s="3486"/>
      <c r="E315" s="3486"/>
      <c r="F315" s="3486"/>
      <c r="G315" s="3486"/>
      <c r="H315" s="3486"/>
      <c r="I315" s="3486"/>
      <c r="J315" s="3486"/>
      <c r="K315" s="3486"/>
      <c r="L315" s="3486"/>
      <c r="M315" s="3486"/>
      <c r="N315" s="3486"/>
      <c r="O315" s="3486"/>
      <c r="P315" s="3486"/>
      <c r="Q315" s="3486"/>
      <c r="R315" s="3486"/>
      <c r="S315" s="3486"/>
      <c r="T315" s="3486"/>
      <c r="U315" s="3486"/>
      <c r="V315" s="3486"/>
      <c r="W315" s="3486"/>
      <c r="X315" s="3486"/>
      <c r="Y315" s="3954"/>
    </row>
    <row r="316" spans="1:25" s="3492" customFormat="1">
      <c r="A316" s="3485"/>
      <c r="B316" s="3486"/>
      <c r="C316" s="3486"/>
      <c r="D316" s="3486"/>
      <c r="E316" s="3486"/>
      <c r="F316" s="3486"/>
      <c r="G316" s="3486"/>
      <c r="H316" s="3486"/>
      <c r="I316" s="3486"/>
      <c r="J316" s="3486"/>
      <c r="K316" s="3486"/>
      <c r="L316" s="3486"/>
      <c r="M316" s="3486"/>
      <c r="N316" s="3486"/>
      <c r="O316" s="3486"/>
      <c r="P316" s="3486"/>
      <c r="Q316" s="3486"/>
      <c r="R316" s="3486"/>
      <c r="S316" s="3486"/>
      <c r="T316" s="3486"/>
      <c r="U316" s="3486"/>
      <c r="V316" s="3486"/>
      <c r="W316" s="3486"/>
      <c r="X316" s="3486"/>
      <c r="Y316" s="3954"/>
    </row>
    <row r="317" spans="1:25" s="3492" customFormat="1">
      <c r="A317" s="3485"/>
      <c r="B317" s="3486"/>
      <c r="C317" s="3486"/>
      <c r="D317" s="3486"/>
      <c r="E317" s="3486"/>
      <c r="F317" s="3486"/>
      <c r="G317" s="3486"/>
      <c r="H317" s="3486"/>
      <c r="I317" s="3486"/>
      <c r="J317" s="3486"/>
      <c r="K317" s="3486"/>
      <c r="L317" s="3486"/>
      <c r="M317" s="3486"/>
      <c r="N317" s="3486"/>
      <c r="O317" s="3486"/>
      <c r="P317" s="3486"/>
      <c r="Q317" s="3486"/>
      <c r="R317" s="3486"/>
      <c r="S317" s="3486"/>
      <c r="T317" s="3486"/>
      <c r="U317" s="3486"/>
      <c r="V317" s="3486"/>
      <c r="W317" s="3486"/>
      <c r="X317" s="3486"/>
      <c r="Y317" s="3954"/>
    </row>
    <row r="318" spans="1:25" s="3492" customFormat="1">
      <c r="A318" s="3485"/>
      <c r="B318" s="3486"/>
      <c r="C318" s="3486"/>
      <c r="D318" s="3486"/>
      <c r="E318" s="3486"/>
      <c r="F318" s="3486"/>
      <c r="G318" s="3486"/>
      <c r="H318" s="3486"/>
      <c r="I318" s="3486"/>
      <c r="J318" s="3486"/>
      <c r="K318" s="3486"/>
      <c r="L318" s="3486"/>
      <c r="M318" s="3486"/>
      <c r="N318" s="3486"/>
      <c r="O318" s="3486"/>
      <c r="P318" s="3486"/>
      <c r="Q318" s="3486"/>
      <c r="R318" s="3486"/>
      <c r="S318" s="3486"/>
      <c r="T318" s="3486"/>
      <c r="U318" s="3486"/>
      <c r="V318" s="3486"/>
      <c r="W318" s="3486"/>
      <c r="X318" s="3486"/>
      <c r="Y318" s="3954"/>
    </row>
    <row r="319" spans="1:25" s="3492" customFormat="1">
      <c r="A319" s="3485"/>
      <c r="B319" s="3486"/>
      <c r="C319" s="3486"/>
      <c r="D319" s="3486"/>
      <c r="E319" s="3486"/>
      <c r="F319" s="3486"/>
      <c r="G319" s="3486"/>
      <c r="H319" s="3486"/>
      <c r="I319" s="3486"/>
      <c r="J319" s="3486"/>
      <c r="K319" s="3486"/>
      <c r="L319" s="3486"/>
      <c r="M319" s="3486"/>
      <c r="N319" s="3486"/>
      <c r="O319" s="3486"/>
      <c r="P319" s="3486"/>
      <c r="Q319" s="3486"/>
      <c r="R319" s="3486"/>
      <c r="S319" s="3486"/>
      <c r="T319" s="3486"/>
      <c r="U319" s="3486"/>
      <c r="V319" s="3486"/>
      <c r="W319" s="3486"/>
      <c r="X319" s="3486"/>
      <c r="Y319" s="3954"/>
    </row>
    <row r="320" spans="1:25" s="3492" customFormat="1">
      <c r="A320" s="3485"/>
      <c r="B320" s="3486"/>
      <c r="C320" s="3486"/>
      <c r="D320" s="3486"/>
      <c r="E320" s="3486"/>
      <c r="F320" s="3486"/>
      <c r="G320" s="3486"/>
      <c r="H320" s="3486"/>
      <c r="I320" s="3486"/>
      <c r="J320" s="3486"/>
      <c r="K320" s="3486"/>
      <c r="L320" s="3486"/>
      <c r="M320" s="3486"/>
      <c r="N320" s="3486"/>
      <c r="O320" s="3486"/>
      <c r="P320" s="3486"/>
      <c r="Q320" s="3486"/>
      <c r="R320" s="3486"/>
      <c r="S320" s="3486"/>
      <c r="T320" s="3486"/>
      <c r="U320" s="3486"/>
      <c r="V320" s="3486"/>
      <c r="W320" s="3486"/>
      <c r="X320" s="3486"/>
      <c r="Y320" s="3954"/>
    </row>
    <row r="321" spans="1:25" s="3492" customFormat="1">
      <c r="A321" s="3485"/>
      <c r="B321" s="3486"/>
      <c r="C321" s="3486"/>
      <c r="D321" s="3486"/>
      <c r="E321" s="3486"/>
      <c r="F321" s="3486"/>
      <c r="G321" s="3486"/>
      <c r="H321" s="3486"/>
      <c r="I321" s="3486"/>
      <c r="J321" s="3486"/>
      <c r="K321" s="3486"/>
      <c r="L321" s="3486"/>
      <c r="M321" s="3486"/>
      <c r="N321" s="3486"/>
      <c r="O321" s="3486"/>
      <c r="P321" s="3486"/>
      <c r="Q321" s="3486"/>
      <c r="R321" s="3486"/>
      <c r="S321" s="3486"/>
      <c r="T321" s="3486"/>
      <c r="U321" s="3486"/>
      <c r="V321" s="3486"/>
      <c r="W321" s="3486"/>
      <c r="X321" s="3486"/>
      <c r="Y321" s="3954"/>
    </row>
    <row r="322" spans="1:25" s="3492" customFormat="1">
      <c r="A322" s="3485"/>
      <c r="B322" s="3486"/>
      <c r="C322" s="3486"/>
      <c r="D322" s="3486"/>
      <c r="E322" s="3486"/>
      <c r="F322" s="3486"/>
      <c r="G322" s="3486"/>
      <c r="H322" s="3486"/>
      <c r="I322" s="3486"/>
      <c r="J322" s="3486"/>
      <c r="K322" s="3486"/>
      <c r="L322" s="3486"/>
      <c r="M322" s="3486"/>
      <c r="N322" s="3486"/>
      <c r="O322" s="3486"/>
      <c r="P322" s="3486"/>
      <c r="Q322" s="3486"/>
      <c r="R322" s="3486"/>
      <c r="S322" s="3486"/>
      <c r="T322" s="3486"/>
      <c r="U322" s="3486"/>
      <c r="V322" s="3486"/>
      <c r="W322" s="3486"/>
      <c r="X322" s="3486"/>
      <c r="Y322" s="3954"/>
    </row>
    <row r="323" spans="1:25" s="3492" customFormat="1">
      <c r="A323" s="3485"/>
      <c r="B323" s="3486"/>
      <c r="C323" s="3486"/>
      <c r="D323" s="3486"/>
      <c r="E323" s="3486"/>
      <c r="F323" s="3486"/>
      <c r="G323" s="3486"/>
      <c r="H323" s="3486"/>
      <c r="I323" s="3486"/>
      <c r="J323" s="3486"/>
      <c r="K323" s="3486"/>
      <c r="L323" s="3486"/>
      <c r="M323" s="3486"/>
      <c r="N323" s="3486"/>
      <c r="O323" s="3486"/>
      <c r="P323" s="3486"/>
      <c r="Q323" s="3486"/>
      <c r="R323" s="3486"/>
      <c r="S323" s="3486"/>
      <c r="T323" s="3486"/>
      <c r="U323" s="3486"/>
      <c r="V323" s="3486"/>
      <c r="W323" s="3486"/>
      <c r="X323" s="3486"/>
      <c r="Y323" s="3943"/>
    </row>
    <row r="324" spans="1:25" s="3492" customFormat="1">
      <c r="A324" s="3485"/>
      <c r="B324" s="3486"/>
      <c r="C324" s="3486"/>
      <c r="D324" s="3486"/>
      <c r="E324" s="3486"/>
      <c r="F324" s="3486"/>
      <c r="G324" s="3486"/>
      <c r="H324" s="3486"/>
      <c r="I324" s="3486"/>
      <c r="J324" s="3486"/>
      <c r="K324" s="3486"/>
      <c r="L324" s="3486"/>
      <c r="M324" s="3486"/>
      <c r="N324" s="3486"/>
      <c r="O324" s="3486"/>
      <c r="P324" s="3486"/>
      <c r="Q324" s="3486"/>
      <c r="R324" s="3486"/>
      <c r="S324" s="3486"/>
      <c r="T324" s="3486"/>
      <c r="U324" s="3486"/>
      <c r="V324" s="3486"/>
      <c r="W324" s="3486"/>
      <c r="X324" s="3486"/>
      <c r="Y324" s="3943"/>
    </row>
    <row r="325" spans="1:25" s="3492" customFormat="1">
      <c r="A325" s="3485"/>
      <c r="B325" s="3486"/>
      <c r="C325" s="3486"/>
      <c r="D325" s="3486"/>
      <c r="E325" s="3486"/>
      <c r="F325" s="3486"/>
      <c r="G325" s="3486"/>
      <c r="H325" s="3486"/>
      <c r="I325" s="3486"/>
      <c r="J325" s="3486"/>
      <c r="K325" s="3486"/>
      <c r="L325" s="3486"/>
      <c r="M325" s="3486"/>
      <c r="N325" s="3486"/>
      <c r="O325" s="3486"/>
      <c r="P325" s="3486"/>
      <c r="Q325" s="3486"/>
      <c r="R325" s="3486"/>
      <c r="S325" s="3486"/>
      <c r="T325" s="3486"/>
      <c r="U325" s="3486"/>
      <c r="V325" s="3486"/>
      <c r="W325" s="3486"/>
      <c r="X325" s="3486"/>
      <c r="Y325" s="3943"/>
    </row>
    <row r="326" spans="1:25" s="3492" customFormat="1">
      <c r="A326" s="3485"/>
      <c r="B326" s="3486"/>
      <c r="C326" s="3486"/>
      <c r="D326" s="3486"/>
      <c r="E326" s="3486"/>
      <c r="F326" s="3486"/>
      <c r="G326" s="3486"/>
      <c r="H326" s="3486"/>
      <c r="I326" s="3486"/>
      <c r="J326" s="3486"/>
      <c r="K326" s="3486"/>
      <c r="L326" s="3486"/>
      <c r="M326" s="3486"/>
      <c r="N326" s="3486"/>
      <c r="O326" s="3486"/>
      <c r="P326" s="3486"/>
      <c r="Q326" s="3486"/>
      <c r="R326" s="3486"/>
      <c r="S326" s="3486"/>
      <c r="T326" s="3486"/>
      <c r="U326" s="3486"/>
      <c r="V326" s="3486"/>
      <c r="W326" s="3486"/>
      <c r="X326" s="3486"/>
      <c r="Y326" s="3943"/>
    </row>
    <row r="327" spans="1:25" s="3492" customFormat="1">
      <c r="A327" s="3485"/>
      <c r="B327" s="3486"/>
      <c r="C327" s="3486"/>
      <c r="D327" s="3486"/>
      <c r="E327" s="3486"/>
      <c r="F327" s="3486"/>
      <c r="G327" s="3486"/>
      <c r="H327" s="3486"/>
      <c r="I327" s="3486"/>
      <c r="J327" s="3486"/>
      <c r="K327" s="3486"/>
      <c r="L327" s="3486"/>
      <c r="M327" s="3486"/>
      <c r="N327" s="3486"/>
      <c r="O327" s="3486"/>
      <c r="P327" s="3486"/>
      <c r="Q327" s="3486"/>
      <c r="R327" s="3486"/>
      <c r="S327" s="3486"/>
      <c r="T327" s="3486"/>
      <c r="U327" s="3486"/>
      <c r="V327" s="3486"/>
      <c r="W327" s="3486"/>
      <c r="X327" s="3486"/>
      <c r="Y327" s="3943"/>
    </row>
    <row r="328" spans="1:25" s="3492" customFormat="1">
      <c r="A328" s="3485"/>
      <c r="B328" s="3486"/>
      <c r="C328" s="3486"/>
      <c r="D328" s="3486"/>
      <c r="E328" s="3486"/>
      <c r="F328" s="3486"/>
      <c r="G328" s="3486"/>
      <c r="H328" s="3486"/>
      <c r="I328" s="3486"/>
      <c r="J328" s="3486"/>
      <c r="K328" s="3486"/>
      <c r="L328" s="3486"/>
      <c r="M328" s="3486"/>
      <c r="N328" s="3486"/>
      <c r="O328" s="3486"/>
      <c r="P328" s="3486"/>
      <c r="Q328" s="3486"/>
      <c r="R328" s="3486"/>
      <c r="S328" s="3486"/>
      <c r="T328" s="3486"/>
      <c r="U328" s="3486"/>
      <c r="V328" s="3486"/>
      <c r="W328" s="3486"/>
      <c r="X328" s="3486"/>
      <c r="Y328" s="3943"/>
    </row>
    <row r="329" spans="1:25" s="3492" customFormat="1">
      <c r="A329" s="3485"/>
      <c r="B329" s="3486"/>
      <c r="C329" s="3486"/>
      <c r="D329" s="3486"/>
      <c r="E329" s="3486"/>
      <c r="F329" s="3486"/>
      <c r="G329" s="3486"/>
      <c r="H329" s="3486"/>
      <c r="I329" s="3486"/>
      <c r="J329" s="3486"/>
      <c r="K329" s="3486"/>
      <c r="L329" s="3486"/>
      <c r="M329" s="3486"/>
      <c r="N329" s="3486"/>
      <c r="O329" s="3486"/>
      <c r="P329" s="3486"/>
      <c r="Q329" s="3486"/>
      <c r="R329" s="3486"/>
      <c r="S329" s="3486"/>
      <c r="T329" s="3486"/>
      <c r="U329" s="3486"/>
      <c r="V329" s="3486"/>
      <c r="W329" s="3486"/>
      <c r="X329" s="3486"/>
      <c r="Y329" s="3943"/>
    </row>
    <row r="330" spans="1:25" s="3492" customFormat="1">
      <c r="A330" s="3485"/>
      <c r="B330" s="3486"/>
      <c r="C330" s="3486"/>
      <c r="D330" s="3486"/>
      <c r="E330" s="3486"/>
      <c r="F330" s="3486"/>
      <c r="G330" s="3486"/>
      <c r="H330" s="3486"/>
      <c r="I330" s="3486"/>
      <c r="J330" s="3486"/>
      <c r="K330" s="3486"/>
      <c r="L330" s="3486"/>
      <c r="M330" s="3486"/>
      <c r="N330" s="3486"/>
      <c r="O330" s="3486"/>
      <c r="P330" s="3486"/>
      <c r="Q330" s="3486"/>
      <c r="R330" s="3486"/>
      <c r="S330" s="3486"/>
      <c r="T330" s="3486"/>
      <c r="U330" s="3486"/>
      <c r="V330" s="3486"/>
      <c r="W330" s="3486"/>
      <c r="X330" s="3486"/>
      <c r="Y330" s="3943"/>
    </row>
    <row r="331" spans="1:25" s="3492" customFormat="1">
      <c r="A331" s="3485"/>
      <c r="B331" s="3486"/>
      <c r="C331" s="3486"/>
      <c r="D331" s="3486"/>
      <c r="E331" s="3486"/>
      <c r="F331" s="3486"/>
      <c r="G331" s="3486"/>
      <c r="H331" s="3486"/>
      <c r="I331" s="3486"/>
      <c r="J331" s="3486"/>
      <c r="K331" s="3486"/>
      <c r="L331" s="3486"/>
      <c r="M331" s="3486"/>
      <c r="N331" s="3486"/>
      <c r="O331" s="3486"/>
      <c r="P331" s="3486"/>
      <c r="Q331" s="3486"/>
      <c r="R331" s="3486"/>
      <c r="S331" s="3486"/>
      <c r="T331" s="3486"/>
      <c r="U331" s="3486"/>
      <c r="V331" s="3486"/>
      <c r="W331" s="3486"/>
      <c r="X331" s="3486"/>
      <c r="Y331" s="3943"/>
    </row>
    <row r="332" spans="1:25" s="3492" customFormat="1">
      <c r="A332" s="3485"/>
      <c r="B332" s="3486"/>
      <c r="C332" s="3486"/>
      <c r="D332" s="3486"/>
      <c r="E332" s="3486"/>
      <c r="F332" s="3486"/>
      <c r="G332" s="3486"/>
      <c r="H332" s="3486"/>
      <c r="I332" s="3486"/>
      <c r="J332" s="3486"/>
      <c r="K332" s="3486"/>
      <c r="L332" s="3486"/>
      <c r="M332" s="3486"/>
      <c r="N332" s="3486"/>
      <c r="O332" s="3486"/>
      <c r="P332" s="3486"/>
      <c r="Q332" s="3486"/>
      <c r="R332" s="3486"/>
      <c r="S332" s="3486"/>
      <c r="T332" s="3486"/>
      <c r="U332" s="3486"/>
      <c r="V332" s="3486"/>
      <c r="W332" s="3486"/>
      <c r="X332" s="3486"/>
      <c r="Y332" s="3943"/>
    </row>
    <row r="333" spans="1:25" s="3492" customFormat="1">
      <c r="A333" s="3485"/>
      <c r="B333" s="3486"/>
      <c r="C333" s="3486"/>
      <c r="D333" s="3486"/>
      <c r="E333" s="3486"/>
      <c r="F333" s="3486"/>
      <c r="G333" s="3486"/>
      <c r="H333" s="3486"/>
      <c r="I333" s="3486"/>
      <c r="J333" s="3486"/>
      <c r="K333" s="3486"/>
      <c r="L333" s="3486"/>
      <c r="M333" s="3486"/>
      <c r="N333" s="3486"/>
      <c r="O333" s="3486"/>
      <c r="P333" s="3486"/>
      <c r="Q333" s="3486"/>
      <c r="R333" s="3486"/>
      <c r="S333" s="3486"/>
      <c r="T333" s="3486"/>
      <c r="U333" s="3486"/>
      <c r="V333" s="3486"/>
      <c r="W333" s="3486"/>
      <c r="X333" s="3486"/>
      <c r="Y333" s="3943"/>
    </row>
    <row r="334" spans="1:25" s="3492" customFormat="1">
      <c r="A334" s="3485"/>
      <c r="B334" s="3486"/>
      <c r="C334" s="3486"/>
      <c r="D334" s="3486"/>
      <c r="E334" s="3486"/>
      <c r="F334" s="3486"/>
      <c r="G334" s="3486"/>
      <c r="H334" s="3486"/>
      <c r="I334" s="3486"/>
      <c r="J334" s="3486"/>
      <c r="K334" s="3486"/>
      <c r="L334" s="3486"/>
      <c r="M334" s="3486"/>
      <c r="N334" s="3486"/>
      <c r="O334" s="3486"/>
      <c r="P334" s="3486"/>
      <c r="Q334" s="3486"/>
      <c r="R334" s="3486"/>
      <c r="S334" s="3486"/>
      <c r="T334" s="3486"/>
      <c r="U334" s="3486"/>
      <c r="V334" s="3486"/>
      <c r="W334" s="3486"/>
      <c r="X334" s="3486"/>
      <c r="Y334" s="3943"/>
    </row>
    <row r="335" spans="1:25" s="3492" customFormat="1">
      <c r="A335" s="3485"/>
      <c r="B335" s="3486"/>
      <c r="C335" s="3486"/>
      <c r="D335" s="3486"/>
      <c r="E335" s="3486"/>
      <c r="F335" s="3486"/>
      <c r="G335" s="3486"/>
      <c r="H335" s="3486"/>
      <c r="I335" s="3486"/>
      <c r="J335" s="3486"/>
      <c r="K335" s="3486"/>
      <c r="L335" s="3486"/>
      <c r="M335" s="3486"/>
      <c r="N335" s="3486"/>
      <c r="O335" s="3486"/>
      <c r="P335" s="3486"/>
      <c r="Q335" s="3486"/>
      <c r="R335" s="3486"/>
      <c r="S335" s="3486"/>
      <c r="T335" s="3486"/>
      <c r="U335" s="3486"/>
      <c r="V335" s="3486"/>
      <c r="W335" s="3486"/>
      <c r="X335" s="3486"/>
      <c r="Y335" s="3943"/>
    </row>
    <row r="336" spans="1:25" s="3492" customFormat="1">
      <c r="A336" s="3485"/>
      <c r="B336" s="3486"/>
      <c r="C336" s="3486"/>
      <c r="D336" s="3486"/>
      <c r="E336" s="3486"/>
      <c r="F336" s="3486"/>
      <c r="G336" s="3486"/>
      <c r="H336" s="3486"/>
      <c r="I336" s="3486"/>
      <c r="J336" s="3486"/>
      <c r="K336" s="3486"/>
      <c r="L336" s="3486"/>
      <c r="M336" s="3486"/>
      <c r="N336" s="3486"/>
      <c r="O336" s="3486"/>
      <c r="P336" s="3486"/>
      <c r="Q336" s="3486"/>
      <c r="R336" s="3486"/>
      <c r="S336" s="3486"/>
      <c r="T336" s="3486"/>
      <c r="U336" s="3486"/>
      <c r="V336" s="3486"/>
      <c r="W336" s="3486"/>
      <c r="X336" s="3486"/>
      <c r="Y336" s="3943"/>
    </row>
    <row r="337" spans="1:25" s="3492" customFormat="1">
      <c r="A337" s="3485"/>
      <c r="B337" s="3486"/>
      <c r="C337" s="3486"/>
      <c r="D337" s="3486"/>
      <c r="E337" s="3486"/>
      <c r="F337" s="3486"/>
      <c r="G337" s="3486"/>
      <c r="H337" s="3486"/>
      <c r="I337" s="3486"/>
      <c r="J337" s="3486"/>
      <c r="K337" s="3486"/>
      <c r="L337" s="3486"/>
      <c r="M337" s="3486"/>
      <c r="N337" s="3486"/>
      <c r="O337" s="3486"/>
      <c r="P337" s="3486"/>
      <c r="Q337" s="3486"/>
      <c r="R337" s="3486"/>
      <c r="S337" s="3486"/>
      <c r="T337" s="3486"/>
      <c r="U337" s="3486"/>
      <c r="V337" s="3486"/>
      <c r="W337" s="3486"/>
      <c r="X337" s="3486"/>
      <c r="Y337" s="3943"/>
    </row>
    <row r="338" spans="1:25" s="3492" customFormat="1">
      <c r="A338" s="3485"/>
      <c r="B338" s="3486"/>
      <c r="C338" s="3486"/>
      <c r="D338" s="3486"/>
      <c r="E338" s="3486"/>
      <c r="F338" s="3486"/>
      <c r="G338" s="3486"/>
      <c r="H338" s="3486"/>
      <c r="I338" s="3486"/>
      <c r="J338" s="3486"/>
      <c r="K338" s="3486"/>
      <c r="L338" s="3486"/>
      <c r="M338" s="3486"/>
      <c r="N338" s="3486"/>
      <c r="O338" s="3486"/>
      <c r="P338" s="3486"/>
      <c r="Q338" s="3486"/>
      <c r="R338" s="3486"/>
      <c r="S338" s="3486"/>
      <c r="T338" s="3486"/>
      <c r="U338" s="3486"/>
      <c r="V338" s="3486"/>
      <c r="W338" s="3486"/>
      <c r="X338" s="3486"/>
      <c r="Y338" s="3943"/>
    </row>
    <row r="339" spans="1:25" s="3492" customFormat="1">
      <c r="A339" s="3485"/>
      <c r="B339" s="3486"/>
      <c r="C339" s="3486"/>
      <c r="D339" s="3486"/>
      <c r="E339" s="3486"/>
      <c r="F339" s="3486"/>
      <c r="G339" s="3486"/>
      <c r="H339" s="3486"/>
      <c r="I339" s="3486"/>
      <c r="J339" s="3486"/>
      <c r="K339" s="3486"/>
      <c r="L339" s="3486"/>
      <c r="M339" s="3486"/>
      <c r="N339" s="3486"/>
      <c r="O339" s="3486"/>
      <c r="P339" s="3486"/>
      <c r="Q339" s="3486"/>
      <c r="R339" s="3486"/>
      <c r="S339" s="3486"/>
      <c r="T339" s="3486"/>
      <c r="U339" s="3486"/>
      <c r="V339" s="3486"/>
      <c r="W339" s="3486"/>
      <c r="X339" s="3486"/>
      <c r="Y339" s="3943"/>
    </row>
    <row r="340" spans="1:25" s="3492" customFormat="1">
      <c r="A340" s="3485"/>
      <c r="B340" s="3486"/>
      <c r="C340" s="3486"/>
      <c r="D340" s="3486"/>
      <c r="E340" s="3486"/>
      <c r="F340" s="3486"/>
      <c r="G340" s="3486"/>
      <c r="H340" s="3486"/>
      <c r="I340" s="3486"/>
      <c r="J340" s="3486"/>
      <c r="K340" s="3486"/>
      <c r="L340" s="3486"/>
      <c r="M340" s="3486"/>
      <c r="N340" s="3486"/>
      <c r="O340" s="3486"/>
      <c r="P340" s="3486"/>
      <c r="Q340" s="3486"/>
      <c r="R340" s="3486"/>
      <c r="S340" s="3486"/>
      <c r="T340" s="3486"/>
      <c r="U340" s="3486"/>
      <c r="V340" s="3486"/>
      <c r="W340" s="3486"/>
      <c r="X340" s="3486"/>
      <c r="Y340" s="3943"/>
    </row>
    <row r="341" spans="1:25" s="3492" customFormat="1">
      <c r="A341" s="3485"/>
      <c r="B341" s="3486"/>
      <c r="C341" s="3486"/>
      <c r="D341" s="3486"/>
      <c r="E341" s="3486"/>
      <c r="F341" s="3486"/>
      <c r="G341" s="3486"/>
      <c r="H341" s="3486"/>
      <c r="I341" s="3486"/>
      <c r="J341" s="3486"/>
      <c r="K341" s="3486"/>
      <c r="L341" s="3486"/>
      <c r="M341" s="3486"/>
      <c r="N341" s="3486"/>
      <c r="O341" s="3486"/>
      <c r="P341" s="3486"/>
      <c r="Q341" s="3486"/>
      <c r="R341" s="3486"/>
      <c r="S341" s="3486"/>
      <c r="T341" s="3486"/>
      <c r="U341" s="3486"/>
      <c r="V341" s="3486"/>
      <c r="W341" s="3486"/>
      <c r="X341" s="3486"/>
      <c r="Y341" s="3943"/>
    </row>
    <row r="342" spans="1:25" s="3492" customFormat="1">
      <c r="A342" s="3485"/>
      <c r="B342" s="3486"/>
      <c r="C342" s="3486"/>
      <c r="D342" s="3486"/>
      <c r="E342" s="3486"/>
      <c r="F342" s="3486"/>
      <c r="G342" s="3486"/>
      <c r="H342" s="3486"/>
      <c r="I342" s="3486"/>
      <c r="J342" s="3486"/>
      <c r="K342" s="3486"/>
      <c r="L342" s="3486"/>
      <c r="M342" s="3486"/>
      <c r="N342" s="3486"/>
      <c r="O342" s="3486"/>
      <c r="P342" s="3486"/>
      <c r="Q342" s="3486"/>
      <c r="R342" s="3486"/>
      <c r="S342" s="3486"/>
      <c r="T342" s="3486"/>
      <c r="U342" s="3486"/>
      <c r="V342" s="3486"/>
      <c r="W342" s="3486"/>
      <c r="X342" s="3486"/>
      <c r="Y342" s="3943"/>
    </row>
    <row r="343" spans="1:25" s="3492" customFormat="1">
      <c r="A343" s="3485"/>
      <c r="B343" s="3486"/>
      <c r="C343" s="3486"/>
      <c r="D343" s="3486"/>
      <c r="E343" s="3486"/>
      <c r="F343" s="3486"/>
      <c r="G343" s="3486"/>
      <c r="H343" s="3486"/>
      <c r="I343" s="3486"/>
      <c r="J343" s="3486"/>
      <c r="K343" s="3486"/>
      <c r="L343" s="3486"/>
      <c r="M343" s="3486"/>
      <c r="N343" s="3486"/>
      <c r="O343" s="3486"/>
      <c r="P343" s="3486"/>
      <c r="Q343" s="3486"/>
      <c r="R343" s="3486"/>
      <c r="S343" s="3486"/>
      <c r="T343" s="3486"/>
      <c r="U343" s="3486"/>
      <c r="V343" s="3486"/>
      <c r="W343" s="3486"/>
      <c r="X343" s="3486"/>
      <c r="Y343" s="3943"/>
    </row>
    <row r="344" spans="1:25" s="3492" customFormat="1">
      <c r="A344" s="3485"/>
      <c r="B344" s="3486"/>
      <c r="C344" s="3486"/>
      <c r="D344" s="3486"/>
      <c r="E344" s="3486"/>
      <c r="F344" s="3486"/>
      <c r="G344" s="3486"/>
      <c r="H344" s="3486"/>
      <c r="I344" s="3486"/>
      <c r="J344" s="3486"/>
      <c r="K344" s="3486"/>
      <c r="L344" s="3486"/>
      <c r="M344" s="3486"/>
      <c r="N344" s="3486"/>
      <c r="O344" s="3486"/>
      <c r="P344" s="3486"/>
      <c r="Q344" s="3486"/>
      <c r="R344" s="3486"/>
      <c r="S344" s="3486"/>
      <c r="T344" s="3486"/>
      <c r="U344" s="3486"/>
      <c r="V344" s="3486"/>
      <c r="W344" s="3486"/>
      <c r="X344" s="3486"/>
      <c r="Y344" s="3943"/>
    </row>
    <row r="345" spans="1:25" s="3492" customFormat="1">
      <c r="A345" s="3485"/>
      <c r="B345" s="3486"/>
      <c r="C345" s="3486"/>
      <c r="D345" s="3486"/>
      <c r="E345" s="3486"/>
      <c r="F345" s="3486"/>
      <c r="G345" s="3486"/>
      <c r="H345" s="3486"/>
      <c r="I345" s="3486"/>
      <c r="J345" s="3486"/>
      <c r="K345" s="3486"/>
      <c r="L345" s="3486"/>
      <c r="M345" s="3486"/>
      <c r="N345" s="3486"/>
      <c r="O345" s="3486"/>
      <c r="P345" s="3486"/>
      <c r="Q345" s="3486"/>
      <c r="R345" s="3486"/>
      <c r="S345" s="3486"/>
      <c r="T345" s="3486"/>
      <c r="U345" s="3486"/>
      <c r="V345" s="3486"/>
      <c r="W345" s="3486"/>
      <c r="X345" s="3486"/>
      <c r="Y345" s="3943"/>
    </row>
    <row r="346" spans="1:25" s="3492" customFormat="1">
      <c r="A346" s="3485"/>
      <c r="B346" s="3486"/>
      <c r="C346" s="3486"/>
      <c r="D346" s="3486"/>
      <c r="E346" s="3486"/>
      <c r="F346" s="3486"/>
      <c r="G346" s="3486"/>
      <c r="H346" s="3486"/>
      <c r="I346" s="3486"/>
      <c r="J346" s="3486"/>
      <c r="K346" s="3486"/>
      <c r="L346" s="3486"/>
      <c r="M346" s="3486"/>
      <c r="N346" s="3486"/>
      <c r="O346" s="3486"/>
      <c r="P346" s="3486"/>
      <c r="Q346" s="3486"/>
      <c r="R346" s="3486"/>
      <c r="S346" s="3486"/>
      <c r="T346" s="3486"/>
      <c r="U346" s="3486"/>
      <c r="V346" s="3486"/>
      <c r="W346" s="3486"/>
      <c r="X346" s="3486"/>
      <c r="Y346" s="3943"/>
    </row>
    <row r="347" spans="1:25" s="3492" customFormat="1">
      <c r="A347" s="3485"/>
      <c r="B347" s="3486"/>
      <c r="C347" s="3486"/>
      <c r="D347" s="3486"/>
      <c r="E347" s="3486"/>
      <c r="F347" s="3486"/>
      <c r="G347" s="3486"/>
      <c r="H347" s="3486"/>
      <c r="I347" s="3486"/>
      <c r="J347" s="3486"/>
      <c r="K347" s="3486"/>
      <c r="L347" s="3486"/>
      <c r="M347" s="3486"/>
      <c r="N347" s="3486"/>
      <c r="O347" s="3486"/>
      <c r="P347" s="3486"/>
      <c r="Q347" s="3486"/>
      <c r="R347" s="3486"/>
      <c r="S347" s="3486"/>
      <c r="T347" s="3486"/>
      <c r="U347" s="3486"/>
      <c r="V347" s="3486"/>
      <c r="W347" s="3486"/>
      <c r="X347" s="3486"/>
      <c r="Y347" s="3943"/>
    </row>
    <row r="348" spans="1:25" s="3492" customFormat="1">
      <c r="A348" s="3485"/>
      <c r="B348" s="3486"/>
      <c r="C348" s="3486"/>
      <c r="D348" s="3486"/>
      <c r="E348" s="3486"/>
      <c r="F348" s="3486"/>
      <c r="G348" s="3486"/>
      <c r="H348" s="3486"/>
      <c r="I348" s="3486"/>
      <c r="J348" s="3486"/>
      <c r="K348" s="3486"/>
      <c r="L348" s="3486"/>
      <c r="M348" s="3486"/>
      <c r="N348" s="3486"/>
      <c r="O348" s="3486"/>
      <c r="P348" s="3486"/>
      <c r="Q348" s="3486"/>
      <c r="R348" s="3486"/>
      <c r="S348" s="3486"/>
      <c r="T348" s="3486"/>
      <c r="U348" s="3486"/>
      <c r="V348" s="3486"/>
      <c r="W348" s="3486"/>
      <c r="X348" s="3486"/>
      <c r="Y348" s="3943"/>
    </row>
    <row r="349" spans="1:25" s="3492" customFormat="1">
      <c r="A349" s="3485"/>
      <c r="B349" s="3486"/>
      <c r="C349" s="3486"/>
      <c r="D349" s="3486"/>
      <c r="E349" s="3486"/>
      <c r="F349" s="3486"/>
      <c r="G349" s="3486"/>
      <c r="H349" s="3486"/>
      <c r="I349" s="3486"/>
      <c r="J349" s="3486"/>
      <c r="K349" s="3486"/>
      <c r="L349" s="3486"/>
      <c r="M349" s="3486"/>
      <c r="N349" s="3486"/>
      <c r="O349" s="3486"/>
      <c r="P349" s="3486"/>
      <c r="Q349" s="3486"/>
      <c r="R349" s="3486"/>
      <c r="S349" s="3486"/>
      <c r="T349" s="3486"/>
      <c r="U349" s="3486"/>
      <c r="V349" s="3486"/>
      <c r="W349" s="3486"/>
      <c r="X349" s="3486"/>
      <c r="Y349" s="3943"/>
    </row>
    <row r="350" spans="1:25" s="3492" customFormat="1">
      <c r="A350" s="3485"/>
      <c r="B350" s="3486"/>
      <c r="C350" s="3486"/>
      <c r="D350" s="3486"/>
      <c r="E350" s="3486"/>
      <c r="F350" s="3486"/>
      <c r="G350" s="3486"/>
      <c r="H350" s="3486"/>
      <c r="I350" s="3486"/>
      <c r="J350" s="3486"/>
      <c r="K350" s="3486"/>
      <c r="L350" s="3486"/>
      <c r="M350" s="3486"/>
      <c r="N350" s="3486"/>
      <c r="O350" s="3486"/>
      <c r="P350" s="3486"/>
      <c r="Q350" s="3486"/>
      <c r="R350" s="3486"/>
      <c r="S350" s="3486"/>
      <c r="T350" s="3486"/>
      <c r="U350" s="3486"/>
      <c r="V350" s="3486"/>
      <c r="W350" s="3486"/>
      <c r="X350" s="3486"/>
      <c r="Y350" s="3943"/>
    </row>
    <row r="351" spans="1:25" s="3492" customFormat="1">
      <c r="A351" s="3485"/>
      <c r="B351" s="3486"/>
      <c r="C351" s="3486"/>
      <c r="D351" s="3486"/>
      <c r="E351" s="3486"/>
      <c r="F351" s="3486"/>
      <c r="G351" s="3486"/>
      <c r="H351" s="3486"/>
      <c r="I351" s="3486"/>
      <c r="J351" s="3486"/>
      <c r="K351" s="3486"/>
      <c r="L351" s="3486"/>
      <c r="M351" s="3486"/>
      <c r="N351" s="3486"/>
      <c r="O351" s="3486"/>
      <c r="P351" s="3486"/>
      <c r="Q351" s="3486"/>
      <c r="R351" s="3486"/>
      <c r="S351" s="3486"/>
      <c r="T351" s="3486"/>
      <c r="U351" s="3486"/>
      <c r="V351" s="3486"/>
      <c r="W351" s="3486"/>
      <c r="X351" s="3486"/>
      <c r="Y351" s="3943"/>
    </row>
    <row r="352" spans="1:25" s="3492" customFormat="1">
      <c r="A352" s="3485"/>
      <c r="B352" s="3486"/>
      <c r="C352" s="3486"/>
      <c r="D352" s="3486"/>
      <c r="E352" s="3486"/>
      <c r="F352" s="3486"/>
      <c r="G352" s="3486"/>
      <c r="H352" s="3486"/>
      <c r="I352" s="3486"/>
      <c r="J352" s="3486"/>
      <c r="K352" s="3486"/>
      <c r="L352" s="3486"/>
      <c r="M352" s="3486"/>
      <c r="N352" s="3486"/>
      <c r="O352" s="3486"/>
      <c r="P352" s="3486"/>
      <c r="Q352" s="3486"/>
      <c r="R352" s="3486"/>
      <c r="S352" s="3486"/>
      <c r="T352" s="3486"/>
      <c r="U352" s="3486"/>
      <c r="V352" s="3486"/>
      <c r="W352" s="3486"/>
      <c r="X352" s="3486"/>
      <c r="Y352" s="3943"/>
    </row>
    <row r="353" spans="1:25" s="3492" customFormat="1">
      <c r="A353" s="3485"/>
      <c r="B353" s="3486"/>
      <c r="C353" s="3486"/>
      <c r="D353" s="3486"/>
      <c r="E353" s="3486"/>
      <c r="F353" s="3486"/>
      <c r="G353" s="3486"/>
      <c r="H353" s="3486"/>
      <c r="I353" s="3486"/>
      <c r="J353" s="3486"/>
      <c r="K353" s="3486"/>
      <c r="L353" s="3486"/>
      <c r="M353" s="3486"/>
      <c r="N353" s="3486"/>
      <c r="O353" s="3486"/>
      <c r="P353" s="3486"/>
      <c r="Q353" s="3486"/>
      <c r="R353" s="3486"/>
      <c r="S353" s="3486"/>
      <c r="T353" s="3486"/>
      <c r="U353" s="3486"/>
      <c r="V353" s="3486"/>
      <c r="W353" s="3486"/>
      <c r="X353" s="3486"/>
      <c r="Y353" s="3943"/>
    </row>
    <row r="354" spans="1:25" s="3492" customFormat="1">
      <c r="A354" s="3485"/>
      <c r="B354" s="3486"/>
      <c r="C354" s="3486"/>
      <c r="D354" s="3486"/>
      <c r="E354" s="3486"/>
      <c r="F354" s="3486"/>
      <c r="G354" s="3486"/>
      <c r="H354" s="3486"/>
      <c r="I354" s="3486"/>
      <c r="J354" s="3486"/>
      <c r="K354" s="3486"/>
      <c r="L354" s="3486"/>
      <c r="M354" s="3486"/>
      <c r="N354" s="3486"/>
      <c r="O354" s="3486"/>
      <c r="P354" s="3486"/>
      <c r="Q354" s="3486"/>
      <c r="R354" s="3486"/>
      <c r="S354" s="3486"/>
      <c r="T354" s="3486"/>
      <c r="U354" s="3486"/>
      <c r="V354" s="3486"/>
      <c r="W354" s="3486"/>
      <c r="X354" s="3486"/>
      <c r="Y354" s="3943"/>
    </row>
    <row r="355" spans="1:25" s="3492" customFormat="1">
      <c r="A355" s="3485"/>
      <c r="B355" s="3486"/>
      <c r="C355" s="3486"/>
      <c r="D355" s="3486"/>
      <c r="E355" s="3486"/>
      <c r="F355" s="3486"/>
      <c r="G355" s="3486"/>
      <c r="H355" s="3486"/>
      <c r="I355" s="3486"/>
      <c r="J355" s="3486"/>
      <c r="K355" s="3486"/>
      <c r="L355" s="3486"/>
      <c r="M355" s="3486"/>
      <c r="N355" s="3486"/>
      <c r="O355" s="3486"/>
      <c r="P355" s="3486"/>
      <c r="Q355" s="3486"/>
      <c r="R355" s="3486"/>
      <c r="S355" s="3486"/>
      <c r="T355" s="3486"/>
      <c r="U355" s="3486"/>
      <c r="V355" s="3486"/>
      <c r="W355" s="3486"/>
      <c r="X355" s="3486"/>
      <c r="Y355" s="3943"/>
    </row>
    <row r="356" spans="1:25" s="3492" customFormat="1">
      <c r="A356" s="3485"/>
      <c r="B356" s="3486"/>
      <c r="C356" s="3486"/>
      <c r="D356" s="3486"/>
      <c r="E356" s="3486"/>
      <c r="F356" s="3486"/>
      <c r="G356" s="3486"/>
      <c r="H356" s="3486"/>
      <c r="I356" s="3486"/>
      <c r="J356" s="3486"/>
      <c r="K356" s="3486"/>
      <c r="L356" s="3486"/>
      <c r="M356" s="3486"/>
      <c r="N356" s="3486"/>
      <c r="O356" s="3486"/>
      <c r="P356" s="3486"/>
      <c r="Q356" s="3486"/>
      <c r="R356" s="3486"/>
      <c r="S356" s="3486"/>
      <c r="T356" s="3486"/>
      <c r="U356" s="3486"/>
      <c r="V356" s="3486"/>
      <c r="W356" s="3486"/>
      <c r="X356" s="3486"/>
      <c r="Y356" s="3943"/>
    </row>
    <row r="357" spans="1:25" s="3492" customFormat="1">
      <c r="A357" s="3485"/>
      <c r="B357" s="3486"/>
      <c r="C357" s="3486"/>
      <c r="D357" s="3486"/>
      <c r="E357" s="3486"/>
      <c r="F357" s="3486"/>
      <c r="G357" s="3486"/>
      <c r="H357" s="3486"/>
      <c r="I357" s="3486"/>
      <c r="J357" s="3486"/>
      <c r="K357" s="3486"/>
      <c r="L357" s="3486"/>
      <c r="M357" s="3486"/>
      <c r="N357" s="3486"/>
      <c r="O357" s="3486"/>
      <c r="P357" s="3486"/>
      <c r="Q357" s="3486"/>
      <c r="R357" s="3486"/>
      <c r="S357" s="3486"/>
      <c r="T357" s="3486"/>
      <c r="U357" s="3486"/>
      <c r="V357" s="3486"/>
      <c r="W357" s="3486"/>
      <c r="X357" s="3486"/>
      <c r="Y357" s="3943"/>
    </row>
    <row r="358" spans="1:25" s="3492" customFormat="1">
      <c r="A358" s="3485"/>
      <c r="B358" s="3486"/>
      <c r="C358" s="3486"/>
      <c r="D358" s="3486"/>
      <c r="E358" s="3486"/>
      <c r="F358" s="3486"/>
      <c r="G358" s="3486"/>
      <c r="H358" s="3486"/>
      <c r="I358" s="3486"/>
      <c r="J358" s="3486"/>
      <c r="K358" s="3486"/>
      <c r="L358" s="3486"/>
      <c r="M358" s="3486"/>
      <c r="N358" s="3486"/>
      <c r="O358" s="3486"/>
      <c r="P358" s="3486"/>
      <c r="Q358" s="3486"/>
      <c r="R358" s="3486"/>
      <c r="S358" s="3486"/>
      <c r="T358" s="3486"/>
      <c r="U358" s="3486"/>
      <c r="V358" s="3486"/>
      <c r="W358" s="3486"/>
      <c r="X358" s="3486"/>
      <c r="Y358" s="3943"/>
    </row>
    <row r="359" spans="1:25" s="3492" customFormat="1">
      <c r="A359" s="3485"/>
      <c r="B359" s="3486"/>
      <c r="C359" s="3486"/>
      <c r="D359" s="3486"/>
      <c r="E359" s="3486"/>
      <c r="F359" s="3486"/>
      <c r="G359" s="3486"/>
      <c r="H359" s="3486"/>
      <c r="I359" s="3486"/>
      <c r="J359" s="3486"/>
      <c r="K359" s="3486"/>
      <c r="L359" s="3486"/>
      <c r="M359" s="3486"/>
      <c r="N359" s="3486"/>
      <c r="O359" s="3486"/>
      <c r="P359" s="3486"/>
      <c r="Q359" s="3486"/>
      <c r="R359" s="3486"/>
      <c r="S359" s="3486"/>
      <c r="T359" s="3486"/>
      <c r="U359" s="3486"/>
      <c r="V359" s="3486"/>
      <c r="W359" s="3486"/>
      <c r="X359" s="3486"/>
      <c r="Y359" s="3943"/>
    </row>
    <row r="360" spans="1:25" s="3492" customFormat="1">
      <c r="A360" s="3485"/>
      <c r="B360" s="3486"/>
      <c r="C360" s="3486"/>
      <c r="D360" s="3486"/>
      <c r="E360" s="3486"/>
      <c r="F360" s="3486"/>
      <c r="G360" s="3486"/>
      <c r="H360" s="3486"/>
      <c r="I360" s="3486"/>
      <c r="J360" s="3486"/>
      <c r="K360" s="3486"/>
      <c r="L360" s="3486"/>
      <c r="M360" s="3486"/>
      <c r="N360" s="3486"/>
      <c r="O360" s="3486"/>
      <c r="P360" s="3486"/>
      <c r="Q360" s="3486"/>
      <c r="R360" s="3486"/>
      <c r="S360" s="3486"/>
      <c r="T360" s="3486"/>
      <c r="U360" s="3486"/>
      <c r="V360" s="3486"/>
      <c r="W360" s="3486"/>
      <c r="X360" s="3486"/>
      <c r="Y360" s="3943"/>
    </row>
    <row r="361" spans="1:25" s="3492" customFormat="1">
      <c r="A361" s="3485"/>
      <c r="B361" s="3486"/>
      <c r="C361" s="3486"/>
      <c r="D361" s="3486"/>
      <c r="E361" s="3486"/>
      <c r="F361" s="3486"/>
      <c r="G361" s="3486"/>
      <c r="H361" s="3486"/>
      <c r="I361" s="3486"/>
      <c r="J361" s="3486"/>
      <c r="K361" s="3486"/>
      <c r="L361" s="3486"/>
      <c r="M361" s="3486"/>
      <c r="N361" s="3486"/>
      <c r="O361" s="3486"/>
      <c r="P361" s="3486"/>
      <c r="Q361" s="3486"/>
      <c r="R361" s="3486"/>
      <c r="S361" s="3486"/>
      <c r="T361" s="3486"/>
      <c r="U361" s="3486"/>
      <c r="V361" s="3486"/>
      <c r="W361" s="3486"/>
      <c r="X361" s="3486"/>
      <c r="Y361" s="3943"/>
    </row>
    <row r="362" spans="1:25" s="3492" customFormat="1">
      <c r="A362" s="3485"/>
      <c r="B362" s="3486"/>
      <c r="C362" s="3486"/>
      <c r="D362" s="3486"/>
      <c r="E362" s="3486"/>
      <c r="F362" s="3486"/>
      <c r="G362" s="3486"/>
      <c r="H362" s="3486"/>
      <c r="I362" s="3486"/>
      <c r="J362" s="3486"/>
      <c r="K362" s="3486"/>
      <c r="L362" s="3486"/>
      <c r="M362" s="3486"/>
      <c r="N362" s="3486"/>
      <c r="O362" s="3486"/>
      <c r="P362" s="3486"/>
      <c r="Q362" s="3486"/>
      <c r="R362" s="3486"/>
      <c r="S362" s="3486"/>
      <c r="T362" s="3486"/>
      <c r="U362" s="3486"/>
      <c r="V362" s="3486"/>
      <c r="W362" s="3486"/>
      <c r="X362" s="3486"/>
      <c r="Y362" s="3943"/>
    </row>
    <row r="363" spans="1:25" s="3492" customFormat="1">
      <c r="A363" s="3485"/>
      <c r="B363" s="3486"/>
      <c r="C363" s="3486"/>
      <c r="D363" s="3486"/>
      <c r="E363" s="3486"/>
      <c r="F363" s="3486"/>
      <c r="G363" s="3486"/>
      <c r="H363" s="3486"/>
      <c r="I363" s="3486"/>
      <c r="J363" s="3486"/>
      <c r="K363" s="3486"/>
      <c r="L363" s="3486"/>
      <c r="M363" s="3486"/>
      <c r="N363" s="3486"/>
      <c r="O363" s="3486"/>
      <c r="P363" s="3486"/>
      <c r="Q363" s="3486"/>
      <c r="R363" s="3486"/>
      <c r="S363" s="3486"/>
      <c r="T363" s="3486"/>
      <c r="U363" s="3486"/>
      <c r="V363" s="3486"/>
      <c r="W363" s="3486"/>
      <c r="X363" s="3486"/>
      <c r="Y363" s="3943"/>
    </row>
    <row r="364" spans="1:25" s="3492" customFormat="1">
      <c r="A364" s="3485"/>
      <c r="B364" s="3486"/>
      <c r="C364" s="3486"/>
      <c r="D364" s="3486"/>
      <c r="E364" s="3486"/>
      <c r="F364" s="3486"/>
      <c r="G364" s="3486"/>
      <c r="H364" s="3486"/>
      <c r="I364" s="3486"/>
      <c r="J364" s="3486"/>
      <c r="K364" s="3486"/>
      <c r="L364" s="3486"/>
      <c r="M364" s="3486"/>
      <c r="N364" s="3486"/>
      <c r="O364" s="3486"/>
      <c r="P364" s="3486"/>
      <c r="Q364" s="3486"/>
      <c r="R364" s="3486"/>
      <c r="S364" s="3486"/>
      <c r="T364" s="3486"/>
      <c r="U364" s="3486"/>
      <c r="V364" s="3486"/>
      <c r="W364" s="3486"/>
      <c r="X364" s="3486"/>
      <c r="Y364" s="3943"/>
    </row>
    <row r="365" spans="1:25" s="3492" customFormat="1">
      <c r="A365" s="3485"/>
      <c r="B365" s="3486"/>
      <c r="C365" s="3486"/>
      <c r="D365" s="3486"/>
      <c r="E365" s="3486"/>
      <c r="F365" s="3486"/>
      <c r="G365" s="3486"/>
      <c r="H365" s="3486"/>
      <c r="I365" s="3486"/>
      <c r="J365" s="3486"/>
      <c r="K365" s="3486"/>
      <c r="L365" s="3486"/>
      <c r="M365" s="3486"/>
      <c r="N365" s="3486"/>
      <c r="O365" s="3486"/>
      <c r="P365" s="3486"/>
      <c r="Q365" s="3486"/>
      <c r="R365" s="3486"/>
      <c r="S365" s="3486"/>
      <c r="T365" s="3486"/>
      <c r="U365" s="3486"/>
      <c r="V365" s="3486"/>
      <c r="W365" s="3486"/>
      <c r="X365" s="3486"/>
      <c r="Y365" s="3943"/>
    </row>
    <row r="366" spans="1:25" s="3492" customFormat="1">
      <c r="A366" s="3485"/>
      <c r="B366" s="3486"/>
      <c r="C366" s="3486"/>
      <c r="D366" s="3486"/>
      <c r="E366" s="3486"/>
      <c r="F366" s="3486"/>
      <c r="G366" s="3486"/>
      <c r="H366" s="3486"/>
      <c r="I366" s="3486"/>
      <c r="J366" s="3486"/>
      <c r="K366" s="3486"/>
      <c r="L366" s="3486"/>
      <c r="M366" s="3486"/>
      <c r="N366" s="3486"/>
      <c r="O366" s="3486"/>
      <c r="P366" s="3486"/>
      <c r="Q366" s="3486"/>
      <c r="R366" s="3486"/>
      <c r="S366" s="3486"/>
      <c r="T366" s="3486"/>
      <c r="U366" s="3486"/>
      <c r="V366" s="3486"/>
      <c r="W366" s="3486"/>
      <c r="X366" s="3486"/>
      <c r="Y366" s="3943"/>
    </row>
    <row r="367" spans="1:25" s="3492" customFormat="1">
      <c r="A367" s="3485"/>
      <c r="B367" s="3486"/>
      <c r="C367" s="3486"/>
      <c r="D367" s="3486"/>
      <c r="E367" s="3486"/>
      <c r="F367" s="3486"/>
      <c r="G367" s="3486"/>
      <c r="H367" s="3486"/>
      <c r="I367" s="3486"/>
      <c r="J367" s="3486"/>
      <c r="K367" s="3486"/>
      <c r="L367" s="3486"/>
      <c r="M367" s="3486"/>
      <c r="N367" s="3486"/>
      <c r="O367" s="3486"/>
      <c r="P367" s="3486"/>
      <c r="Q367" s="3486"/>
      <c r="R367" s="3486"/>
      <c r="S367" s="3486"/>
      <c r="T367" s="3486"/>
      <c r="U367" s="3486"/>
      <c r="V367" s="3486"/>
      <c r="W367" s="3486"/>
      <c r="X367" s="3486"/>
      <c r="Y367" s="3943"/>
    </row>
    <row r="368" spans="1:25" s="3492" customFormat="1">
      <c r="A368" s="3485"/>
      <c r="B368" s="3486"/>
      <c r="C368" s="3486"/>
      <c r="D368" s="3486"/>
      <c r="E368" s="3486"/>
      <c r="F368" s="3486"/>
      <c r="G368" s="3486"/>
      <c r="H368" s="3486"/>
      <c r="I368" s="3486"/>
      <c r="J368" s="3486"/>
      <c r="K368" s="3486"/>
      <c r="L368" s="3486"/>
      <c r="M368" s="3486"/>
      <c r="N368" s="3486"/>
      <c r="O368" s="3486"/>
      <c r="P368" s="3486"/>
      <c r="Q368" s="3486"/>
      <c r="R368" s="3486"/>
      <c r="S368" s="3486"/>
      <c r="T368" s="3486"/>
      <c r="U368" s="3486"/>
      <c r="V368" s="3486"/>
      <c r="W368" s="3486"/>
      <c r="X368" s="3486"/>
      <c r="Y368" s="3943"/>
    </row>
    <row r="369" spans="1:25" s="3492" customFormat="1">
      <c r="A369" s="3485"/>
      <c r="B369" s="3486"/>
      <c r="C369" s="3486"/>
      <c r="D369" s="3486"/>
      <c r="E369" s="3486"/>
      <c r="F369" s="3486"/>
      <c r="G369" s="3486"/>
      <c r="H369" s="3486"/>
      <c r="I369" s="3486"/>
      <c r="J369" s="3486"/>
      <c r="K369" s="3486"/>
      <c r="L369" s="3486"/>
      <c r="M369" s="3486"/>
      <c r="N369" s="3486"/>
      <c r="O369" s="3486"/>
      <c r="P369" s="3486"/>
      <c r="Q369" s="3486"/>
      <c r="R369" s="3486"/>
      <c r="S369" s="3486"/>
      <c r="T369" s="3486"/>
      <c r="U369" s="3486"/>
      <c r="V369" s="3486"/>
      <c r="W369" s="3486"/>
      <c r="X369" s="3486"/>
      <c r="Y369" s="3943"/>
    </row>
    <row r="370" spans="1:25" s="3492" customFormat="1">
      <c r="A370" s="3485"/>
      <c r="B370" s="3486"/>
      <c r="C370" s="3486"/>
      <c r="D370" s="3486"/>
      <c r="E370" s="3486"/>
      <c r="F370" s="3486"/>
      <c r="G370" s="3486"/>
      <c r="H370" s="3486"/>
      <c r="I370" s="3486"/>
      <c r="J370" s="3486"/>
      <c r="K370" s="3486"/>
      <c r="L370" s="3486"/>
      <c r="M370" s="3486"/>
      <c r="N370" s="3486"/>
      <c r="O370" s="3486"/>
      <c r="P370" s="3486"/>
      <c r="Q370" s="3486"/>
      <c r="R370" s="3486"/>
      <c r="S370" s="3486"/>
      <c r="T370" s="3486"/>
      <c r="U370" s="3486"/>
      <c r="V370" s="3486"/>
      <c r="W370" s="3486"/>
      <c r="X370" s="3486"/>
      <c r="Y370" s="3943"/>
    </row>
    <row r="371" spans="1:25" s="3492" customFormat="1">
      <c r="A371" s="3485"/>
      <c r="B371" s="3486"/>
      <c r="C371" s="3486"/>
      <c r="D371" s="3486"/>
      <c r="E371" s="3486"/>
      <c r="F371" s="3486"/>
      <c r="G371" s="3486"/>
      <c r="H371" s="3486"/>
      <c r="I371" s="3486"/>
      <c r="J371" s="3486"/>
      <c r="K371" s="3486"/>
      <c r="L371" s="3486"/>
      <c r="M371" s="3486"/>
      <c r="N371" s="3486"/>
      <c r="O371" s="3486"/>
      <c r="P371" s="3486"/>
      <c r="Q371" s="3486"/>
      <c r="R371" s="3486"/>
      <c r="S371" s="3486"/>
      <c r="T371" s="3486"/>
      <c r="U371" s="3486"/>
      <c r="V371" s="3486"/>
      <c r="W371" s="3486"/>
      <c r="X371" s="3486"/>
      <c r="Y371" s="3943"/>
    </row>
    <row r="372" spans="1:25" s="3492" customFormat="1">
      <c r="A372" s="3485"/>
      <c r="B372" s="3486"/>
      <c r="C372" s="3486"/>
      <c r="D372" s="3486"/>
      <c r="E372" s="3486"/>
      <c r="F372" s="3486"/>
      <c r="G372" s="3486"/>
      <c r="H372" s="3486"/>
      <c r="I372" s="3486"/>
      <c r="J372" s="3486"/>
      <c r="K372" s="3486"/>
      <c r="L372" s="3486"/>
      <c r="M372" s="3486"/>
      <c r="N372" s="3486"/>
      <c r="O372" s="3486"/>
      <c r="P372" s="3486"/>
      <c r="Q372" s="3486"/>
      <c r="R372" s="3486"/>
      <c r="S372" s="3486"/>
      <c r="T372" s="3486"/>
      <c r="U372" s="3486"/>
      <c r="V372" s="3486"/>
      <c r="W372" s="3486"/>
      <c r="X372" s="3486"/>
      <c r="Y372" s="3943"/>
    </row>
    <row r="373" spans="1:25" s="3492" customFormat="1">
      <c r="A373" s="3485"/>
      <c r="B373" s="3486"/>
      <c r="C373" s="3486"/>
      <c r="D373" s="3486"/>
      <c r="E373" s="3486"/>
      <c r="F373" s="3486"/>
      <c r="G373" s="3486"/>
      <c r="H373" s="3486"/>
      <c r="I373" s="3486"/>
      <c r="J373" s="3486"/>
      <c r="K373" s="3486"/>
      <c r="L373" s="3486"/>
      <c r="M373" s="3486"/>
      <c r="N373" s="3486"/>
      <c r="O373" s="3486"/>
      <c r="P373" s="3486"/>
      <c r="Q373" s="3486"/>
      <c r="R373" s="3486"/>
      <c r="S373" s="3486"/>
      <c r="T373" s="3486"/>
      <c r="U373" s="3486"/>
      <c r="V373" s="3486"/>
      <c r="W373" s="3486"/>
      <c r="X373" s="3486"/>
      <c r="Y373" s="3943"/>
    </row>
    <row r="374" spans="1:25" s="3492" customFormat="1">
      <c r="A374" s="3485"/>
      <c r="B374" s="3486"/>
      <c r="C374" s="3486"/>
      <c r="D374" s="3486"/>
      <c r="E374" s="3486"/>
      <c r="F374" s="3486"/>
      <c r="G374" s="3486"/>
      <c r="H374" s="3486"/>
      <c r="I374" s="3486"/>
      <c r="J374" s="3486"/>
      <c r="K374" s="3486"/>
      <c r="L374" s="3486"/>
      <c r="M374" s="3486"/>
      <c r="N374" s="3486"/>
      <c r="O374" s="3486"/>
      <c r="P374" s="3486"/>
      <c r="Q374" s="3486"/>
      <c r="R374" s="3486"/>
      <c r="S374" s="3486"/>
      <c r="T374" s="3486"/>
      <c r="U374" s="3486"/>
      <c r="V374" s="3486"/>
      <c r="W374" s="3486"/>
      <c r="X374" s="3486"/>
      <c r="Y374" s="3943"/>
    </row>
    <row r="375" spans="1:25" s="3492" customFormat="1">
      <c r="A375" s="3485"/>
      <c r="B375" s="3486"/>
      <c r="C375" s="3486"/>
      <c r="D375" s="3486"/>
      <c r="E375" s="3486"/>
      <c r="F375" s="3486"/>
      <c r="G375" s="3486"/>
      <c r="H375" s="3486"/>
      <c r="I375" s="3486"/>
      <c r="J375" s="3486"/>
      <c r="K375" s="3486"/>
      <c r="L375" s="3486"/>
      <c r="M375" s="3486"/>
      <c r="N375" s="3486"/>
      <c r="O375" s="3486"/>
      <c r="P375" s="3486"/>
      <c r="Q375" s="3486"/>
      <c r="R375" s="3486"/>
      <c r="S375" s="3486"/>
      <c r="T375" s="3486"/>
      <c r="U375" s="3486"/>
      <c r="V375" s="3486"/>
      <c r="W375" s="3486"/>
      <c r="X375" s="3486"/>
      <c r="Y375" s="3943"/>
    </row>
    <row r="376" spans="1:25" s="3492" customFormat="1">
      <c r="A376" s="3485"/>
      <c r="B376" s="3486"/>
      <c r="C376" s="3486"/>
      <c r="D376" s="3486"/>
      <c r="E376" s="3486"/>
      <c r="F376" s="3486"/>
      <c r="G376" s="3486"/>
      <c r="H376" s="3486"/>
      <c r="I376" s="3486"/>
      <c r="J376" s="3486"/>
      <c r="K376" s="3486"/>
      <c r="L376" s="3486"/>
      <c r="M376" s="3486"/>
      <c r="N376" s="3486"/>
      <c r="O376" s="3486"/>
      <c r="P376" s="3486"/>
      <c r="Q376" s="3486"/>
      <c r="R376" s="3486"/>
      <c r="S376" s="3486"/>
      <c r="T376" s="3486"/>
      <c r="U376" s="3486"/>
      <c r="V376" s="3486"/>
      <c r="W376" s="3486"/>
      <c r="X376" s="3486"/>
      <c r="Y376" s="3943"/>
    </row>
    <row r="377" spans="1:25" s="3492" customFormat="1">
      <c r="A377" s="3485"/>
      <c r="B377" s="3486"/>
      <c r="C377" s="3486"/>
      <c r="D377" s="3486"/>
      <c r="E377" s="3486"/>
      <c r="F377" s="3486"/>
      <c r="G377" s="3486"/>
      <c r="H377" s="3486"/>
      <c r="I377" s="3486"/>
      <c r="J377" s="3486"/>
      <c r="K377" s="3486"/>
      <c r="L377" s="3486"/>
      <c r="M377" s="3486"/>
      <c r="N377" s="3486"/>
      <c r="O377" s="3486"/>
      <c r="P377" s="3486"/>
      <c r="Q377" s="3486"/>
      <c r="R377" s="3486"/>
      <c r="S377" s="3486"/>
      <c r="T377" s="3486"/>
      <c r="U377" s="3486"/>
      <c r="V377" s="3486"/>
      <c r="W377" s="3486"/>
      <c r="X377" s="3486"/>
      <c r="Y377" s="3943"/>
    </row>
    <row r="378" spans="1:25" s="3492" customFormat="1">
      <c r="A378" s="3485"/>
      <c r="B378" s="3486"/>
      <c r="C378" s="3486"/>
      <c r="D378" s="3486"/>
      <c r="E378" s="3486"/>
      <c r="F378" s="3486"/>
      <c r="G378" s="3486"/>
      <c r="H378" s="3486"/>
      <c r="I378" s="3486"/>
      <c r="J378" s="3486"/>
      <c r="K378" s="3486"/>
      <c r="L378" s="3486"/>
      <c r="M378" s="3486"/>
      <c r="N378" s="3486"/>
      <c r="O378" s="3486"/>
      <c r="P378" s="3486"/>
      <c r="Q378" s="3486"/>
      <c r="R378" s="3486"/>
      <c r="S378" s="3486"/>
      <c r="T378" s="3486"/>
      <c r="U378" s="3486"/>
      <c r="V378" s="3486"/>
      <c r="W378" s="3486"/>
      <c r="X378" s="3486"/>
      <c r="Y378" s="3943"/>
    </row>
    <row r="379" spans="1:25" s="3492" customFormat="1">
      <c r="A379" s="3485"/>
      <c r="B379" s="3486"/>
      <c r="C379" s="3486"/>
      <c r="D379" s="3486"/>
      <c r="E379" s="3486"/>
      <c r="F379" s="3486"/>
      <c r="G379" s="3486"/>
      <c r="H379" s="3486"/>
      <c r="I379" s="3486"/>
      <c r="J379" s="3486"/>
      <c r="K379" s="3486"/>
      <c r="L379" s="3486"/>
      <c r="M379" s="3486"/>
      <c r="N379" s="3486"/>
      <c r="O379" s="3486"/>
      <c r="P379" s="3486"/>
      <c r="Q379" s="3486"/>
      <c r="R379" s="3486"/>
      <c r="S379" s="3486"/>
      <c r="T379" s="3486"/>
      <c r="U379" s="3486"/>
      <c r="V379" s="3486"/>
      <c r="W379" s="3486"/>
      <c r="X379" s="3486"/>
      <c r="Y379" s="3943"/>
    </row>
    <row r="380" spans="1:25" s="3492" customFormat="1">
      <c r="A380" s="3485"/>
      <c r="B380" s="3486"/>
      <c r="C380" s="3486"/>
      <c r="D380" s="3486"/>
      <c r="E380" s="3486"/>
      <c r="F380" s="3486"/>
      <c r="G380" s="3486"/>
      <c r="H380" s="3486"/>
      <c r="I380" s="3486"/>
      <c r="J380" s="3486"/>
      <c r="K380" s="3486"/>
      <c r="L380" s="3486"/>
      <c r="M380" s="3486"/>
      <c r="N380" s="3486"/>
      <c r="O380" s="3486"/>
      <c r="P380" s="3486"/>
      <c r="Q380" s="3486"/>
      <c r="R380" s="3486"/>
      <c r="S380" s="3486"/>
      <c r="T380" s="3486"/>
      <c r="U380" s="3486"/>
      <c r="V380" s="3486"/>
      <c r="W380" s="3486"/>
      <c r="X380" s="3486"/>
      <c r="Y380" s="3943"/>
    </row>
    <row r="381" spans="1:25" s="3492" customFormat="1">
      <c r="A381" s="3485"/>
      <c r="B381" s="3486"/>
      <c r="C381" s="3486"/>
      <c r="D381" s="3486"/>
      <c r="E381" s="3486"/>
      <c r="F381" s="3486"/>
      <c r="G381" s="3486"/>
      <c r="H381" s="3486"/>
      <c r="I381" s="3486"/>
      <c r="J381" s="3486"/>
      <c r="K381" s="3486"/>
      <c r="L381" s="3486"/>
      <c r="M381" s="3486"/>
      <c r="N381" s="3486"/>
      <c r="O381" s="3486"/>
      <c r="P381" s="3486"/>
      <c r="Q381" s="3486"/>
      <c r="R381" s="3486"/>
      <c r="S381" s="3486"/>
      <c r="T381" s="3486"/>
      <c r="U381" s="3486"/>
      <c r="V381" s="3486"/>
      <c r="W381" s="3486"/>
      <c r="X381" s="3486"/>
      <c r="Y381" s="3943"/>
    </row>
    <row r="382" spans="1:25" s="3492" customFormat="1">
      <c r="A382" s="3485"/>
      <c r="B382" s="3486"/>
      <c r="C382" s="3486"/>
      <c r="D382" s="3486"/>
      <c r="E382" s="3486"/>
      <c r="F382" s="3486"/>
      <c r="G382" s="3486"/>
      <c r="H382" s="3486"/>
      <c r="I382" s="3486"/>
      <c r="J382" s="3486"/>
      <c r="K382" s="3486"/>
      <c r="L382" s="3486"/>
      <c r="M382" s="3486"/>
      <c r="N382" s="3486"/>
      <c r="O382" s="3486"/>
      <c r="P382" s="3486"/>
      <c r="Q382" s="3486"/>
      <c r="R382" s="3486"/>
      <c r="S382" s="3486"/>
      <c r="T382" s="3486"/>
      <c r="U382" s="3486"/>
      <c r="V382" s="3486"/>
      <c r="W382" s="3486"/>
      <c r="X382" s="3486"/>
      <c r="Y382" s="3943"/>
    </row>
    <row r="383" spans="1:25" s="3492" customFormat="1">
      <c r="A383" s="3485"/>
      <c r="B383" s="3486"/>
      <c r="C383" s="3486"/>
      <c r="D383" s="3486"/>
      <c r="E383" s="3486"/>
      <c r="F383" s="3486"/>
      <c r="G383" s="3486"/>
      <c r="H383" s="3486"/>
      <c r="I383" s="3486"/>
      <c r="J383" s="3486"/>
      <c r="K383" s="3486"/>
      <c r="L383" s="3486"/>
      <c r="M383" s="3486"/>
      <c r="N383" s="3486"/>
      <c r="O383" s="3486"/>
      <c r="P383" s="3486"/>
      <c r="Q383" s="3486"/>
      <c r="R383" s="3486"/>
      <c r="S383" s="3486"/>
      <c r="T383" s="3486"/>
      <c r="U383" s="3486"/>
      <c r="V383" s="3486"/>
      <c r="W383" s="3486"/>
      <c r="X383" s="3486"/>
      <c r="Y383" s="3943"/>
    </row>
    <row r="384" spans="1:25" s="3492" customFormat="1">
      <c r="A384" s="3485"/>
      <c r="B384" s="3486"/>
      <c r="C384" s="3486"/>
      <c r="D384" s="3486"/>
      <c r="E384" s="3486"/>
      <c r="F384" s="3486"/>
      <c r="G384" s="3486"/>
      <c r="H384" s="3486"/>
      <c r="I384" s="3486"/>
      <c r="J384" s="3486"/>
      <c r="K384" s="3486"/>
      <c r="L384" s="3486"/>
      <c r="M384" s="3486"/>
      <c r="N384" s="3486"/>
      <c r="O384" s="3486"/>
      <c r="P384" s="3486"/>
      <c r="Q384" s="3486"/>
      <c r="R384" s="3486"/>
      <c r="S384" s="3486"/>
      <c r="T384" s="3486"/>
      <c r="U384" s="3486"/>
      <c r="V384" s="3486"/>
      <c r="W384" s="3486"/>
      <c r="X384" s="3486"/>
      <c r="Y384" s="3943"/>
    </row>
    <row r="385" spans="1:25" s="3492" customFormat="1">
      <c r="A385" s="3485"/>
      <c r="B385" s="3486"/>
      <c r="C385" s="3486"/>
      <c r="D385" s="3486"/>
      <c r="E385" s="3486"/>
      <c r="F385" s="3486"/>
      <c r="G385" s="3486"/>
      <c r="H385" s="3486"/>
      <c r="I385" s="3486"/>
      <c r="J385" s="3486"/>
      <c r="K385" s="3486"/>
      <c r="L385" s="3486"/>
      <c r="M385" s="3486"/>
      <c r="N385" s="3486"/>
      <c r="O385" s="3486"/>
      <c r="P385" s="3486"/>
      <c r="Q385" s="3486"/>
      <c r="R385" s="3486"/>
      <c r="S385" s="3486"/>
      <c r="T385" s="3486"/>
      <c r="U385" s="3486"/>
      <c r="V385" s="3486"/>
      <c r="W385" s="3486"/>
      <c r="X385" s="3486"/>
      <c r="Y385" s="3943"/>
    </row>
    <row r="386" spans="1:25" s="3492" customFormat="1">
      <c r="A386" s="3485"/>
      <c r="B386" s="3486"/>
      <c r="C386" s="3486"/>
      <c r="D386" s="3486"/>
      <c r="E386" s="3486"/>
      <c r="F386" s="3486"/>
      <c r="G386" s="3486"/>
      <c r="H386" s="3486"/>
      <c r="I386" s="3486"/>
      <c r="J386" s="3486"/>
      <c r="K386" s="3486"/>
      <c r="L386" s="3486"/>
      <c r="M386" s="3486"/>
      <c r="N386" s="3486"/>
      <c r="O386" s="3486"/>
      <c r="P386" s="3486"/>
      <c r="Q386" s="3486"/>
      <c r="R386" s="3486"/>
      <c r="S386" s="3486"/>
      <c r="T386" s="3486"/>
      <c r="U386" s="3486"/>
      <c r="V386" s="3486"/>
      <c r="W386" s="3486"/>
      <c r="X386" s="3486"/>
      <c r="Y386" s="3943"/>
    </row>
    <row r="387" spans="1:25" s="3492" customFormat="1">
      <c r="A387" s="3485"/>
      <c r="B387" s="3486"/>
      <c r="C387" s="3486"/>
      <c r="D387" s="3486"/>
      <c r="E387" s="3486"/>
      <c r="F387" s="3486"/>
      <c r="G387" s="3486"/>
      <c r="H387" s="3486"/>
      <c r="I387" s="3486"/>
      <c r="J387" s="3486"/>
      <c r="K387" s="3486"/>
      <c r="L387" s="3486"/>
      <c r="M387" s="3486"/>
      <c r="N387" s="3486"/>
      <c r="O387" s="3486"/>
      <c r="P387" s="3486"/>
      <c r="Q387" s="3486"/>
      <c r="R387" s="3486"/>
      <c r="S387" s="3486"/>
      <c r="T387" s="3486"/>
      <c r="U387" s="3486"/>
      <c r="V387" s="3486"/>
      <c r="W387" s="3486"/>
      <c r="X387" s="3486"/>
      <c r="Y387" s="3943"/>
    </row>
    <row r="388" spans="1:25" s="3492" customFormat="1">
      <c r="A388" s="3485"/>
      <c r="B388" s="3486"/>
      <c r="C388" s="3486"/>
      <c r="D388" s="3486"/>
      <c r="E388" s="3486"/>
      <c r="F388" s="3486"/>
      <c r="G388" s="3486"/>
      <c r="H388" s="3486"/>
      <c r="I388" s="3486"/>
      <c r="J388" s="3486"/>
      <c r="K388" s="3486"/>
      <c r="L388" s="3486"/>
      <c r="M388" s="3486"/>
      <c r="N388" s="3486"/>
      <c r="O388" s="3486"/>
      <c r="P388" s="3486"/>
      <c r="Q388" s="3486"/>
      <c r="R388" s="3486"/>
      <c r="S388" s="3486"/>
      <c r="T388" s="3486"/>
      <c r="U388" s="3486"/>
      <c r="V388" s="3486"/>
      <c r="W388" s="3486"/>
      <c r="X388" s="3486"/>
      <c r="Y388" s="3943"/>
    </row>
    <row r="389" spans="1:25" s="3492" customFormat="1">
      <c r="A389" s="3485"/>
      <c r="B389" s="3486"/>
      <c r="C389" s="3486"/>
      <c r="D389" s="3486"/>
      <c r="E389" s="3486"/>
      <c r="F389" s="3486"/>
      <c r="G389" s="3486"/>
      <c r="H389" s="3486"/>
      <c r="I389" s="3486"/>
      <c r="J389" s="3486"/>
      <c r="K389" s="3486"/>
      <c r="L389" s="3486"/>
      <c r="M389" s="3486"/>
      <c r="N389" s="3486"/>
      <c r="O389" s="3486"/>
      <c r="P389" s="3486"/>
      <c r="Q389" s="3486"/>
      <c r="R389" s="3486"/>
      <c r="S389" s="3486"/>
      <c r="T389" s="3486"/>
      <c r="U389" s="3486"/>
      <c r="V389" s="3486"/>
      <c r="W389" s="3486"/>
      <c r="X389" s="3486"/>
      <c r="Y389" s="3943"/>
    </row>
    <row r="390" spans="1:25" s="3492" customFormat="1">
      <c r="A390" s="3485"/>
      <c r="B390" s="3486"/>
      <c r="C390" s="3486"/>
      <c r="D390" s="3486"/>
      <c r="E390" s="3486"/>
      <c r="F390" s="3486"/>
      <c r="G390" s="3486"/>
      <c r="H390" s="3486"/>
      <c r="I390" s="3486"/>
      <c r="J390" s="3486"/>
      <c r="K390" s="3486"/>
      <c r="L390" s="3486"/>
      <c r="M390" s="3486"/>
      <c r="N390" s="3486"/>
      <c r="O390" s="3486"/>
      <c r="P390" s="3486"/>
      <c r="Q390" s="3486"/>
      <c r="R390" s="3486"/>
      <c r="S390" s="3486"/>
      <c r="T390" s="3486"/>
      <c r="U390" s="3486"/>
      <c r="V390" s="3486"/>
      <c r="W390" s="3486"/>
      <c r="X390" s="3486"/>
      <c r="Y390" s="3943"/>
    </row>
    <row r="391" spans="1:25" s="3492" customFormat="1">
      <c r="A391" s="3485"/>
      <c r="B391" s="3486"/>
      <c r="C391" s="3486"/>
      <c r="D391" s="3486"/>
      <c r="E391" s="3486"/>
      <c r="F391" s="3486"/>
      <c r="G391" s="3486"/>
      <c r="H391" s="3486"/>
      <c r="I391" s="3486"/>
      <c r="J391" s="3486"/>
      <c r="K391" s="3486"/>
      <c r="L391" s="3486"/>
      <c r="M391" s="3486"/>
      <c r="N391" s="3486"/>
      <c r="O391" s="3486"/>
      <c r="P391" s="3486"/>
      <c r="Q391" s="3486"/>
      <c r="R391" s="3486"/>
      <c r="S391" s="3486"/>
      <c r="T391" s="3486"/>
      <c r="U391" s="3486"/>
      <c r="V391" s="3486"/>
      <c r="W391" s="3486"/>
      <c r="X391" s="3486"/>
      <c r="Y391" s="3943"/>
    </row>
    <row r="392" spans="1:25" s="3492" customFormat="1">
      <c r="A392" s="3485"/>
      <c r="B392" s="3486"/>
      <c r="C392" s="3486"/>
      <c r="D392" s="3486"/>
      <c r="E392" s="3486"/>
      <c r="F392" s="3486"/>
      <c r="G392" s="3486"/>
      <c r="H392" s="3486"/>
      <c r="I392" s="3486"/>
      <c r="J392" s="3486"/>
      <c r="K392" s="3486"/>
      <c r="L392" s="3486"/>
      <c r="M392" s="3486"/>
      <c r="N392" s="3486"/>
      <c r="O392" s="3486"/>
      <c r="P392" s="3486"/>
      <c r="Q392" s="3486"/>
      <c r="R392" s="3486"/>
      <c r="S392" s="3486"/>
      <c r="T392" s="3486"/>
      <c r="U392" s="3486"/>
      <c r="V392" s="3486"/>
      <c r="W392" s="3486"/>
      <c r="X392" s="3486"/>
      <c r="Y392" s="3943"/>
    </row>
    <row r="393" spans="1:25" s="3492" customFormat="1">
      <c r="A393" s="3485"/>
      <c r="B393" s="3486"/>
      <c r="C393" s="3486"/>
      <c r="D393" s="3486"/>
      <c r="E393" s="3486"/>
      <c r="F393" s="3486"/>
      <c r="G393" s="3486"/>
      <c r="H393" s="3486"/>
      <c r="I393" s="3486"/>
      <c r="J393" s="3486"/>
      <c r="K393" s="3486"/>
      <c r="L393" s="3486"/>
      <c r="M393" s="3486"/>
      <c r="N393" s="3486"/>
      <c r="O393" s="3486"/>
      <c r="P393" s="3486"/>
      <c r="Q393" s="3486"/>
      <c r="R393" s="3486"/>
      <c r="S393" s="3486"/>
      <c r="T393" s="3486"/>
      <c r="U393" s="3486"/>
      <c r="V393" s="3486"/>
      <c r="W393" s="3486"/>
      <c r="X393" s="3486"/>
      <c r="Y393" s="3943"/>
    </row>
    <row r="394" spans="1:25" s="3492" customFormat="1">
      <c r="A394" s="3485"/>
      <c r="B394" s="3486"/>
      <c r="C394" s="3486"/>
      <c r="D394" s="3486"/>
      <c r="E394" s="3486"/>
      <c r="F394" s="3486"/>
      <c r="G394" s="3486"/>
      <c r="H394" s="3486"/>
      <c r="I394" s="3486"/>
      <c r="J394" s="3486"/>
      <c r="K394" s="3486"/>
      <c r="L394" s="3486"/>
      <c r="M394" s="3486"/>
      <c r="N394" s="3486"/>
      <c r="O394" s="3486"/>
      <c r="P394" s="3486"/>
      <c r="Q394" s="3486"/>
      <c r="R394" s="3486"/>
      <c r="S394" s="3486"/>
      <c r="T394" s="3486"/>
      <c r="U394" s="3486"/>
      <c r="V394" s="3486"/>
      <c r="W394" s="3486"/>
      <c r="X394" s="3486"/>
      <c r="Y394" s="3943"/>
    </row>
    <row r="395" spans="1:25" s="3492" customFormat="1">
      <c r="A395" s="3485"/>
      <c r="B395" s="3486"/>
      <c r="C395" s="3486"/>
      <c r="D395" s="3486"/>
      <c r="E395" s="3486"/>
      <c r="F395" s="3486"/>
      <c r="G395" s="3486"/>
      <c r="H395" s="3486"/>
      <c r="I395" s="3486"/>
      <c r="J395" s="3486"/>
      <c r="K395" s="3486"/>
      <c r="L395" s="3486"/>
      <c r="M395" s="3486"/>
      <c r="N395" s="3486"/>
      <c r="O395" s="3486"/>
      <c r="P395" s="3486"/>
      <c r="Q395" s="3486"/>
      <c r="R395" s="3486"/>
      <c r="S395" s="3486"/>
      <c r="T395" s="3486"/>
      <c r="U395" s="3486"/>
      <c r="V395" s="3486"/>
      <c r="W395" s="3486"/>
      <c r="X395" s="3486"/>
      <c r="Y395" s="3943"/>
    </row>
    <row r="396" spans="1:25" s="3492" customFormat="1">
      <c r="A396" s="3485"/>
      <c r="B396" s="3486"/>
      <c r="C396" s="3486"/>
      <c r="D396" s="3486"/>
      <c r="E396" s="3486"/>
      <c r="F396" s="3486"/>
      <c r="G396" s="3486"/>
      <c r="H396" s="3486"/>
      <c r="I396" s="3486"/>
      <c r="J396" s="3486"/>
      <c r="K396" s="3486"/>
      <c r="L396" s="3486"/>
      <c r="M396" s="3486"/>
      <c r="N396" s="3486"/>
      <c r="O396" s="3486"/>
      <c r="P396" s="3486"/>
      <c r="Q396" s="3486"/>
      <c r="R396" s="3486"/>
      <c r="S396" s="3486"/>
      <c r="T396" s="3486"/>
      <c r="U396" s="3486"/>
      <c r="V396" s="3486"/>
      <c r="W396" s="3486"/>
      <c r="X396" s="3486"/>
      <c r="Y396" s="3943"/>
    </row>
    <row r="397" spans="1:25" s="3492" customFormat="1">
      <c r="A397" s="3485"/>
      <c r="B397" s="3486"/>
      <c r="C397" s="3486"/>
      <c r="D397" s="3486"/>
      <c r="E397" s="3486"/>
      <c r="F397" s="3486"/>
      <c r="G397" s="3486"/>
      <c r="H397" s="3486"/>
      <c r="I397" s="3486"/>
      <c r="J397" s="3486"/>
      <c r="K397" s="3486"/>
      <c r="L397" s="3486"/>
      <c r="M397" s="3486"/>
      <c r="N397" s="3486"/>
      <c r="O397" s="3486"/>
      <c r="P397" s="3486"/>
      <c r="Q397" s="3486"/>
      <c r="R397" s="3486"/>
      <c r="S397" s="3486"/>
      <c r="T397" s="3486"/>
      <c r="U397" s="3486"/>
      <c r="V397" s="3486"/>
      <c r="W397" s="3486"/>
      <c r="X397" s="3486"/>
      <c r="Y397" s="3943"/>
    </row>
    <row r="398" spans="1:25" s="3492" customFormat="1">
      <c r="A398" s="3485"/>
      <c r="B398" s="3486"/>
      <c r="C398" s="3486"/>
      <c r="D398" s="3486"/>
      <c r="E398" s="3486"/>
      <c r="F398" s="3486"/>
      <c r="G398" s="3486"/>
      <c r="H398" s="3486"/>
      <c r="I398" s="3486"/>
      <c r="J398" s="3486"/>
      <c r="K398" s="3486"/>
      <c r="L398" s="3486"/>
      <c r="M398" s="3486"/>
      <c r="N398" s="3486"/>
      <c r="O398" s="3486"/>
      <c r="P398" s="3486"/>
      <c r="Q398" s="3486"/>
      <c r="R398" s="3486"/>
      <c r="S398" s="3486"/>
      <c r="T398" s="3486"/>
      <c r="U398" s="3486"/>
      <c r="V398" s="3486"/>
      <c r="W398" s="3486"/>
      <c r="X398" s="3486"/>
      <c r="Y398" s="3943"/>
    </row>
    <row r="399" spans="1:25" s="3492" customFormat="1">
      <c r="A399" s="3485"/>
      <c r="B399" s="3486"/>
      <c r="C399" s="3486"/>
      <c r="D399" s="3486"/>
      <c r="E399" s="3486"/>
      <c r="F399" s="3486"/>
      <c r="G399" s="3486"/>
      <c r="H399" s="3486"/>
      <c r="I399" s="3486"/>
      <c r="J399" s="3486"/>
      <c r="K399" s="3486"/>
      <c r="L399" s="3486"/>
      <c r="M399" s="3486"/>
      <c r="N399" s="3486"/>
      <c r="O399" s="3486"/>
      <c r="P399" s="3486"/>
      <c r="Q399" s="3486"/>
      <c r="R399" s="3486"/>
      <c r="S399" s="3486"/>
      <c r="T399" s="3486"/>
      <c r="U399" s="3486"/>
      <c r="V399" s="3486"/>
      <c r="W399" s="3486"/>
      <c r="X399" s="3486"/>
      <c r="Y399" s="3943"/>
    </row>
    <row r="400" spans="1:25" s="3492" customFormat="1">
      <c r="A400" s="3485"/>
      <c r="B400" s="3486"/>
      <c r="C400" s="3486"/>
      <c r="D400" s="3486"/>
      <c r="E400" s="3486"/>
      <c r="F400" s="3486"/>
      <c r="G400" s="3486"/>
      <c r="H400" s="3486"/>
      <c r="I400" s="3486"/>
      <c r="J400" s="3486"/>
      <c r="K400" s="3486"/>
      <c r="L400" s="3486"/>
      <c r="M400" s="3486"/>
      <c r="N400" s="3486"/>
      <c r="O400" s="3486"/>
      <c r="P400" s="3486"/>
      <c r="Q400" s="3486"/>
      <c r="R400" s="3486"/>
      <c r="S400" s="3486"/>
      <c r="T400" s="3486"/>
      <c r="U400" s="3486"/>
      <c r="V400" s="3486"/>
      <c r="W400" s="3486"/>
      <c r="X400" s="3486"/>
      <c r="Y400" s="3943"/>
    </row>
    <row r="401" spans="1:25" s="3492" customFormat="1">
      <c r="A401" s="3485"/>
      <c r="B401" s="3486"/>
      <c r="C401" s="3486"/>
      <c r="D401" s="3486"/>
      <c r="E401" s="3486"/>
      <c r="F401" s="3486"/>
      <c r="G401" s="3486"/>
      <c r="H401" s="3486"/>
      <c r="I401" s="3486"/>
      <c r="J401" s="3486"/>
      <c r="K401" s="3486"/>
      <c r="L401" s="3486"/>
      <c r="M401" s="3486"/>
      <c r="N401" s="3486"/>
      <c r="O401" s="3486"/>
      <c r="P401" s="3486"/>
      <c r="Q401" s="3486"/>
      <c r="R401" s="3486"/>
      <c r="S401" s="3486"/>
      <c r="T401" s="3486"/>
      <c r="U401" s="3486"/>
      <c r="V401" s="3486"/>
      <c r="W401" s="3486"/>
      <c r="X401" s="3486"/>
      <c r="Y401" s="3943"/>
    </row>
    <row r="402" spans="1:25" s="3492" customFormat="1">
      <c r="A402" s="3485"/>
      <c r="B402" s="3486"/>
      <c r="C402" s="3486"/>
      <c r="D402" s="3486"/>
      <c r="E402" s="3486"/>
      <c r="F402" s="3486"/>
      <c r="G402" s="3486"/>
      <c r="H402" s="3486"/>
      <c r="I402" s="3486"/>
      <c r="J402" s="3486"/>
      <c r="K402" s="3486"/>
      <c r="L402" s="3486"/>
      <c r="M402" s="3486"/>
      <c r="N402" s="3486"/>
      <c r="O402" s="3486"/>
      <c r="P402" s="3486"/>
      <c r="Q402" s="3486"/>
      <c r="R402" s="3486"/>
      <c r="S402" s="3486"/>
      <c r="T402" s="3486"/>
      <c r="U402" s="3486"/>
      <c r="V402" s="3486"/>
      <c r="W402" s="3486"/>
      <c r="X402" s="3486"/>
      <c r="Y402" s="3943"/>
    </row>
    <row r="403" spans="1:25" s="3492" customFormat="1">
      <c r="A403" s="3485"/>
      <c r="B403" s="3486"/>
      <c r="C403" s="3486"/>
      <c r="D403" s="3486"/>
      <c r="E403" s="3486"/>
      <c r="F403" s="3486"/>
      <c r="G403" s="3486"/>
      <c r="H403" s="3486"/>
      <c r="I403" s="3486"/>
      <c r="J403" s="3486"/>
      <c r="K403" s="3486"/>
      <c r="L403" s="3486"/>
      <c r="M403" s="3486"/>
      <c r="N403" s="3486"/>
      <c r="O403" s="3486"/>
      <c r="P403" s="3486"/>
      <c r="Q403" s="3486"/>
      <c r="R403" s="3486"/>
      <c r="S403" s="3486"/>
      <c r="T403" s="3486"/>
      <c r="U403" s="3486"/>
      <c r="V403" s="3486"/>
      <c r="W403" s="3486"/>
      <c r="X403" s="3486"/>
      <c r="Y403" s="3943"/>
    </row>
    <row r="404" spans="1:25" s="3492" customFormat="1">
      <c r="A404" s="3485"/>
      <c r="B404" s="3486"/>
      <c r="C404" s="3486"/>
      <c r="D404" s="3486"/>
      <c r="E404" s="3486"/>
      <c r="F404" s="3486"/>
      <c r="G404" s="3486"/>
      <c r="H404" s="3486"/>
      <c r="I404" s="3486"/>
      <c r="J404" s="3486"/>
      <c r="K404" s="3486"/>
      <c r="L404" s="3486"/>
      <c r="M404" s="3486"/>
      <c r="N404" s="3486"/>
      <c r="O404" s="3486"/>
      <c r="P404" s="3486"/>
      <c r="Q404" s="3486"/>
      <c r="R404" s="3486"/>
      <c r="S404" s="3486"/>
      <c r="T404" s="3486"/>
      <c r="U404" s="3486"/>
      <c r="V404" s="3486"/>
      <c r="W404" s="3486"/>
      <c r="X404" s="3486"/>
      <c r="Y404" s="3943"/>
    </row>
    <row r="405" spans="1:25" s="3492" customFormat="1">
      <c r="A405" s="3485"/>
      <c r="B405" s="3486"/>
      <c r="C405" s="3486"/>
      <c r="D405" s="3486"/>
      <c r="E405" s="3486"/>
      <c r="F405" s="3486"/>
      <c r="G405" s="3486"/>
      <c r="H405" s="3486"/>
      <c r="I405" s="3486"/>
      <c r="J405" s="3486"/>
      <c r="K405" s="3486"/>
      <c r="L405" s="3486"/>
      <c r="M405" s="3486"/>
      <c r="N405" s="3486"/>
      <c r="O405" s="3486"/>
      <c r="P405" s="3486"/>
      <c r="Q405" s="3486"/>
      <c r="R405" s="3486"/>
      <c r="S405" s="3486"/>
      <c r="T405" s="3486"/>
      <c r="U405" s="3486"/>
      <c r="V405" s="3486"/>
      <c r="W405" s="3486"/>
      <c r="X405" s="3486"/>
      <c r="Y405" s="3943"/>
    </row>
    <row r="406" spans="1:25" s="3492" customFormat="1">
      <c r="A406" s="3485"/>
      <c r="B406" s="3486"/>
      <c r="C406" s="3486"/>
      <c r="D406" s="3486"/>
      <c r="E406" s="3486"/>
      <c r="F406" s="3486"/>
      <c r="G406" s="3486"/>
      <c r="H406" s="3486"/>
      <c r="I406" s="3486"/>
      <c r="J406" s="3486"/>
      <c r="K406" s="3486"/>
      <c r="L406" s="3486"/>
      <c r="M406" s="3486"/>
      <c r="N406" s="3486"/>
      <c r="O406" s="3486"/>
      <c r="P406" s="3486"/>
      <c r="Q406" s="3486"/>
      <c r="R406" s="3486"/>
      <c r="S406" s="3486"/>
      <c r="T406" s="3486"/>
      <c r="U406" s="3486"/>
      <c r="V406" s="3486"/>
      <c r="W406" s="3486"/>
      <c r="X406" s="3486"/>
      <c r="Y406" s="3943"/>
    </row>
    <row r="407" spans="1:25" s="3492" customFormat="1">
      <c r="A407" s="3485"/>
      <c r="B407" s="3486"/>
      <c r="C407" s="3486"/>
      <c r="D407" s="3486"/>
      <c r="E407" s="3486"/>
      <c r="F407" s="3486"/>
      <c r="G407" s="3486"/>
      <c r="H407" s="3486"/>
      <c r="I407" s="3486"/>
      <c r="J407" s="3486"/>
      <c r="K407" s="3486"/>
      <c r="L407" s="3486"/>
      <c r="M407" s="3486"/>
      <c r="N407" s="3486"/>
      <c r="O407" s="3486"/>
      <c r="P407" s="3486"/>
      <c r="Q407" s="3486"/>
      <c r="R407" s="3486"/>
      <c r="S407" s="3486"/>
      <c r="T407" s="3486"/>
      <c r="U407" s="3486"/>
      <c r="V407" s="3486"/>
      <c r="W407" s="3486"/>
      <c r="X407" s="3486"/>
      <c r="Y407" s="3943"/>
    </row>
    <row r="408" spans="1:25" s="3492" customFormat="1">
      <c r="A408" s="3485"/>
      <c r="B408" s="3486"/>
      <c r="C408" s="3486"/>
      <c r="D408" s="3486"/>
      <c r="E408" s="3486"/>
      <c r="F408" s="3486"/>
      <c r="G408" s="3486"/>
      <c r="H408" s="3486"/>
      <c r="I408" s="3486"/>
      <c r="J408" s="3486"/>
      <c r="K408" s="3486"/>
      <c r="L408" s="3486"/>
      <c r="M408" s="3486"/>
      <c r="N408" s="3486"/>
      <c r="O408" s="3486"/>
      <c r="P408" s="3486"/>
      <c r="Q408" s="3486"/>
      <c r="R408" s="3486"/>
      <c r="S408" s="3486"/>
      <c r="T408" s="3486"/>
      <c r="U408" s="3486"/>
      <c r="V408" s="3486"/>
      <c r="W408" s="3486"/>
      <c r="X408" s="3486"/>
      <c r="Y408" s="3943"/>
    </row>
    <row r="409" spans="1:25" s="3492" customFormat="1">
      <c r="A409" s="3485"/>
      <c r="B409" s="3486"/>
      <c r="C409" s="3486"/>
      <c r="D409" s="3486"/>
      <c r="E409" s="3486"/>
      <c r="F409" s="3486"/>
      <c r="G409" s="3486"/>
      <c r="H409" s="3486"/>
      <c r="I409" s="3486"/>
      <c r="J409" s="3486"/>
      <c r="K409" s="3486"/>
      <c r="L409" s="3486"/>
      <c r="M409" s="3486"/>
      <c r="N409" s="3486"/>
      <c r="O409" s="3486"/>
      <c r="P409" s="3486"/>
      <c r="Q409" s="3486"/>
      <c r="R409" s="3486"/>
      <c r="S409" s="3486"/>
      <c r="T409" s="3486"/>
      <c r="U409" s="3486"/>
      <c r="V409" s="3486"/>
      <c r="W409" s="3486"/>
      <c r="X409" s="3486"/>
      <c r="Y409" s="3943"/>
    </row>
    <row r="410" spans="1:25" s="3492" customFormat="1">
      <c r="A410" s="3485"/>
      <c r="B410" s="3486"/>
      <c r="C410" s="3486"/>
      <c r="D410" s="3486"/>
      <c r="E410" s="3486"/>
      <c r="F410" s="3486"/>
      <c r="G410" s="3486"/>
      <c r="H410" s="3486"/>
      <c r="I410" s="3486"/>
      <c r="J410" s="3486"/>
      <c r="K410" s="3486"/>
      <c r="L410" s="3486"/>
      <c r="M410" s="3486"/>
      <c r="N410" s="3486"/>
      <c r="O410" s="3486"/>
      <c r="P410" s="3486"/>
      <c r="Q410" s="3486"/>
      <c r="R410" s="3486"/>
      <c r="S410" s="3486"/>
      <c r="T410" s="3486"/>
      <c r="U410" s="3486"/>
      <c r="V410" s="3486"/>
      <c r="W410" s="3486"/>
      <c r="X410" s="3486"/>
      <c r="Y410" s="3943"/>
    </row>
    <row r="411" spans="1:25" s="3492" customFormat="1">
      <c r="A411" s="3485"/>
      <c r="B411" s="3486"/>
      <c r="C411" s="3486"/>
      <c r="D411" s="3486"/>
      <c r="E411" s="3486"/>
      <c r="F411" s="3486"/>
      <c r="G411" s="3486"/>
      <c r="H411" s="3486"/>
      <c r="I411" s="3486"/>
      <c r="J411" s="3486"/>
      <c r="K411" s="3486"/>
      <c r="L411" s="3486"/>
      <c r="M411" s="3486"/>
      <c r="N411" s="3486"/>
      <c r="O411" s="3486"/>
      <c r="P411" s="3486"/>
      <c r="Q411" s="3486"/>
      <c r="R411" s="3486"/>
      <c r="S411" s="3486"/>
      <c r="T411" s="3486"/>
      <c r="U411" s="3486"/>
      <c r="V411" s="3486"/>
      <c r="W411" s="3486"/>
      <c r="X411" s="3486"/>
      <c r="Y411" s="3943"/>
    </row>
    <row r="412" spans="1:25" s="3492" customFormat="1">
      <c r="A412" s="3485"/>
      <c r="B412" s="3486"/>
      <c r="C412" s="3486"/>
      <c r="D412" s="3486"/>
      <c r="E412" s="3486"/>
      <c r="F412" s="3486"/>
      <c r="G412" s="3486"/>
      <c r="H412" s="3486"/>
      <c r="I412" s="3486"/>
      <c r="J412" s="3486"/>
      <c r="K412" s="3486"/>
      <c r="L412" s="3486"/>
      <c r="M412" s="3486"/>
      <c r="N412" s="3486"/>
      <c r="O412" s="3486"/>
      <c r="P412" s="3486"/>
      <c r="Q412" s="3486"/>
      <c r="R412" s="3486"/>
      <c r="S412" s="3486"/>
      <c r="T412" s="3486"/>
      <c r="U412" s="3486"/>
      <c r="V412" s="3486"/>
      <c r="W412" s="3486"/>
      <c r="X412" s="3486"/>
      <c r="Y412" s="3943"/>
    </row>
    <row r="413" spans="1:25" s="3492" customFormat="1">
      <c r="A413" s="3485"/>
      <c r="B413" s="3486"/>
      <c r="C413" s="3486"/>
      <c r="D413" s="3486"/>
      <c r="E413" s="3486"/>
      <c r="F413" s="3486"/>
      <c r="G413" s="3486"/>
      <c r="H413" s="3486"/>
      <c r="I413" s="3486"/>
      <c r="J413" s="3486"/>
      <c r="K413" s="3486"/>
      <c r="L413" s="3486"/>
      <c r="M413" s="3486"/>
      <c r="N413" s="3486"/>
      <c r="O413" s="3486"/>
      <c r="P413" s="3486"/>
      <c r="Q413" s="3486"/>
      <c r="R413" s="3486"/>
      <c r="S413" s="3486"/>
      <c r="T413" s="3486"/>
      <c r="U413" s="3486"/>
      <c r="V413" s="3486"/>
      <c r="W413" s="3486"/>
      <c r="X413" s="3486"/>
      <c r="Y413" s="3943"/>
    </row>
    <row r="414" spans="1:25" s="3492" customFormat="1">
      <c r="A414" s="3485"/>
      <c r="B414" s="3486"/>
      <c r="C414" s="3486"/>
      <c r="D414" s="3486"/>
      <c r="E414" s="3486"/>
      <c r="F414" s="3486"/>
      <c r="G414" s="3486"/>
      <c r="H414" s="3486"/>
      <c r="I414" s="3486"/>
      <c r="J414" s="3486"/>
      <c r="K414" s="3486"/>
      <c r="L414" s="3486"/>
      <c r="M414" s="3486"/>
      <c r="N414" s="3486"/>
      <c r="O414" s="3486"/>
      <c r="P414" s="3486"/>
      <c r="Q414" s="3486"/>
      <c r="R414" s="3486"/>
      <c r="S414" s="3486"/>
      <c r="T414" s="3486"/>
      <c r="U414" s="3486"/>
      <c r="V414" s="3486"/>
      <c r="W414" s="3486"/>
      <c r="X414" s="3486"/>
      <c r="Y414" s="3943"/>
    </row>
    <row r="415" spans="1:25" s="3492" customFormat="1">
      <c r="A415" s="3485"/>
      <c r="B415" s="3486"/>
      <c r="C415" s="3486"/>
      <c r="D415" s="3486"/>
      <c r="E415" s="3486"/>
      <c r="F415" s="3486"/>
      <c r="G415" s="3486"/>
      <c r="H415" s="3486"/>
      <c r="I415" s="3486"/>
      <c r="J415" s="3486"/>
      <c r="K415" s="3486"/>
      <c r="L415" s="3486"/>
      <c r="M415" s="3486"/>
      <c r="N415" s="3486"/>
      <c r="O415" s="3486"/>
      <c r="P415" s="3486"/>
      <c r="Q415" s="3486"/>
      <c r="R415" s="3486"/>
      <c r="S415" s="3486"/>
      <c r="T415" s="3486"/>
      <c r="U415" s="3486"/>
      <c r="V415" s="3486"/>
      <c r="W415" s="3486"/>
      <c r="X415" s="3486"/>
      <c r="Y415" s="3943"/>
    </row>
    <row r="416" spans="1:25" s="3492" customFormat="1">
      <c r="A416" s="3485"/>
      <c r="B416" s="3486"/>
      <c r="C416" s="3486"/>
      <c r="D416" s="3486"/>
      <c r="E416" s="3486"/>
      <c r="F416" s="3486"/>
      <c r="G416" s="3486"/>
      <c r="H416" s="3486"/>
      <c r="I416" s="3486"/>
      <c r="J416" s="3486"/>
      <c r="K416" s="3486"/>
      <c r="L416" s="3486"/>
      <c r="M416" s="3486"/>
      <c r="N416" s="3486"/>
      <c r="O416" s="3486"/>
      <c r="P416" s="3486"/>
      <c r="Q416" s="3486"/>
      <c r="R416" s="3486"/>
      <c r="S416" s="3486"/>
      <c r="T416" s="3486"/>
      <c r="U416" s="3486"/>
      <c r="V416" s="3486"/>
      <c r="W416" s="3486"/>
      <c r="X416" s="3486"/>
      <c r="Y416" s="3943"/>
    </row>
    <row r="417" spans="1:25" s="3492" customFormat="1">
      <c r="A417" s="3485"/>
      <c r="B417" s="3486"/>
      <c r="C417" s="3486"/>
      <c r="D417" s="3486"/>
      <c r="E417" s="3486"/>
      <c r="F417" s="3486"/>
      <c r="G417" s="3486"/>
      <c r="H417" s="3486"/>
      <c r="I417" s="3486"/>
      <c r="J417" s="3486"/>
      <c r="K417" s="3486"/>
      <c r="L417" s="3486"/>
      <c r="M417" s="3486"/>
      <c r="N417" s="3486"/>
      <c r="O417" s="3486"/>
      <c r="P417" s="3486"/>
      <c r="Q417" s="3486"/>
      <c r="R417" s="3486"/>
      <c r="S417" s="3486"/>
      <c r="T417" s="3486"/>
      <c r="U417" s="3486"/>
      <c r="V417" s="3486"/>
      <c r="W417" s="3486"/>
      <c r="X417" s="3486"/>
      <c r="Y417" s="3943"/>
    </row>
    <row r="418" spans="1:25" s="3492" customFormat="1">
      <c r="A418" s="3485"/>
      <c r="B418" s="3486"/>
      <c r="C418" s="3486"/>
      <c r="D418" s="3486"/>
      <c r="E418" s="3486"/>
      <c r="F418" s="3486"/>
      <c r="G418" s="3486"/>
      <c r="H418" s="3486"/>
      <c r="I418" s="3486"/>
      <c r="J418" s="3486"/>
      <c r="K418" s="3486"/>
      <c r="L418" s="3486"/>
      <c r="M418" s="3486"/>
      <c r="N418" s="3486"/>
      <c r="O418" s="3486"/>
      <c r="P418" s="3486"/>
      <c r="Q418" s="3486"/>
      <c r="R418" s="3486"/>
      <c r="S418" s="3486"/>
      <c r="T418" s="3486"/>
      <c r="U418" s="3486"/>
      <c r="V418" s="3486"/>
      <c r="W418" s="3486"/>
      <c r="X418" s="3486"/>
      <c r="Y418" s="3943"/>
    </row>
    <row r="419" spans="1:25" s="3492" customFormat="1">
      <c r="A419" s="3485"/>
      <c r="B419" s="3486"/>
      <c r="C419" s="3486"/>
      <c r="D419" s="3486"/>
      <c r="E419" s="3486"/>
      <c r="F419" s="3486"/>
      <c r="G419" s="3486"/>
      <c r="H419" s="3486"/>
      <c r="I419" s="3486"/>
      <c r="J419" s="3486"/>
      <c r="K419" s="3486"/>
      <c r="L419" s="3486"/>
      <c r="M419" s="3486"/>
      <c r="N419" s="3486"/>
      <c r="O419" s="3486"/>
      <c r="P419" s="3486"/>
      <c r="Q419" s="3486"/>
      <c r="R419" s="3486"/>
      <c r="S419" s="3486"/>
      <c r="T419" s="3486"/>
      <c r="U419" s="3486"/>
      <c r="V419" s="3486"/>
      <c r="W419" s="3486"/>
      <c r="X419" s="3486"/>
      <c r="Y419" s="3943"/>
    </row>
    <row r="420" spans="1:25" s="3492" customFormat="1">
      <c r="A420" s="3485"/>
      <c r="B420" s="3486"/>
      <c r="C420" s="3486"/>
      <c r="D420" s="3486"/>
      <c r="E420" s="3486"/>
      <c r="F420" s="3486"/>
      <c r="G420" s="3486"/>
      <c r="H420" s="3486"/>
      <c r="I420" s="3486"/>
      <c r="J420" s="3486"/>
      <c r="K420" s="3486"/>
      <c r="L420" s="3486"/>
      <c r="M420" s="3486"/>
      <c r="N420" s="3486"/>
      <c r="O420" s="3486"/>
      <c r="P420" s="3486"/>
      <c r="Q420" s="3486"/>
      <c r="R420" s="3486"/>
      <c r="S420" s="3486"/>
      <c r="T420" s="3486"/>
      <c r="U420" s="3486"/>
      <c r="V420" s="3486"/>
      <c r="W420" s="3486"/>
      <c r="X420" s="3486"/>
      <c r="Y420" s="3943"/>
    </row>
    <row r="421" spans="1:25" s="3492" customFormat="1">
      <c r="A421" s="3485"/>
      <c r="B421" s="3486"/>
      <c r="C421" s="3486"/>
      <c r="D421" s="3486"/>
      <c r="E421" s="3486"/>
      <c r="F421" s="3486"/>
      <c r="G421" s="3486"/>
      <c r="H421" s="3486"/>
      <c r="I421" s="3486"/>
      <c r="J421" s="3486"/>
      <c r="K421" s="3486"/>
      <c r="L421" s="3486"/>
      <c r="M421" s="3486"/>
      <c r="N421" s="3486"/>
      <c r="O421" s="3486"/>
      <c r="P421" s="3486"/>
      <c r="Q421" s="3486"/>
      <c r="R421" s="3486"/>
      <c r="S421" s="3486"/>
      <c r="T421" s="3486"/>
      <c r="U421" s="3486"/>
      <c r="V421" s="3486"/>
      <c r="W421" s="3486"/>
      <c r="X421" s="3486"/>
      <c r="Y421" s="3943"/>
    </row>
    <row r="422" spans="1:25" s="3492" customFormat="1">
      <c r="A422" s="3485"/>
      <c r="B422" s="3486"/>
      <c r="C422" s="3486"/>
      <c r="D422" s="3486"/>
      <c r="E422" s="3486"/>
      <c r="F422" s="3486"/>
      <c r="G422" s="3486"/>
      <c r="H422" s="3486"/>
      <c r="I422" s="3486"/>
      <c r="J422" s="3486"/>
      <c r="K422" s="3486"/>
      <c r="L422" s="3486"/>
      <c r="M422" s="3486"/>
      <c r="N422" s="3486"/>
      <c r="O422" s="3486"/>
      <c r="P422" s="3486"/>
      <c r="Q422" s="3486"/>
      <c r="R422" s="3486"/>
      <c r="S422" s="3486"/>
      <c r="T422" s="3486"/>
      <c r="U422" s="3486"/>
      <c r="V422" s="3486"/>
      <c r="W422" s="3486"/>
      <c r="X422" s="3486"/>
      <c r="Y422" s="3943"/>
    </row>
    <row r="423" spans="1:25" s="3492" customFormat="1">
      <c r="A423" s="3485"/>
      <c r="B423" s="3486"/>
      <c r="C423" s="3486"/>
      <c r="D423" s="3486"/>
      <c r="E423" s="3486"/>
      <c r="F423" s="3486"/>
      <c r="G423" s="3486"/>
      <c r="H423" s="3486"/>
      <c r="I423" s="3486"/>
      <c r="J423" s="3486"/>
      <c r="K423" s="3486"/>
      <c r="L423" s="3486"/>
      <c r="M423" s="3486"/>
      <c r="N423" s="3486"/>
      <c r="O423" s="3486"/>
      <c r="P423" s="3486"/>
      <c r="Q423" s="3486"/>
      <c r="R423" s="3486"/>
      <c r="S423" s="3486"/>
      <c r="T423" s="3486"/>
      <c r="U423" s="3486"/>
      <c r="V423" s="3486"/>
      <c r="W423" s="3486"/>
      <c r="X423" s="3486"/>
      <c r="Y423" s="3943"/>
    </row>
    <row r="424" spans="1:25" s="3492" customFormat="1">
      <c r="A424" s="3485"/>
      <c r="B424" s="3486"/>
      <c r="C424" s="3486"/>
      <c r="D424" s="3486"/>
      <c r="E424" s="3486"/>
      <c r="F424" s="3486"/>
      <c r="G424" s="3486"/>
      <c r="H424" s="3486"/>
      <c r="I424" s="3486"/>
      <c r="J424" s="3486"/>
      <c r="K424" s="3486"/>
      <c r="L424" s="3486"/>
      <c r="M424" s="3486"/>
      <c r="N424" s="3486"/>
      <c r="O424" s="3486"/>
      <c r="P424" s="3486"/>
      <c r="Q424" s="3486"/>
      <c r="R424" s="3486"/>
      <c r="S424" s="3486"/>
      <c r="T424" s="3486"/>
      <c r="U424" s="3486"/>
      <c r="V424" s="3486"/>
      <c r="W424" s="3486"/>
      <c r="X424" s="3486"/>
      <c r="Y424" s="3943"/>
    </row>
    <row r="425" spans="1:25" s="3492" customFormat="1">
      <c r="A425" s="3485"/>
      <c r="B425" s="3486"/>
      <c r="C425" s="3486"/>
      <c r="D425" s="3486"/>
      <c r="E425" s="3486"/>
      <c r="F425" s="3486"/>
      <c r="G425" s="3486"/>
      <c r="H425" s="3486"/>
      <c r="I425" s="3486"/>
      <c r="J425" s="3486"/>
      <c r="K425" s="3486"/>
      <c r="L425" s="3486"/>
      <c r="M425" s="3486"/>
      <c r="N425" s="3486"/>
      <c r="O425" s="3486"/>
      <c r="P425" s="3486"/>
      <c r="Q425" s="3486"/>
      <c r="R425" s="3486"/>
      <c r="S425" s="3486"/>
      <c r="T425" s="3486"/>
      <c r="U425" s="3486"/>
      <c r="V425" s="3486"/>
      <c r="W425" s="3486"/>
      <c r="X425" s="3486"/>
      <c r="Y425" s="3943"/>
    </row>
    <row r="426" spans="1:25" s="3492" customFormat="1">
      <c r="A426" s="3485"/>
      <c r="B426" s="3486"/>
      <c r="C426" s="3486"/>
      <c r="D426" s="3486"/>
      <c r="E426" s="3486"/>
      <c r="F426" s="3486"/>
      <c r="G426" s="3486"/>
      <c r="H426" s="3486"/>
      <c r="I426" s="3486"/>
      <c r="J426" s="3486"/>
      <c r="K426" s="3486"/>
      <c r="L426" s="3486"/>
      <c r="M426" s="3486"/>
      <c r="N426" s="3486"/>
      <c r="O426" s="3486"/>
      <c r="P426" s="3486"/>
      <c r="Q426" s="3486"/>
      <c r="R426" s="3486"/>
      <c r="S426" s="3486"/>
      <c r="T426" s="3486"/>
      <c r="U426" s="3486"/>
      <c r="V426" s="3486"/>
      <c r="W426" s="3486"/>
      <c r="X426" s="3486"/>
      <c r="Y426" s="3943"/>
    </row>
    <row r="427" spans="1:25" s="3492" customFormat="1">
      <c r="A427" s="3485"/>
      <c r="B427" s="3486"/>
      <c r="C427" s="3486"/>
      <c r="D427" s="3486"/>
      <c r="E427" s="3486"/>
      <c r="F427" s="3486"/>
      <c r="G427" s="3486"/>
      <c r="H427" s="3486"/>
      <c r="I427" s="3486"/>
      <c r="J427" s="3486"/>
      <c r="K427" s="3486"/>
      <c r="L427" s="3486"/>
      <c r="M427" s="3486"/>
      <c r="N427" s="3486"/>
      <c r="O427" s="3486"/>
      <c r="P427" s="3486"/>
      <c r="Q427" s="3486"/>
      <c r="R427" s="3486"/>
      <c r="S427" s="3486"/>
      <c r="T427" s="3486"/>
      <c r="U427" s="3486"/>
      <c r="V427" s="3486"/>
      <c r="W427" s="3486"/>
      <c r="X427" s="3486"/>
      <c r="Y427" s="3943"/>
    </row>
    <row r="428" spans="1:25" s="3492" customFormat="1">
      <c r="A428" s="3485"/>
      <c r="B428" s="3486"/>
      <c r="C428" s="3486"/>
      <c r="D428" s="3486"/>
      <c r="E428" s="3486"/>
      <c r="F428" s="3486"/>
      <c r="G428" s="3486"/>
      <c r="H428" s="3486"/>
      <c r="I428" s="3486"/>
      <c r="J428" s="3486"/>
      <c r="K428" s="3486"/>
      <c r="L428" s="3486"/>
      <c r="M428" s="3486"/>
      <c r="N428" s="3486"/>
      <c r="O428" s="3486"/>
      <c r="P428" s="3486"/>
      <c r="Q428" s="3486"/>
      <c r="R428" s="3486"/>
      <c r="S428" s="3486"/>
      <c r="T428" s="3486"/>
      <c r="U428" s="3486"/>
      <c r="V428" s="3486"/>
      <c r="W428" s="3486"/>
      <c r="X428" s="3486"/>
      <c r="Y428" s="3943"/>
    </row>
    <row r="429" spans="1:25" s="3492" customFormat="1">
      <c r="A429" s="3485"/>
      <c r="B429" s="3486"/>
      <c r="C429" s="3486"/>
      <c r="D429" s="3486"/>
      <c r="E429" s="3486"/>
      <c r="F429" s="3486"/>
      <c r="G429" s="3486"/>
      <c r="H429" s="3486"/>
      <c r="I429" s="3486"/>
      <c r="J429" s="3486"/>
      <c r="K429" s="3486"/>
      <c r="L429" s="3486"/>
      <c r="M429" s="3486"/>
      <c r="N429" s="3486"/>
      <c r="O429" s="3486"/>
      <c r="P429" s="3486"/>
      <c r="Q429" s="3486"/>
      <c r="R429" s="3486"/>
      <c r="S429" s="3486"/>
      <c r="T429" s="3486"/>
      <c r="U429" s="3486"/>
      <c r="V429" s="3486"/>
      <c r="W429" s="3486"/>
      <c r="X429" s="3486"/>
      <c r="Y429" s="3943"/>
    </row>
    <row r="430" spans="1:25" s="3492" customFormat="1">
      <c r="A430" s="3485"/>
      <c r="B430" s="3486"/>
      <c r="C430" s="3486"/>
      <c r="D430" s="3486"/>
      <c r="E430" s="3486"/>
      <c r="F430" s="3486"/>
      <c r="G430" s="3486"/>
      <c r="H430" s="3486"/>
      <c r="I430" s="3486"/>
      <c r="J430" s="3486"/>
      <c r="K430" s="3486"/>
      <c r="L430" s="3486"/>
      <c r="M430" s="3486"/>
      <c r="N430" s="3486"/>
      <c r="O430" s="3486"/>
      <c r="P430" s="3486"/>
      <c r="Q430" s="3486"/>
      <c r="R430" s="3486"/>
      <c r="S430" s="3486"/>
      <c r="T430" s="3486"/>
      <c r="U430" s="3486"/>
      <c r="V430" s="3486"/>
      <c r="W430" s="3486"/>
      <c r="X430" s="3486"/>
      <c r="Y430" s="3943"/>
    </row>
    <row r="431" spans="1:25" s="3492" customFormat="1">
      <c r="A431" s="3485"/>
      <c r="B431" s="3486"/>
      <c r="C431" s="3486"/>
      <c r="D431" s="3486"/>
      <c r="E431" s="3486"/>
      <c r="F431" s="3486"/>
      <c r="G431" s="3486"/>
      <c r="H431" s="3486"/>
      <c r="I431" s="3486"/>
      <c r="J431" s="3486"/>
      <c r="K431" s="3486"/>
      <c r="L431" s="3486"/>
      <c r="M431" s="3486"/>
      <c r="N431" s="3486"/>
      <c r="O431" s="3486"/>
      <c r="P431" s="3486"/>
      <c r="Q431" s="3486"/>
      <c r="R431" s="3486"/>
      <c r="S431" s="3486"/>
      <c r="T431" s="3486"/>
      <c r="U431" s="3486"/>
      <c r="V431" s="3486"/>
      <c r="W431" s="3486"/>
      <c r="X431" s="3486"/>
      <c r="Y431" s="3943"/>
    </row>
    <row r="432" spans="1:25" s="3492" customFormat="1">
      <c r="A432" s="3485"/>
      <c r="B432" s="3486"/>
      <c r="C432" s="3486"/>
      <c r="D432" s="3486"/>
      <c r="E432" s="3486"/>
      <c r="F432" s="3486"/>
      <c r="G432" s="3486"/>
      <c r="H432" s="3486"/>
      <c r="I432" s="3486"/>
      <c r="J432" s="3486"/>
      <c r="K432" s="3486"/>
      <c r="L432" s="3486"/>
      <c r="M432" s="3486"/>
      <c r="N432" s="3486"/>
      <c r="O432" s="3486"/>
      <c r="P432" s="3486"/>
      <c r="Q432" s="3486"/>
      <c r="R432" s="3486"/>
      <c r="S432" s="3486"/>
      <c r="T432" s="3486"/>
      <c r="U432" s="3486"/>
      <c r="V432" s="3486"/>
      <c r="W432" s="3486"/>
      <c r="X432" s="3486"/>
      <c r="Y432" s="3943"/>
    </row>
    <row r="433" spans="1:25" s="3492" customFormat="1">
      <c r="A433" s="3485"/>
      <c r="B433" s="3486"/>
      <c r="C433" s="3486"/>
      <c r="D433" s="3486"/>
      <c r="E433" s="3486"/>
      <c r="F433" s="3486"/>
      <c r="G433" s="3486"/>
      <c r="H433" s="3486"/>
      <c r="I433" s="3486"/>
      <c r="J433" s="3486"/>
      <c r="K433" s="3486"/>
      <c r="L433" s="3486"/>
      <c r="M433" s="3486"/>
      <c r="N433" s="3486"/>
      <c r="O433" s="3486"/>
      <c r="P433" s="3486"/>
      <c r="Q433" s="3486"/>
      <c r="R433" s="3486"/>
      <c r="S433" s="3486"/>
      <c r="T433" s="3486"/>
      <c r="U433" s="3486"/>
      <c r="V433" s="3486"/>
      <c r="W433" s="3486"/>
      <c r="X433" s="3486"/>
      <c r="Y433" s="3943"/>
    </row>
    <row r="434" spans="1:25" s="3492" customFormat="1">
      <c r="A434" s="3485"/>
      <c r="B434" s="3486"/>
      <c r="C434" s="3486"/>
      <c r="D434" s="3486"/>
      <c r="E434" s="3486"/>
      <c r="F434" s="3486"/>
      <c r="G434" s="3486"/>
      <c r="H434" s="3486"/>
      <c r="I434" s="3486"/>
      <c r="J434" s="3486"/>
      <c r="K434" s="3486"/>
      <c r="L434" s="3486"/>
      <c r="M434" s="3486"/>
      <c r="N434" s="3486"/>
      <c r="O434" s="3486"/>
      <c r="P434" s="3486"/>
      <c r="Q434" s="3486"/>
      <c r="R434" s="3486"/>
      <c r="S434" s="3486"/>
      <c r="T434" s="3486"/>
      <c r="U434" s="3486"/>
      <c r="V434" s="3486"/>
      <c r="W434" s="3486"/>
      <c r="X434" s="3486"/>
      <c r="Y434" s="3943"/>
    </row>
    <row r="435" spans="1:25" s="3492" customFormat="1">
      <c r="A435" s="3485"/>
      <c r="B435" s="3486"/>
      <c r="C435" s="3486"/>
      <c r="D435" s="3486"/>
      <c r="E435" s="3486"/>
      <c r="F435" s="3486"/>
      <c r="G435" s="3486"/>
      <c r="H435" s="3486"/>
      <c r="I435" s="3486"/>
      <c r="J435" s="3486"/>
      <c r="K435" s="3486"/>
      <c r="L435" s="3486"/>
      <c r="M435" s="3486"/>
      <c r="N435" s="3486"/>
      <c r="O435" s="3486"/>
      <c r="P435" s="3486"/>
      <c r="Q435" s="3486"/>
      <c r="R435" s="3486"/>
      <c r="S435" s="3486"/>
      <c r="T435" s="3486"/>
      <c r="U435" s="3486"/>
      <c r="V435" s="3486"/>
      <c r="W435" s="3486"/>
      <c r="X435" s="3486"/>
      <c r="Y435" s="3943"/>
    </row>
    <row r="436" spans="1:25" s="3492" customFormat="1">
      <c r="A436" s="3485"/>
      <c r="B436" s="3486"/>
      <c r="C436" s="3486"/>
      <c r="D436" s="3486"/>
      <c r="E436" s="3486"/>
      <c r="F436" s="3486"/>
      <c r="G436" s="3486"/>
      <c r="H436" s="3486"/>
      <c r="I436" s="3486"/>
      <c r="J436" s="3486"/>
      <c r="K436" s="3486"/>
      <c r="L436" s="3486"/>
      <c r="M436" s="3486"/>
      <c r="N436" s="3486"/>
      <c r="O436" s="3486"/>
      <c r="P436" s="3486"/>
      <c r="Q436" s="3486"/>
      <c r="R436" s="3486"/>
      <c r="S436" s="3486"/>
      <c r="T436" s="3486"/>
      <c r="U436" s="3486"/>
      <c r="V436" s="3486"/>
      <c r="W436" s="3486"/>
      <c r="X436" s="3486"/>
      <c r="Y436" s="3943"/>
    </row>
    <row r="437" spans="1:25" s="3492" customFormat="1">
      <c r="A437" s="3485"/>
      <c r="B437" s="3486"/>
      <c r="C437" s="3486"/>
      <c r="D437" s="3486"/>
      <c r="E437" s="3486"/>
      <c r="F437" s="3486"/>
      <c r="G437" s="3486"/>
      <c r="H437" s="3486"/>
      <c r="I437" s="3486"/>
      <c r="J437" s="3486"/>
      <c r="K437" s="3486"/>
      <c r="L437" s="3486"/>
      <c r="M437" s="3486"/>
      <c r="N437" s="3486"/>
      <c r="O437" s="3486"/>
      <c r="P437" s="3486"/>
      <c r="Q437" s="3486"/>
      <c r="R437" s="3486"/>
      <c r="S437" s="3486"/>
      <c r="T437" s="3486"/>
      <c r="U437" s="3486"/>
      <c r="V437" s="3486"/>
      <c r="W437" s="3486"/>
      <c r="X437" s="3486"/>
      <c r="Y437" s="3943"/>
    </row>
    <row r="438" spans="1:25" s="3492" customFormat="1">
      <c r="A438" s="3485"/>
      <c r="B438" s="3486"/>
      <c r="C438" s="3486"/>
      <c r="D438" s="3486"/>
      <c r="E438" s="3486"/>
      <c r="F438" s="3486"/>
      <c r="G438" s="3486"/>
      <c r="H438" s="3486"/>
      <c r="I438" s="3486"/>
      <c r="J438" s="3486"/>
      <c r="K438" s="3486"/>
      <c r="L438" s="3486"/>
      <c r="M438" s="3486"/>
      <c r="N438" s="3486"/>
      <c r="O438" s="3486"/>
      <c r="P438" s="3486"/>
      <c r="Q438" s="3486"/>
      <c r="R438" s="3486"/>
      <c r="S438" s="3486"/>
      <c r="T438" s="3486"/>
      <c r="U438" s="3486"/>
      <c r="V438" s="3486"/>
      <c r="W438" s="3486"/>
      <c r="X438" s="3486"/>
      <c r="Y438" s="3943"/>
    </row>
    <row r="439" spans="1:25" s="3492" customFormat="1">
      <c r="A439" s="3485"/>
      <c r="B439" s="3486"/>
      <c r="C439" s="3486"/>
      <c r="D439" s="3486"/>
      <c r="E439" s="3486"/>
      <c r="F439" s="3486"/>
      <c r="G439" s="3486"/>
      <c r="H439" s="3486"/>
      <c r="I439" s="3486"/>
      <c r="J439" s="3486"/>
      <c r="K439" s="3486"/>
      <c r="L439" s="3486"/>
      <c r="M439" s="3486"/>
      <c r="N439" s="3486"/>
      <c r="O439" s="3486"/>
      <c r="P439" s="3486"/>
      <c r="Q439" s="3486"/>
      <c r="R439" s="3486"/>
      <c r="S439" s="3486"/>
      <c r="T439" s="3486"/>
      <c r="U439" s="3486"/>
      <c r="V439" s="3486"/>
      <c r="W439" s="3486"/>
      <c r="X439" s="3486"/>
      <c r="Y439" s="3943"/>
    </row>
    <row r="440" spans="1:25" s="3492" customFormat="1">
      <c r="A440" s="3485"/>
      <c r="B440" s="3486"/>
      <c r="C440" s="3486"/>
      <c r="D440" s="3486"/>
      <c r="E440" s="3486"/>
      <c r="F440" s="3486"/>
      <c r="G440" s="3486"/>
      <c r="H440" s="3486"/>
      <c r="I440" s="3486"/>
      <c r="J440" s="3486"/>
      <c r="K440" s="3486"/>
      <c r="L440" s="3486"/>
      <c r="M440" s="3486"/>
      <c r="N440" s="3486"/>
      <c r="O440" s="3486"/>
      <c r="P440" s="3486"/>
      <c r="Q440" s="3486"/>
      <c r="R440" s="3486"/>
      <c r="S440" s="3486"/>
      <c r="T440" s="3486"/>
      <c r="U440" s="3486"/>
      <c r="V440" s="3486"/>
      <c r="W440" s="3486"/>
      <c r="X440" s="3486"/>
      <c r="Y440" s="3943"/>
    </row>
    <row r="441" spans="1:25" s="3492" customFormat="1">
      <c r="A441" s="3485"/>
      <c r="B441" s="3486"/>
      <c r="C441" s="3486"/>
      <c r="D441" s="3486"/>
      <c r="E441" s="3486"/>
      <c r="F441" s="3486"/>
      <c r="G441" s="3486"/>
      <c r="H441" s="3486"/>
      <c r="I441" s="3486"/>
      <c r="J441" s="3486"/>
      <c r="K441" s="3486"/>
      <c r="L441" s="3486"/>
      <c r="M441" s="3486"/>
      <c r="N441" s="3486"/>
      <c r="O441" s="3486"/>
      <c r="P441" s="3486"/>
      <c r="Q441" s="3486"/>
      <c r="R441" s="3486"/>
      <c r="S441" s="3486"/>
      <c r="T441" s="3486"/>
      <c r="U441" s="3486"/>
      <c r="V441" s="3486"/>
      <c r="W441" s="3486"/>
      <c r="X441" s="3486"/>
      <c r="Y441" s="3943"/>
    </row>
    <row r="442" spans="1:25" s="3492" customFormat="1">
      <c r="A442" s="3485"/>
      <c r="B442" s="3486"/>
      <c r="C442" s="3486"/>
      <c r="D442" s="3486"/>
      <c r="E442" s="3486"/>
      <c r="F442" s="3486"/>
      <c r="G442" s="3486"/>
      <c r="H442" s="3486"/>
      <c r="I442" s="3486"/>
      <c r="J442" s="3486"/>
      <c r="K442" s="3486"/>
      <c r="L442" s="3486"/>
      <c r="M442" s="3486"/>
      <c r="N442" s="3486"/>
      <c r="O442" s="3486"/>
      <c r="P442" s="3486"/>
      <c r="Q442" s="3486"/>
      <c r="R442" s="3486"/>
      <c r="S442" s="3486"/>
      <c r="T442" s="3486"/>
      <c r="U442" s="3486"/>
      <c r="V442" s="3486"/>
      <c r="W442" s="3486"/>
      <c r="X442" s="3486"/>
      <c r="Y442" s="3943"/>
    </row>
    <row r="443" spans="1:25" s="3492" customFormat="1">
      <c r="A443" s="3485"/>
      <c r="B443" s="3486"/>
      <c r="C443" s="3486"/>
      <c r="D443" s="3486"/>
      <c r="E443" s="3486"/>
      <c r="F443" s="3486"/>
      <c r="G443" s="3486"/>
      <c r="H443" s="3486"/>
      <c r="I443" s="3486"/>
      <c r="J443" s="3486"/>
      <c r="K443" s="3486"/>
      <c r="L443" s="3486"/>
      <c r="M443" s="3486"/>
      <c r="N443" s="3486"/>
      <c r="O443" s="3486"/>
      <c r="P443" s="3486"/>
      <c r="Q443" s="3486"/>
      <c r="R443" s="3486"/>
      <c r="S443" s="3486"/>
      <c r="T443" s="3486"/>
      <c r="U443" s="3486"/>
      <c r="V443" s="3486"/>
      <c r="W443" s="3486"/>
      <c r="X443" s="3486"/>
      <c r="Y443" s="3943"/>
    </row>
    <row r="444" spans="1:25" s="3492" customFormat="1">
      <c r="A444" s="3485"/>
      <c r="B444" s="3486"/>
      <c r="C444" s="3486"/>
      <c r="D444" s="3486"/>
      <c r="E444" s="3486"/>
      <c r="F444" s="3486"/>
      <c r="G444" s="3486"/>
      <c r="H444" s="3486"/>
      <c r="I444" s="3486"/>
      <c r="J444" s="3486"/>
      <c r="K444" s="3486"/>
      <c r="L444" s="3486"/>
      <c r="M444" s="3486"/>
      <c r="N444" s="3486"/>
      <c r="O444" s="3486"/>
      <c r="P444" s="3486"/>
      <c r="Q444" s="3486"/>
      <c r="R444" s="3486"/>
      <c r="S444" s="3486"/>
      <c r="T444" s="3486"/>
      <c r="U444" s="3486"/>
      <c r="V444" s="3486"/>
      <c r="W444" s="3486"/>
      <c r="X444" s="3486"/>
      <c r="Y444" s="3943"/>
    </row>
    <row r="445" spans="1:25" s="3492" customFormat="1">
      <c r="A445" s="3485"/>
      <c r="B445" s="3486"/>
      <c r="C445" s="3486"/>
      <c r="D445" s="3486"/>
      <c r="E445" s="3486"/>
      <c r="F445" s="3486"/>
      <c r="G445" s="3486"/>
      <c r="H445" s="3486"/>
      <c r="I445" s="3486"/>
      <c r="J445" s="3486"/>
      <c r="K445" s="3486"/>
      <c r="L445" s="3486"/>
      <c r="M445" s="3486"/>
      <c r="N445" s="3486"/>
      <c r="O445" s="3486"/>
      <c r="P445" s="3486"/>
      <c r="Q445" s="3486"/>
      <c r="R445" s="3486"/>
      <c r="S445" s="3486"/>
      <c r="T445" s="3486"/>
      <c r="U445" s="3486"/>
      <c r="V445" s="3486"/>
      <c r="W445" s="3486"/>
      <c r="X445" s="3486"/>
      <c r="Y445" s="3943"/>
    </row>
    <row r="446" spans="1:25" s="3492" customFormat="1">
      <c r="A446" s="3485"/>
      <c r="B446" s="3486"/>
      <c r="C446" s="3486"/>
      <c r="D446" s="3486"/>
      <c r="E446" s="3486"/>
      <c r="F446" s="3486"/>
      <c r="G446" s="3486"/>
      <c r="H446" s="3486"/>
      <c r="I446" s="3486"/>
      <c r="J446" s="3486"/>
      <c r="K446" s="3486"/>
      <c r="L446" s="3486"/>
      <c r="M446" s="3486"/>
      <c r="N446" s="3486"/>
      <c r="O446" s="3486"/>
      <c r="P446" s="3486"/>
      <c r="Q446" s="3486"/>
      <c r="R446" s="3486"/>
      <c r="S446" s="3486"/>
      <c r="T446" s="3486"/>
      <c r="U446" s="3486"/>
      <c r="V446" s="3486"/>
      <c r="W446" s="3486"/>
      <c r="X446" s="3486"/>
      <c r="Y446" s="3943"/>
    </row>
    <row r="447" spans="1:25" s="3492" customFormat="1">
      <c r="A447" s="3485"/>
      <c r="B447" s="3486"/>
      <c r="C447" s="3486"/>
      <c r="D447" s="3486"/>
      <c r="E447" s="3486"/>
      <c r="F447" s="3486"/>
      <c r="G447" s="3486"/>
      <c r="H447" s="3486"/>
      <c r="I447" s="3486"/>
      <c r="J447" s="3486"/>
      <c r="K447" s="3486"/>
      <c r="L447" s="3486"/>
      <c r="M447" s="3486"/>
      <c r="N447" s="3486"/>
      <c r="O447" s="3486"/>
      <c r="P447" s="3486"/>
      <c r="Q447" s="3486"/>
      <c r="R447" s="3486"/>
      <c r="S447" s="3486"/>
      <c r="T447" s="3486"/>
      <c r="U447" s="3486"/>
      <c r="V447" s="3486"/>
      <c r="W447" s="3486"/>
      <c r="X447" s="3486"/>
      <c r="Y447" s="3943"/>
    </row>
    <row r="448" spans="1:25" s="3492" customFormat="1">
      <c r="A448" s="3485"/>
      <c r="B448" s="3486"/>
      <c r="C448" s="3486"/>
      <c r="D448" s="3486"/>
      <c r="E448" s="3486"/>
      <c r="F448" s="3486"/>
      <c r="G448" s="3486"/>
      <c r="H448" s="3486"/>
      <c r="I448" s="3486"/>
      <c r="J448" s="3486"/>
      <c r="K448" s="3486"/>
      <c r="L448" s="3486"/>
      <c r="M448" s="3486"/>
      <c r="N448" s="3486"/>
      <c r="O448" s="3486"/>
      <c r="P448" s="3486"/>
      <c r="Q448" s="3486"/>
      <c r="R448" s="3486"/>
      <c r="S448" s="3486"/>
      <c r="T448" s="3486"/>
      <c r="U448" s="3486"/>
      <c r="V448" s="3486"/>
      <c r="W448" s="3486"/>
      <c r="X448" s="3486"/>
      <c r="Y448" s="3943"/>
    </row>
    <row r="449" spans="1:25" s="3492" customFormat="1">
      <c r="A449" s="3485"/>
      <c r="B449" s="3486"/>
      <c r="C449" s="3486"/>
      <c r="D449" s="3486"/>
      <c r="E449" s="3486"/>
      <c r="F449" s="3486"/>
      <c r="G449" s="3486"/>
      <c r="H449" s="3486"/>
      <c r="I449" s="3486"/>
      <c r="J449" s="3486"/>
      <c r="K449" s="3486"/>
      <c r="L449" s="3486"/>
      <c r="M449" s="3486"/>
      <c r="N449" s="3486"/>
      <c r="O449" s="3486"/>
      <c r="P449" s="3486"/>
      <c r="Q449" s="3486"/>
      <c r="R449" s="3486"/>
      <c r="S449" s="3486"/>
      <c r="T449" s="3486"/>
      <c r="U449" s="3486"/>
      <c r="V449" s="3486"/>
      <c r="W449" s="3486"/>
      <c r="X449" s="3486"/>
      <c r="Y449" s="3943"/>
    </row>
    <row r="450" spans="1:25" s="3492" customFormat="1">
      <c r="A450" s="3485"/>
      <c r="B450" s="3486"/>
      <c r="C450" s="3486"/>
      <c r="D450" s="3486"/>
      <c r="E450" s="3486"/>
      <c r="F450" s="3486"/>
      <c r="G450" s="3486"/>
      <c r="H450" s="3486"/>
      <c r="I450" s="3486"/>
      <c r="J450" s="3486"/>
      <c r="K450" s="3486"/>
      <c r="L450" s="3486"/>
      <c r="M450" s="3486"/>
      <c r="N450" s="3486"/>
      <c r="O450" s="3486"/>
      <c r="P450" s="3486"/>
      <c r="Q450" s="3486"/>
      <c r="R450" s="3486"/>
      <c r="S450" s="3486"/>
      <c r="T450" s="3486"/>
      <c r="U450" s="3486"/>
      <c r="V450" s="3486"/>
      <c r="W450" s="3486"/>
      <c r="X450" s="3486"/>
      <c r="Y450" s="3943"/>
    </row>
    <row r="451" spans="1:25" s="3492" customFormat="1">
      <c r="A451" s="3485"/>
      <c r="B451" s="3486"/>
      <c r="C451" s="3486"/>
      <c r="D451" s="3486"/>
      <c r="E451" s="3486"/>
      <c r="F451" s="3486"/>
      <c r="G451" s="3486"/>
      <c r="H451" s="3486"/>
      <c r="I451" s="3486"/>
      <c r="J451" s="3486"/>
      <c r="K451" s="3486"/>
      <c r="L451" s="3486"/>
      <c r="M451" s="3486"/>
      <c r="N451" s="3486"/>
      <c r="O451" s="3486"/>
      <c r="P451" s="3486"/>
      <c r="Q451" s="3486"/>
      <c r="R451" s="3486"/>
      <c r="S451" s="3486"/>
      <c r="T451" s="3486"/>
      <c r="U451" s="3486"/>
      <c r="V451" s="3486"/>
      <c r="W451" s="3486"/>
      <c r="X451" s="3486"/>
      <c r="Y451" s="3943"/>
    </row>
    <row r="452" spans="1:25" s="3492" customFormat="1">
      <c r="A452" s="3485"/>
      <c r="B452" s="3486"/>
      <c r="C452" s="3486"/>
      <c r="D452" s="3486"/>
      <c r="E452" s="3486"/>
      <c r="F452" s="3486"/>
      <c r="G452" s="3486"/>
      <c r="H452" s="3486"/>
      <c r="I452" s="3486"/>
      <c r="J452" s="3486"/>
      <c r="K452" s="3486"/>
      <c r="L452" s="3486"/>
      <c r="M452" s="3486"/>
      <c r="N452" s="3486"/>
      <c r="O452" s="3486"/>
      <c r="P452" s="3486"/>
      <c r="Q452" s="3486"/>
      <c r="R452" s="3486"/>
      <c r="S452" s="3486"/>
      <c r="T452" s="3486"/>
      <c r="U452" s="3486"/>
      <c r="V452" s="3486"/>
      <c r="W452" s="3486"/>
      <c r="X452" s="3486"/>
      <c r="Y452" s="3943"/>
    </row>
    <row r="453" spans="1:25" s="3492" customFormat="1">
      <c r="A453" s="3485"/>
      <c r="B453" s="3486"/>
      <c r="C453" s="3486"/>
      <c r="D453" s="3486"/>
      <c r="E453" s="3486"/>
      <c r="F453" s="3486"/>
      <c r="G453" s="3486"/>
      <c r="H453" s="3486"/>
      <c r="I453" s="3486"/>
      <c r="J453" s="3486"/>
      <c r="K453" s="3486"/>
      <c r="L453" s="3486"/>
      <c r="M453" s="3486"/>
      <c r="N453" s="3486"/>
      <c r="O453" s="3486"/>
      <c r="P453" s="3486"/>
      <c r="Q453" s="3486"/>
      <c r="R453" s="3486"/>
      <c r="S453" s="3486"/>
      <c r="T453" s="3486"/>
      <c r="U453" s="3486"/>
      <c r="V453" s="3486"/>
      <c r="W453" s="3486"/>
      <c r="X453" s="3486"/>
      <c r="Y453" s="3943"/>
    </row>
    <row r="454" spans="1:25" s="3492" customFormat="1">
      <c r="A454" s="3485"/>
      <c r="B454" s="3486"/>
      <c r="C454" s="3486"/>
      <c r="D454" s="3486"/>
      <c r="E454" s="3486"/>
      <c r="F454" s="3486"/>
      <c r="G454" s="3486"/>
      <c r="H454" s="3486"/>
      <c r="I454" s="3486"/>
      <c r="J454" s="3486"/>
      <c r="K454" s="3486"/>
      <c r="L454" s="3486"/>
      <c r="M454" s="3486"/>
      <c r="N454" s="3486"/>
      <c r="O454" s="3486"/>
      <c r="P454" s="3486"/>
      <c r="Q454" s="3486"/>
      <c r="R454" s="3486"/>
      <c r="S454" s="3486"/>
      <c r="T454" s="3486"/>
      <c r="U454" s="3486"/>
      <c r="V454" s="3486"/>
      <c r="W454" s="3486"/>
      <c r="X454" s="3486"/>
      <c r="Y454" s="3943"/>
    </row>
    <row r="455" spans="1:25" s="3492" customFormat="1">
      <c r="A455" s="3485"/>
      <c r="B455" s="3486"/>
      <c r="C455" s="3486"/>
      <c r="D455" s="3486"/>
      <c r="E455" s="3486"/>
      <c r="F455" s="3486"/>
      <c r="G455" s="3486"/>
      <c r="H455" s="3486"/>
      <c r="I455" s="3486"/>
      <c r="J455" s="3486"/>
      <c r="K455" s="3486"/>
      <c r="L455" s="3486"/>
      <c r="M455" s="3486"/>
      <c r="N455" s="3486"/>
      <c r="O455" s="3486"/>
      <c r="P455" s="3486"/>
      <c r="Q455" s="3486"/>
      <c r="R455" s="3486"/>
      <c r="S455" s="3486"/>
      <c r="T455" s="3486"/>
      <c r="U455" s="3486"/>
      <c r="V455" s="3486"/>
      <c r="W455" s="3486"/>
      <c r="X455" s="3486"/>
      <c r="Y455" s="3943"/>
    </row>
    <row r="456" spans="1:25" s="3492" customFormat="1">
      <c r="A456" s="3485"/>
      <c r="B456" s="3486"/>
      <c r="C456" s="3486"/>
      <c r="D456" s="3486"/>
      <c r="E456" s="3486"/>
      <c r="F456" s="3486"/>
      <c r="G456" s="3486"/>
      <c r="H456" s="3486"/>
      <c r="I456" s="3486"/>
      <c r="J456" s="3486"/>
      <c r="K456" s="3486"/>
      <c r="L456" s="3486"/>
      <c r="M456" s="3486"/>
      <c r="N456" s="3486"/>
      <c r="O456" s="3486"/>
      <c r="P456" s="3486"/>
      <c r="Q456" s="3486"/>
      <c r="R456" s="3486"/>
      <c r="S456" s="3486"/>
      <c r="T456" s="3486"/>
      <c r="U456" s="3486"/>
      <c r="V456" s="3486"/>
      <c r="W456" s="3486"/>
      <c r="X456" s="3486"/>
      <c r="Y456" s="3943"/>
    </row>
    <row r="457" spans="1:25" s="3492" customFormat="1">
      <c r="A457" s="3485"/>
      <c r="B457" s="3486"/>
      <c r="C457" s="3486"/>
      <c r="D457" s="3486"/>
      <c r="E457" s="3486"/>
      <c r="F457" s="3486"/>
      <c r="G457" s="3486"/>
      <c r="H457" s="3486"/>
      <c r="I457" s="3486"/>
      <c r="J457" s="3486"/>
      <c r="K457" s="3486"/>
      <c r="L457" s="3486"/>
      <c r="M457" s="3486"/>
      <c r="N457" s="3486"/>
      <c r="O457" s="3486"/>
      <c r="P457" s="3486"/>
      <c r="Q457" s="3486"/>
      <c r="R457" s="3486"/>
      <c r="S457" s="3486"/>
      <c r="T457" s="3486"/>
      <c r="U457" s="3486"/>
      <c r="V457" s="3486"/>
      <c r="W457" s="3486"/>
      <c r="X457" s="3486"/>
      <c r="Y457" s="3943"/>
    </row>
    <row r="458" spans="1:25" s="3492" customFormat="1">
      <c r="A458" s="3485"/>
      <c r="B458" s="3486"/>
      <c r="C458" s="3486"/>
      <c r="D458" s="3486"/>
      <c r="E458" s="3486"/>
      <c r="F458" s="3486"/>
      <c r="G458" s="3486"/>
      <c r="H458" s="3486"/>
      <c r="I458" s="3486"/>
      <c r="J458" s="3486"/>
      <c r="K458" s="3486"/>
      <c r="L458" s="3486"/>
      <c r="M458" s="3486"/>
      <c r="N458" s="3486"/>
      <c r="O458" s="3486"/>
      <c r="P458" s="3486"/>
      <c r="Q458" s="3486"/>
      <c r="R458" s="3486"/>
      <c r="S458" s="3486"/>
      <c r="T458" s="3486"/>
      <c r="U458" s="3486"/>
      <c r="V458" s="3486"/>
      <c r="W458" s="3486"/>
      <c r="X458" s="3486"/>
      <c r="Y458" s="3943"/>
    </row>
    <row r="459" spans="1:25" s="3492" customFormat="1">
      <c r="A459" s="3485"/>
      <c r="B459" s="3486"/>
      <c r="C459" s="3486"/>
      <c r="D459" s="3486"/>
      <c r="E459" s="3486"/>
      <c r="F459" s="3486"/>
      <c r="G459" s="3486"/>
      <c r="H459" s="3486"/>
      <c r="I459" s="3486"/>
      <c r="J459" s="3486"/>
      <c r="K459" s="3486"/>
      <c r="L459" s="3486"/>
      <c r="M459" s="3486"/>
      <c r="N459" s="3486"/>
      <c r="O459" s="3486"/>
      <c r="P459" s="3486"/>
      <c r="Q459" s="3486"/>
      <c r="R459" s="3486"/>
      <c r="S459" s="3486"/>
      <c r="T459" s="3486"/>
      <c r="U459" s="3486"/>
      <c r="V459" s="3486"/>
      <c r="W459" s="3486"/>
      <c r="X459" s="3486"/>
      <c r="Y459" s="3943"/>
    </row>
    <row r="460" spans="1:25" s="3492" customFormat="1">
      <c r="A460" s="3485"/>
      <c r="B460" s="3486"/>
      <c r="C460" s="3486"/>
      <c r="D460" s="3486"/>
      <c r="E460" s="3486"/>
      <c r="F460" s="3486"/>
      <c r="G460" s="3486"/>
      <c r="H460" s="3486"/>
      <c r="I460" s="3486"/>
      <c r="J460" s="3486"/>
      <c r="K460" s="3486"/>
      <c r="L460" s="3486"/>
      <c r="M460" s="3486"/>
      <c r="N460" s="3486"/>
      <c r="O460" s="3486"/>
      <c r="P460" s="3486"/>
      <c r="Q460" s="3486"/>
      <c r="R460" s="3486"/>
      <c r="S460" s="3486"/>
      <c r="T460" s="3486"/>
      <c r="U460" s="3486"/>
      <c r="V460" s="3486"/>
      <c r="W460" s="3486"/>
      <c r="X460" s="3486"/>
      <c r="Y460" s="3943"/>
    </row>
    <row r="461" spans="1:25" s="3492" customFormat="1">
      <c r="A461" s="3485"/>
      <c r="B461" s="3486"/>
      <c r="C461" s="3486"/>
      <c r="D461" s="3486"/>
      <c r="E461" s="3486"/>
      <c r="F461" s="3486"/>
      <c r="G461" s="3486"/>
      <c r="H461" s="3486"/>
      <c r="I461" s="3486"/>
      <c r="J461" s="3486"/>
      <c r="K461" s="3486"/>
      <c r="L461" s="3486"/>
      <c r="M461" s="3486"/>
      <c r="N461" s="3486"/>
      <c r="O461" s="3486"/>
      <c r="P461" s="3486"/>
      <c r="Q461" s="3486"/>
      <c r="R461" s="3486"/>
      <c r="S461" s="3486"/>
      <c r="T461" s="3486"/>
      <c r="U461" s="3486"/>
      <c r="V461" s="3486"/>
      <c r="W461" s="3486"/>
      <c r="X461" s="3486"/>
      <c r="Y461" s="3943"/>
    </row>
    <row r="462" spans="1:25" s="3492" customFormat="1">
      <c r="A462" s="3485"/>
      <c r="B462" s="3486"/>
      <c r="C462" s="3486"/>
      <c r="D462" s="3486"/>
      <c r="E462" s="3486"/>
      <c r="F462" s="3486"/>
      <c r="G462" s="3486"/>
      <c r="H462" s="3486"/>
      <c r="I462" s="3486"/>
      <c r="J462" s="3486"/>
      <c r="K462" s="3486"/>
      <c r="L462" s="3486"/>
      <c r="M462" s="3486"/>
      <c r="N462" s="3486"/>
      <c r="O462" s="3486"/>
      <c r="P462" s="3486"/>
      <c r="Q462" s="3486"/>
      <c r="R462" s="3486"/>
      <c r="S462" s="3486"/>
      <c r="T462" s="3486"/>
      <c r="U462" s="3486"/>
      <c r="V462" s="3486"/>
      <c r="W462" s="3486"/>
      <c r="X462" s="3486"/>
      <c r="Y462" s="3943"/>
    </row>
    <row r="463" spans="1:25" s="3492" customFormat="1">
      <c r="A463" s="3485"/>
      <c r="B463" s="3486"/>
      <c r="C463" s="3486"/>
      <c r="D463" s="3486"/>
      <c r="E463" s="3486"/>
      <c r="F463" s="3486"/>
      <c r="G463" s="3486"/>
      <c r="H463" s="3486"/>
      <c r="I463" s="3486"/>
      <c r="J463" s="3486"/>
      <c r="K463" s="3486"/>
      <c r="L463" s="3486"/>
      <c r="M463" s="3486"/>
      <c r="N463" s="3486"/>
      <c r="O463" s="3486"/>
      <c r="P463" s="3486"/>
      <c r="Q463" s="3486"/>
      <c r="R463" s="3486"/>
      <c r="S463" s="3486"/>
      <c r="T463" s="3486"/>
      <c r="U463" s="3486"/>
      <c r="V463" s="3486"/>
      <c r="W463" s="3486"/>
      <c r="X463" s="3486"/>
      <c r="Y463" s="3943"/>
    </row>
    <row r="464" spans="1:25" s="3492" customFormat="1">
      <c r="A464" s="3485"/>
      <c r="B464" s="3486"/>
      <c r="C464" s="3486"/>
      <c r="D464" s="3486"/>
      <c r="E464" s="3486"/>
      <c r="F464" s="3486"/>
      <c r="G464" s="3486"/>
      <c r="H464" s="3486"/>
      <c r="I464" s="3486"/>
      <c r="J464" s="3486"/>
      <c r="K464" s="3486"/>
      <c r="L464" s="3486"/>
      <c r="M464" s="3486"/>
      <c r="N464" s="3486"/>
      <c r="O464" s="3486"/>
      <c r="P464" s="3486"/>
      <c r="Q464" s="3486"/>
      <c r="R464" s="3486"/>
      <c r="S464" s="3486"/>
      <c r="T464" s="3486"/>
      <c r="U464" s="3486"/>
      <c r="V464" s="3486"/>
      <c r="W464" s="3486"/>
      <c r="X464" s="3486"/>
      <c r="Y464" s="3943"/>
    </row>
    <row r="465" spans="1:25" s="3492" customFormat="1">
      <c r="A465" s="3485"/>
      <c r="B465" s="3486"/>
      <c r="C465" s="3486"/>
      <c r="D465" s="3486"/>
      <c r="E465" s="3486"/>
      <c r="F465" s="3486"/>
      <c r="G465" s="3486"/>
      <c r="H465" s="3486"/>
      <c r="I465" s="3486"/>
      <c r="J465" s="3486"/>
      <c r="K465" s="3486"/>
      <c r="L465" s="3486"/>
      <c r="M465" s="3486"/>
      <c r="N465" s="3486"/>
      <c r="O465" s="3486"/>
      <c r="P465" s="3486"/>
      <c r="Q465" s="3486"/>
      <c r="R465" s="3486"/>
      <c r="S465" s="3486"/>
      <c r="T465" s="3486"/>
      <c r="U465" s="3486"/>
      <c r="V465" s="3486"/>
      <c r="W465" s="3486"/>
      <c r="X465" s="3486"/>
      <c r="Y465" s="3943"/>
    </row>
    <row r="466" spans="1:25" s="3492" customFormat="1">
      <c r="A466" s="3485"/>
      <c r="B466" s="3486"/>
      <c r="C466" s="3486"/>
      <c r="D466" s="3486"/>
      <c r="E466" s="3486"/>
      <c r="F466" s="3486"/>
      <c r="G466" s="3486"/>
      <c r="H466" s="3486"/>
      <c r="I466" s="3486"/>
      <c r="J466" s="3486"/>
      <c r="K466" s="3486"/>
      <c r="L466" s="3486"/>
      <c r="M466" s="3486"/>
      <c r="N466" s="3486"/>
      <c r="O466" s="3486"/>
      <c r="P466" s="3486"/>
      <c r="Q466" s="3486"/>
      <c r="R466" s="3486"/>
      <c r="S466" s="3486"/>
      <c r="T466" s="3486"/>
      <c r="U466" s="3486"/>
      <c r="V466" s="3486"/>
      <c r="W466" s="3486"/>
      <c r="X466" s="3486"/>
      <c r="Y466" s="3943"/>
    </row>
    <row r="467" spans="1:25" s="3492" customFormat="1">
      <c r="A467" s="3485"/>
      <c r="B467" s="3486"/>
      <c r="C467" s="3486"/>
      <c r="D467" s="3486"/>
      <c r="E467" s="3486"/>
      <c r="F467" s="3486"/>
      <c r="G467" s="3486"/>
      <c r="H467" s="3486"/>
      <c r="I467" s="3486"/>
      <c r="J467" s="3486"/>
      <c r="K467" s="3486"/>
      <c r="L467" s="3486"/>
      <c r="M467" s="3486"/>
      <c r="N467" s="3486"/>
      <c r="O467" s="3486"/>
      <c r="P467" s="3486"/>
      <c r="Q467" s="3486"/>
      <c r="R467" s="3486"/>
      <c r="S467" s="3486"/>
      <c r="T467" s="3486"/>
      <c r="U467" s="3486"/>
      <c r="V467" s="3486"/>
      <c r="W467" s="3486"/>
      <c r="X467" s="3486"/>
      <c r="Y467" s="3943"/>
    </row>
    <row r="468" spans="1:25" s="3492" customFormat="1">
      <c r="A468" s="3485"/>
      <c r="B468" s="3486"/>
      <c r="C468" s="3486"/>
      <c r="D468" s="3486"/>
      <c r="E468" s="3486"/>
      <c r="F468" s="3486"/>
      <c r="G468" s="3486"/>
      <c r="H468" s="3486"/>
      <c r="I468" s="3486"/>
      <c r="J468" s="3486"/>
      <c r="K468" s="3486"/>
      <c r="L468" s="3486"/>
      <c r="M468" s="3486"/>
      <c r="N468" s="3486"/>
      <c r="O468" s="3486"/>
      <c r="P468" s="3486"/>
      <c r="Q468" s="3486"/>
      <c r="R468" s="3486"/>
      <c r="S468" s="3486"/>
      <c r="T468" s="3486"/>
      <c r="U468" s="3486"/>
      <c r="V468" s="3486"/>
      <c r="W468" s="3486"/>
      <c r="X468" s="3486"/>
      <c r="Y468" s="3943"/>
    </row>
    <row r="469" spans="1:25" s="3492" customFormat="1">
      <c r="A469" s="3485"/>
      <c r="B469" s="3486"/>
      <c r="C469" s="3486"/>
      <c r="D469" s="3486"/>
      <c r="E469" s="3486"/>
      <c r="F469" s="3486"/>
      <c r="G469" s="3486"/>
      <c r="H469" s="3486"/>
      <c r="I469" s="3486"/>
      <c r="J469" s="3486"/>
      <c r="K469" s="3486"/>
      <c r="L469" s="3486"/>
      <c r="M469" s="3486"/>
      <c r="N469" s="3486"/>
      <c r="O469" s="3486"/>
      <c r="P469" s="3486"/>
      <c r="Q469" s="3486"/>
      <c r="R469" s="3486"/>
      <c r="S469" s="3486"/>
      <c r="T469" s="3486"/>
      <c r="U469" s="3486"/>
      <c r="V469" s="3486"/>
      <c r="W469" s="3486"/>
      <c r="X469" s="3486"/>
      <c r="Y469" s="3943"/>
    </row>
    <row r="470" spans="1:25" s="3492" customFormat="1">
      <c r="A470" s="3485"/>
      <c r="B470" s="3486"/>
      <c r="C470" s="3486"/>
      <c r="D470" s="3486"/>
      <c r="E470" s="3486"/>
      <c r="F470" s="3486"/>
      <c r="G470" s="3486"/>
      <c r="H470" s="3486"/>
      <c r="I470" s="3486"/>
      <c r="J470" s="3486"/>
      <c r="K470" s="3486"/>
      <c r="L470" s="3486"/>
      <c r="M470" s="3486"/>
      <c r="N470" s="3486"/>
      <c r="O470" s="3486"/>
      <c r="P470" s="3486"/>
      <c r="Q470" s="3486"/>
      <c r="R470" s="3486"/>
      <c r="S470" s="3486"/>
      <c r="T470" s="3486"/>
      <c r="U470" s="3486"/>
      <c r="V470" s="3486"/>
      <c r="W470" s="3486"/>
      <c r="X470" s="3486"/>
      <c r="Y470" s="3943"/>
    </row>
    <row r="471" spans="1:25" s="3492" customFormat="1">
      <c r="A471" s="3485"/>
      <c r="B471" s="3486"/>
      <c r="C471" s="3486"/>
      <c r="D471" s="3486"/>
      <c r="E471" s="3486"/>
      <c r="F471" s="3486"/>
      <c r="G471" s="3486"/>
      <c r="H471" s="3486"/>
      <c r="I471" s="3486"/>
      <c r="J471" s="3486"/>
      <c r="K471" s="3486"/>
      <c r="L471" s="3486"/>
      <c r="M471" s="3486"/>
      <c r="N471" s="3486"/>
      <c r="O471" s="3486"/>
      <c r="P471" s="3486"/>
      <c r="Q471" s="3486"/>
      <c r="R471" s="3486"/>
      <c r="S471" s="3486"/>
      <c r="T471" s="3486"/>
      <c r="U471" s="3486"/>
      <c r="V471" s="3486"/>
      <c r="W471" s="3486"/>
      <c r="X471" s="3486"/>
      <c r="Y471" s="3943"/>
    </row>
    <row r="472" spans="1:25" s="3492" customFormat="1">
      <c r="A472" s="3485"/>
      <c r="B472" s="3486"/>
      <c r="C472" s="3486"/>
      <c r="D472" s="3486"/>
      <c r="E472" s="3486"/>
      <c r="F472" s="3486"/>
      <c r="G472" s="3486"/>
      <c r="H472" s="3486"/>
      <c r="I472" s="3486"/>
      <c r="J472" s="3486"/>
      <c r="K472" s="3486"/>
      <c r="L472" s="3486"/>
      <c r="M472" s="3486"/>
      <c r="N472" s="3486"/>
      <c r="O472" s="3486"/>
      <c r="P472" s="3486"/>
      <c r="Q472" s="3486"/>
      <c r="R472" s="3486"/>
      <c r="S472" s="3486"/>
      <c r="T472" s="3486"/>
      <c r="U472" s="3486"/>
      <c r="V472" s="3486"/>
      <c r="W472" s="3486"/>
      <c r="X472" s="3486"/>
      <c r="Y472" s="3943"/>
    </row>
    <row r="473" spans="1:25" s="3492" customFormat="1">
      <c r="A473" s="3485"/>
      <c r="B473" s="3486"/>
      <c r="C473" s="3486"/>
      <c r="D473" s="3486"/>
      <c r="E473" s="3486"/>
      <c r="F473" s="3486"/>
      <c r="G473" s="3486"/>
      <c r="H473" s="3486"/>
      <c r="I473" s="3486"/>
      <c r="J473" s="3486"/>
      <c r="K473" s="3486"/>
      <c r="L473" s="3486"/>
      <c r="M473" s="3486"/>
      <c r="N473" s="3486"/>
      <c r="O473" s="3486"/>
      <c r="P473" s="3486"/>
      <c r="Q473" s="3486"/>
      <c r="R473" s="3486"/>
      <c r="S473" s="3486"/>
      <c r="T473" s="3486"/>
      <c r="U473" s="3486"/>
      <c r="V473" s="3486"/>
      <c r="W473" s="3486"/>
      <c r="X473" s="3486"/>
      <c r="Y473" s="3943"/>
    </row>
    <row r="474" spans="1:25" s="3492" customFormat="1">
      <c r="A474" s="3485"/>
      <c r="B474" s="3486"/>
      <c r="C474" s="3486"/>
      <c r="D474" s="3486"/>
      <c r="E474" s="3486"/>
      <c r="F474" s="3486"/>
      <c r="G474" s="3486"/>
      <c r="H474" s="3486"/>
      <c r="I474" s="3486"/>
      <c r="J474" s="3486"/>
      <c r="K474" s="3486"/>
      <c r="L474" s="3486"/>
      <c r="M474" s="3486"/>
      <c r="N474" s="3486"/>
      <c r="O474" s="3486"/>
      <c r="P474" s="3486"/>
      <c r="Q474" s="3486"/>
      <c r="R474" s="3486"/>
      <c r="S474" s="3486"/>
      <c r="T474" s="3486"/>
      <c r="U474" s="3486"/>
      <c r="V474" s="3486"/>
      <c r="W474" s="3486"/>
      <c r="X474" s="3486"/>
      <c r="Y474" s="3943"/>
    </row>
    <row r="475" spans="1:25" s="3492" customFormat="1">
      <c r="A475" s="3485"/>
      <c r="B475" s="3486"/>
      <c r="C475" s="3486"/>
      <c r="D475" s="3486"/>
      <c r="E475" s="3486"/>
      <c r="F475" s="3486"/>
      <c r="G475" s="3486"/>
      <c r="H475" s="3486"/>
      <c r="I475" s="3486"/>
      <c r="J475" s="3486"/>
      <c r="K475" s="3486"/>
      <c r="L475" s="3486"/>
      <c r="M475" s="3486"/>
      <c r="N475" s="3486"/>
      <c r="O475" s="3486"/>
      <c r="P475" s="3486"/>
      <c r="Q475" s="3486"/>
      <c r="R475" s="3486"/>
      <c r="S475" s="3486"/>
      <c r="T475" s="3486"/>
      <c r="U475" s="3486"/>
      <c r="V475" s="3486"/>
      <c r="W475" s="3486"/>
      <c r="X475" s="3486"/>
      <c r="Y475" s="3943"/>
    </row>
    <row r="476" spans="1:25" s="3492" customFormat="1">
      <c r="A476" s="3485"/>
      <c r="B476" s="3486"/>
      <c r="C476" s="3486"/>
      <c r="D476" s="3486"/>
      <c r="E476" s="3486"/>
      <c r="F476" s="3486"/>
      <c r="G476" s="3486"/>
      <c r="H476" s="3486"/>
      <c r="I476" s="3486"/>
      <c r="J476" s="3486"/>
      <c r="K476" s="3486"/>
      <c r="L476" s="3486"/>
      <c r="M476" s="3486"/>
      <c r="N476" s="3486"/>
      <c r="O476" s="3486"/>
      <c r="P476" s="3486"/>
      <c r="Q476" s="3486"/>
      <c r="R476" s="3486"/>
      <c r="S476" s="3486"/>
      <c r="T476" s="3486"/>
      <c r="U476" s="3486"/>
      <c r="V476" s="3486"/>
      <c r="W476" s="3486"/>
      <c r="X476" s="3486"/>
      <c r="Y476" s="3943"/>
    </row>
    <row r="477" spans="1:25" s="3492" customFormat="1">
      <c r="A477" s="3485"/>
      <c r="B477" s="3486"/>
      <c r="C477" s="3486"/>
      <c r="D477" s="3486"/>
      <c r="E477" s="3486"/>
      <c r="F477" s="3486"/>
      <c r="G477" s="3486"/>
      <c r="H477" s="3486"/>
      <c r="I477" s="3486"/>
      <c r="J477" s="3486"/>
      <c r="K477" s="3486"/>
      <c r="L477" s="3486"/>
      <c r="M477" s="3486"/>
      <c r="N477" s="3486"/>
      <c r="O477" s="3486"/>
      <c r="P477" s="3486"/>
      <c r="Q477" s="3486"/>
      <c r="R477" s="3486"/>
      <c r="S477" s="3486"/>
      <c r="T477" s="3486"/>
      <c r="U477" s="3486"/>
      <c r="V477" s="3486"/>
      <c r="W477" s="3486"/>
      <c r="X477" s="3486"/>
      <c r="Y477" s="3943"/>
    </row>
    <row r="478" spans="1:25" s="3492" customFormat="1">
      <c r="A478" s="3485"/>
      <c r="B478" s="3486"/>
      <c r="C478" s="3486"/>
      <c r="D478" s="3486"/>
      <c r="E478" s="3486"/>
      <c r="F478" s="3486"/>
      <c r="G478" s="3486"/>
      <c r="H478" s="3486"/>
      <c r="I478" s="3486"/>
      <c r="J478" s="3486"/>
      <c r="K478" s="3486"/>
      <c r="L478" s="3486"/>
      <c r="M478" s="3486"/>
      <c r="N478" s="3486"/>
      <c r="O478" s="3486"/>
      <c r="P478" s="3486"/>
      <c r="Q478" s="3486"/>
      <c r="R478" s="3486"/>
      <c r="S478" s="3486"/>
      <c r="T478" s="3486"/>
      <c r="U478" s="3486"/>
      <c r="V478" s="3486"/>
      <c r="W478" s="3486"/>
      <c r="X478" s="3486"/>
      <c r="Y478" s="3943"/>
    </row>
    <row r="479" spans="1:25" s="3492" customFormat="1">
      <c r="A479" s="3485"/>
      <c r="B479" s="3486"/>
      <c r="C479" s="3486"/>
      <c r="D479" s="3486"/>
      <c r="E479" s="3486"/>
      <c r="F479" s="3486"/>
      <c r="G479" s="3486"/>
      <c r="H479" s="3486"/>
      <c r="I479" s="3486"/>
      <c r="J479" s="3486"/>
      <c r="K479" s="3486"/>
      <c r="L479" s="3486"/>
      <c r="M479" s="3486"/>
      <c r="N479" s="3486"/>
      <c r="O479" s="3486"/>
      <c r="P479" s="3486"/>
      <c r="Q479" s="3486"/>
      <c r="R479" s="3486"/>
      <c r="S479" s="3486"/>
      <c r="T479" s="3486"/>
      <c r="U479" s="3486"/>
      <c r="V479" s="3486"/>
      <c r="W479" s="3486"/>
      <c r="X479" s="3486"/>
      <c r="Y479" s="3943"/>
    </row>
    <row r="480" spans="1:25" s="3492" customFormat="1">
      <c r="A480" s="3485"/>
      <c r="B480" s="3486"/>
      <c r="C480" s="3486"/>
      <c r="D480" s="3486"/>
      <c r="E480" s="3486"/>
      <c r="F480" s="3486"/>
      <c r="G480" s="3486"/>
      <c r="H480" s="3486"/>
      <c r="I480" s="3486"/>
      <c r="J480" s="3486"/>
      <c r="K480" s="3486"/>
      <c r="L480" s="3486"/>
      <c r="M480" s="3486"/>
      <c r="N480" s="3486"/>
      <c r="O480" s="3486"/>
      <c r="P480" s="3486"/>
      <c r="Q480" s="3486"/>
      <c r="R480" s="3486"/>
      <c r="S480" s="3486"/>
      <c r="T480" s="3486"/>
      <c r="U480" s="3486"/>
      <c r="V480" s="3486"/>
      <c r="W480" s="3486"/>
      <c r="X480" s="3486"/>
      <c r="Y480" s="3943"/>
    </row>
    <row r="481" spans="1:25" s="3492" customFormat="1">
      <c r="A481" s="3485"/>
      <c r="B481" s="3486"/>
      <c r="C481" s="3486"/>
      <c r="D481" s="3486"/>
      <c r="E481" s="3486"/>
      <c r="F481" s="3486"/>
      <c r="G481" s="3486"/>
      <c r="H481" s="3486"/>
      <c r="I481" s="3486"/>
      <c r="J481" s="3486"/>
      <c r="K481" s="3486"/>
      <c r="L481" s="3486"/>
      <c r="M481" s="3486"/>
      <c r="N481" s="3486"/>
      <c r="O481" s="3486"/>
      <c r="P481" s="3486"/>
      <c r="Q481" s="3486"/>
      <c r="R481" s="3486"/>
      <c r="S481" s="3486"/>
      <c r="T481" s="3486"/>
      <c r="U481" s="3486"/>
      <c r="V481" s="3486"/>
      <c r="W481" s="3486"/>
      <c r="X481" s="3486"/>
      <c r="Y481" s="3943"/>
    </row>
    <row r="482" spans="1:25" s="3492" customFormat="1">
      <c r="A482" s="3485"/>
      <c r="B482" s="3486"/>
      <c r="C482" s="3486"/>
      <c r="D482" s="3486"/>
      <c r="E482" s="3486"/>
      <c r="F482" s="3486"/>
      <c r="G482" s="3486"/>
      <c r="H482" s="3486"/>
      <c r="I482" s="3486"/>
      <c r="J482" s="3486"/>
      <c r="K482" s="3486"/>
      <c r="L482" s="3486"/>
      <c r="M482" s="3486"/>
      <c r="N482" s="3486"/>
      <c r="O482" s="3486"/>
      <c r="P482" s="3486"/>
      <c r="Q482" s="3486"/>
      <c r="R482" s="3486"/>
      <c r="S482" s="3486"/>
      <c r="T482" s="3486"/>
      <c r="U482" s="3486"/>
      <c r="V482" s="3486"/>
      <c r="W482" s="3486"/>
      <c r="X482" s="3486"/>
      <c r="Y482" s="3943"/>
    </row>
    <row r="483" spans="1:25" s="3492" customFormat="1">
      <c r="A483" s="3485"/>
      <c r="B483" s="3486"/>
      <c r="C483" s="3486"/>
      <c r="D483" s="3486"/>
      <c r="E483" s="3486"/>
      <c r="F483" s="3486"/>
      <c r="G483" s="3486"/>
      <c r="H483" s="3486"/>
      <c r="I483" s="3486"/>
      <c r="J483" s="3486"/>
      <c r="K483" s="3486"/>
      <c r="L483" s="3486"/>
      <c r="M483" s="3486"/>
      <c r="N483" s="3486"/>
      <c r="O483" s="3486"/>
      <c r="P483" s="3486"/>
      <c r="Q483" s="3486"/>
      <c r="R483" s="3486"/>
      <c r="S483" s="3486"/>
      <c r="T483" s="3486"/>
      <c r="U483" s="3486"/>
      <c r="V483" s="3486"/>
      <c r="W483" s="3486"/>
      <c r="X483" s="3486"/>
      <c r="Y483" s="3943"/>
    </row>
    <row r="484" spans="1:25" s="3492" customFormat="1">
      <c r="A484" s="3485"/>
      <c r="B484" s="3486"/>
      <c r="C484" s="3486"/>
      <c r="D484" s="3486"/>
      <c r="E484" s="3486"/>
      <c r="F484" s="3486"/>
      <c r="G484" s="3486"/>
      <c r="H484" s="3486"/>
      <c r="I484" s="3486"/>
      <c r="J484" s="3486"/>
      <c r="K484" s="3486"/>
      <c r="L484" s="3486"/>
      <c r="M484" s="3486"/>
      <c r="N484" s="3486"/>
      <c r="O484" s="3486"/>
      <c r="P484" s="3486"/>
      <c r="Q484" s="3486"/>
      <c r="R484" s="3486"/>
      <c r="S484" s="3486"/>
      <c r="T484" s="3486"/>
      <c r="U484" s="3486"/>
      <c r="V484" s="3486"/>
      <c r="W484" s="3486"/>
      <c r="X484" s="3486"/>
      <c r="Y484" s="3943"/>
    </row>
    <row r="485" spans="1:25" s="3492" customFormat="1">
      <c r="A485" s="3485"/>
      <c r="B485" s="3486"/>
      <c r="C485" s="3486"/>
      <c r="D485" s="3486"/>
      <c r="E485" s="3486"/>
      <c r="F485" s="3486"/>
      <c r="G485" s="3486"/>
      <c r="H485" s="3486"/>
      <c r="I485" s="3486"/>
      <c r="J485" s="3486"/>
      <c r="K485" s="3486"/>
      <c r="L485" s="3486"/>
      <c r="M485" s="3486"/>
      <c r="N485" s="3486"/>
      <c r="O485" s="3486"/>
      <c r="P485" s="3486"/>
      <c r="Q485" s="3486"/>
      <c r="R485" s="3486"/>
      <c r="S485" s="3486"/>
      <c r="T485" s="3486"/>
      <c r="U485" s="3486"/>
      <c r="V485" s="3486"/>
      <c r="W485" s="3486"/>
      <c r="X485" s="3486"/>
      <c r="Y485" s="3943"/>
    </row>
    <row r="486" spans="1:25" s="3492" customFormat="1">
      <c r="A486" s="3485"/>
      <c r="B486" s="3486"/>
      <c r="C486" s="3486"/>
      <c r="D486" s="3486"/>
      <c r="E486" s="3486"/>
      <c r="F486" s="3486"/>
      <c r="G486" s="3486"/>
      <c r="H486" s="3486"/>
      <c r="I486" s="3486"/>
      <c r="J486" s="3486"/>
      <c r="K486" s="3486"/>
      <c r="L486" s="3486"/>
      <c r="M486" s="3486"/>
      <c r="N486" s="3486"/>
      <c r="O486" s="3486"/>
      <c r="P486" s="3486"/>
      <c r="Q486" s="3486"/>
      <c r="R486" s="3486"/>
      <c r="S486" s="3486"/>
      <c r="T486" s="3486"/>
      <c r="U486" s="3486"/>
      <c r="V486" s="3486"/>
      <c r="W486" s="3486"/>
      <c r="X486" s="3486"/>
      <c r="Y486" s="3943"/>
    </row>
    <row r="487" spans="1:25" s="3492" customFormat="1">
      <c r="A487" s="3485"/>
      <c r="B487" s="3486"/>
      <c r="C487" s="3486"/>
      <c r="D487" s="3486"/>
      <c r="E487" s="3486"/>
      <c r="F487" s="3486"/>
      <c r="G487" s="3486"/>
      <c r="H487" s="3486"/>
      <c r="I487" s="3486"/>
      <c r="J487" s="3486"/>
      <c r="K487" s="3486"/>
      <c r="L487" s="3486"/>
      <c r="M487" s="3486"/>
      <c r="N487" s="3486"/>
      <c r="O487" s="3486"/>
      <c r="P487" s="3486"/>
      <c r="Q487" s="3486"/>
      <c r="R487" s="3486"/>
      <c r="S487" s="3486"/>
      <c r="T487" s="3486"/>
      <c r="U487" s="3486"/>
      <c r="V487" s="3486"/>
      <c r="W487" s="3486"/>
      <c r="X487" s="3486"/>
      <c r="Y487" s="3943"/>
    </row>
    <row r="488" spans="1:25" s="3492" customFormat="1">
      <c r="A488" s="3485"/>
      <c r="B488" s="3486"/>
      <c r="C488" s="3486"/>
      <c r="D488" s="3486"/>
      <c r="E488" s="3486"/>
      <c r="F488" s="3486"/>
      <c r="G488" s="3486"/>
      <c r="H488" s="3486"/>
      <c r="I488" s="3486"/>
      <c r="J488" s="3486"/>
      <c r="K488" s="3486"/>
      <c r="L488" s="3486"/>
      <c r="M488" s="3486"/>
      <c r="N488" s="3486"/>
      <c r="O488" s="3486"/>
      <c r="P488" s="3486"/>
      <c r="Q488" s="3486"/>
      <c r="R488" s="3486"/>
      <c r="S488" s="3486"/>
      <c r="T488" s="3486"/>
      <c r="U488" s="3486"/>
      <c r="V488" s="3486"/>
      <c r="W488" s="3486"/>
      <c r="X488" s="3486"/>
      <c r="Y488" s="3943"/>
    </row>
    <row r="489" spans="1:25" s="3492" customFormat="1">
      <c r="A489" s="3485"/>
      <c r="B489" s="3486"/>
      <c r="C489" s="3486"/>
      <c r="D489" s="3486"/>
      <c r="E489" s="3486"/>
      <c r="F489" s="3486"/>
      <c r="G489" s="3486"/>
      <c r="H489" s="3486"/>
      <c r="I489" s="3486"/>
      <c r="J489" s="3486"/>
      <c r="K489" s="3486"/>
      <c r="L489" s="3486"/>
      <c r="M489" s="3486"/>
      <c r="N489" s="3486"/>
      <c r="O489" s="3486"/>
      <c r="P489" s="3486"/>
      <c r="Q489" s="3486"/>
      <c r="R489" s="3486"/>
      <c r="S489" s="3486"/>
      <c r="T489" s="3486"/>
      <c r="U489" s="3486"/>
      <c r="V489" s="3486"/>
      <c r="W489" s="3486"/>
      <c r="X489" s="3486"/>
      <c r="Y489" s="3943"/>
    </row>
    <row r="490" spans="1:25" s="3492" customFormat="1">
      <c r="A490" s="3485"/>
      <c r="B490" s="3486"/>
      <c r="C490" s="3486"/>
      <c r="D490" s="3486"/>
      <c r="E490" s="3486"/>
      <c r="F490" s="3486"/>
      <c r="G490" s="3486"/>
      <c r="H490" s="3486"/>
      <c r="I490" s="3486"/>
      <c r="J490" s="3486"/>
      <c r="K490" s="3486"/>
      <c r="L490" s="3486"/>
      <c r="M490" s="3486"/>
      <c r="N490" s="3486"/>
      <c r="O490" s="3486"/>
      <c r="P490" s="3486"/>
      <c r="Q490" s="3486"/>
      <c r="R490" s="3486"/>
      <c r="S490" s="3486"/>
      <c r="T490" s="3486"/>
      <c r="U490" s="3486"/>
      <c r="V490" s="3486"/>
      <c r="W490" s="3486"/>
      <c r="X490" s="3486"/>
      <c r="Y490" s="3943"/>
    </row>
    <row r="491" spans="1:25" s="3492" customFormat="1">
      <c r="A491" s="3485"/>
      <c r="B491" s="3486"/>
      <c r="C491" s="3486"/>
      <c r="D491" s="3486"/>
      <c r="E491" s="3486"/>
      <c r="F491" s="3486"/>
      <c r="G491" s="3486"/>
      <c r="H491" s="3486"/>
      <c r="I491" s="3486"/>
      <c r="J491" s="3486"/>
      <c r="K491" s="3486"/>
      <c r="L491" s="3486"/>
      <c r="M491" s="3486"/>
      <c r="N491" s="3486"/>
      <c r="O491" s="3486"/>
      <c r="P491" s="3486"/>
      <c r="Q491" s="3486"/>
      <c r="R491" s="3486"/>
      <c r="S491" s="3486"/>
      <c r="T491" s="3486"/>
      <c r="U491" s="3486"/>
      <c r="V491" s="3486"/>
      <c r="W491" s="3486"/>
      <c r="X491" s="3486"/>
      <c r="Y491" s="3943"/>
    </row>
    <row r="492" spans="1:25" s="3492" customFormat="1">
      <c r="A492" s="3485"/>
      <c r="B492" s="3486"/>
      <c r="C492" s="3486"/>
      <c r="D492" s="3486"/>
      <c r="E492" s="3486"/>
      <c r="F492" s="3486"/>
      <c r="G492" s="3486"/>
      <c r="H492" s="3486"/>
      <c r="I492" s="3486"/>
      <c r="J492" s="3486"/>
      <c r="K492" s="3486"/>
      <c r="L492" s="3486"/>
      <c r="M492" s="3486"/>
      <c r="N492" s="3486"/>
      <c r="O492" s="3486"/>
      <c r="P492" s="3486"/>
      <c r="Q492" s="3486"/>
      <c r="R492" s="3486"/>
      <c r="S492" s="3486"/>
      <c r="T492" s="3486"/>
      <c r="U492" s="3486"/>
      <c r="V492" s="3486"/>
      <c r="W492" s="3486"/>
      <c r="X492" s="3486"/>
      <c r="Y492" s="3943"/>
    </row>
    <row r="493" spans="1:25" s="3492" customFormat="1">
      <c r="A493" s="3485"/>
      <c r="B493" s="3486"/>
      <c r="C493" s="3486"/>
      <c r="D493" s="3486"/>
      <c r="E493" s="3486"/>
      <c r="F493" s="3486"/>
      <c r="G493" s="3486"/>
      <c r="H493" s="3486"/>
      <c r="I493" s="3486"/>
      <c r="J493" s="3486"/>
      <c r="K493" s="3486"/>
      <c r="L493" s="3486"/>
      <c r="M493" s="3486"/>
      <c r="N493" s="3486"/>
      <c r="O493" s="3486"/>
      <c r="P493" s="3486"/>
      <c r="Q493" s="3486"/>
      <c r="R493" s="3486"/>
      <c r="S493" s="3486"/>
      <c r="T493" s="3486"/>
      <c r="U493" s="3486"/>
      <c r="V493" s="3486"/>
      <c r="W493" s="3486"/>
      <c r="X493" s="3486"/>
      <c r="Y493" s="3943"/>
    </row>
    <row r="494" spans="1:25" s="3492" customFormat="1">
      <c r="A494" s="3485"/>
      <c r="B494" s="3486"/>
      <c r="C494" s="3486"/>
      <c r="D494" s="3486"/>
      <c r="E494" s="3486"/>
      <c r="F494" s="3486"/>
      <c r="G494" s="3486"/>
      <c r="H494" s="3486"/>
      <c r="I494" s="3486"/>
      <c r="J494" s="3486"/>
      <c r="K494" s="3486"/>
      <c r="L494" s="3486"/>
      <c r="M494" s="3486"/>
      <c r="N494" s="3486"/>
      <c r="O494" s="3486"/>
      <c r="P494" s="3486"/>
      <c r="Q494" s="3486"/>
      <c r="R494" s="3486"/>
      <c r="S494" s="3486"/>
      <c r="T494" s="3486"/>
      <c r="U494" s="3486"/>
      <c r="V494" s="3486"/>
      <c r="W494" s="3486"/>
      <c r="X494" s="3486"/>
      <c r="Y494" s="3943"/>
    </row>
    <row r="495" spans="1:25" s="3492" customFormat="1">
      <c r="A495" s="3485"/>
      <c r="B495" s="3486"/>
      <c r="C495" s="3486"/>
      <c r="D495" s="3486"/>
      <c r="E495" s="3486"/>
      <c r="F495" s="3486"/>
      <c r="G495" s="3486"/>
      <c r="H495" s="3486"/>
      <c r="I495" s="3486"/>
      <c r="J495" s="3486"/>
      <c r="K495" s="3486"/>
      <c r="L495" s="3486"/>
      <c r="M495" s="3486"/>
      <c r="N495" s="3486"/>
      <c r="O495" s="3486"/>
      <c r="P495" s="3486"/>
      <c r="Q495" s="3486"/>
      <c r="R495" s="3486"/>
      <c r="S495" s="3486"/>
      <c r="T495" s="3486"/>
      <c r="U495" s="3486"/>
      <c r="V495" s="3486"/>
      <c r="W495" s="3486"/>
      <c r="X495" s="3486"/>
      <c r="Y495" s="3943"/>
    </row>
    <row r="496" spans="1:25" s="3492" customFormat="1">
      <c r="A496" s="3485"/>
      <c r="B496" s="3486"/>
      <c r="C496" s="3486"/>
      <c r="D496" s="3486"/>
      <c r="E496" s="3486"/>
      <c r="F496" s="3486"/>
      <c r="G496" s="3486"/>
      <c r="H496" s="3486"/>
      <c r="I496" s="3486"/>
      <c r="J496" s="3486"/>
      <c r="K496" s="3486"/>
      <c r="L496" s="3486"/>
      <c r="M496" s="3486"/>
      <c r="N496" s="3486"/>
      <c r="O496" s="3486"/>
      <c r="P496" s="3486"/>
      <c r="Q496" s="3486"/>
      <c r="R496" s="3486"/>
      <c r="S496" s="3486"/>
      <c r="T496" s="3486"/>
      <c r="U496" s="3486"/>
      <c r="V496" s="3486"/>
      <c r="W496" s="3486"/>
      <c r="X496" s="3486"/>
      <c r="Y496" s="3943"/>
    </row>
    <row r="497" spans="1:25" s="3492" customFormat="1">
      <c r="A497" s="3485"/>
      <c r="B497" s="3486"/>
      <c r="C497" s="3486"/>
      <c r="D497" s="3486"/>
      <c r="E497" s="3486"/>
      <c r="F497" s="3486"/>
      <c r="G497" s="3486"/>
      <c r="H497" s="3486"/>
      <c r="I497" s="3486"/>
      <c r="J497" s="3486"/>
      <c r="K497" s="3486"/>
      <c r="L497" s="3486"/>
      <c r="M497" s="3486"/>
      <c r="N497" s="3486"/>
      <c r="O497" s="3486"/>
      <c r="P497" s="3486"/>
      <c r="Q497" s="3486"/>
      <c r="R497" s="3486"/>
      <c r="S497" s="3486"/>
      <c r="T497" s="3486"/>
      <c r="U497" s="3486"/>
      <c r="V497" s="3486"/>
      <c r="W497" s="3486"/>
      <c r="X497" s="3486"/>
      <c r="Y497" s="3943"/>
    </row>
    <row r="498" spans="1:25" s="3492" customFormat="1">
      <c r="A498" s="3485"/>
      <c r="B498" s="3486"/>
      <c r="C498" s="3486"/>
      <c r="D498" s="3486"/>
      <c r="E498" s="3486"/>
      <c r="F498" s="3486"/>
      <c r="G498" s="3486"/>
      <c r="H498" s="3486"/>
      <c r="I498" s="3486"/>
      <c r="J498" s="3486"/>
      <c r="K498" s="3486"/>
      <c r="L498" s="3486"/>
      <c r="M498" s="3486"/>
      <c r="N498" s="3486"/>
      <c r="O498" s="3486"/>
      <c r="P498" s="3486"/>
      <c r="Q498" s="3486"/>
      <c r="R498" s="3486"/>
      <c r="S498" s="3486"/>
      <c r="T498" s="3486"/>
      <c r="U498" s="3486"/>
      <c r="V498" s="3486"/>
      <c r="W498" s="3486"/>
      <c r="X498" s="3486"/>
      <c r="Y498" s="3943"/>
    </row>
    <row r="499" spans="1:25" s="3492" customFormat="1">
      <c r="A499" s="3485"/>
      <c r="B499" s="3486"/>
      <c r="C499" s="3486"/>
      <c r="D499" s="3486"/>
      <c r="E499" s="3486"/>
      <c r="F499" s="3486"/>
      <c r="G499" s="3486"/>
      <c r="H499" s="3486"/>
      <c r="I499" s="3486"/>
      <c r="J499" s="3486"/>
      <c r="K499" s="3486"/>
      <c r="L499" s="3486"/>
      <c r="M499" s="3486"/>
      <c r="N499" s="3486"/>
      <c r="O499" s="3486"/>
      <c r="P499" s="3486"/>
      <c r="Q499" s="3486"/>
      <c r="R499" s="3486"/>
      <c r="S499" s="3486"/>
      <c r="T499" s="3486"/>
      <c r="U499" s="3486"/>
      <c r="V499" s="3486"/>
      <c r="W499" s="3486"/>
      <c r="X499" s="3486"/>
      <c r="Y499" s="3943"/>
    </row>
    <row r="500" spans="1:25" s="3492" customFormat="1">
      <c r="A500" s="3485"/>
      <c r="B500" s="3486"/>
      <c r="C500" s="3486"/>
      <c r="D500" s="3486"/>
      <c r="E500" s="3486"/>
      <c r="F500" s="3486"/>
      <c r="G500" s="3486"/>
      <c r="H500" s="3486"/>
      <c r="I500" s="3486"/>
      <c r="J500" s="3486"/>
      <c r="K500" s="3486"/>
      <c r="L500" s="3486"/>
      <c r="M500" s="3486"/>
      <c r="N500" s="3486"/>
      <c r="O500" s="3486"/>
      <c r="P500" s="3486"/>
      <c r="Q500" s="3486"/>
      <c r="R500" s="3486"/>
      <c r="S500" s="3486"/>
      <c r="T500" s="3486"/>
      <c r="U500" s="3486"/>
      <c r="V500" s="3486"/>
      <c r="W500" s="3486"/>
      <c r="X500" s="3486"/>
      <c r="Y500" s="3943"/>
    </row>
    <row r="501" spans="1:25" s="3492" customFormat="1">
      <c r="A501" s="3485"/>
      <c r="B501" s="3486"/>
      <c r="C501" s="3486"/>
      <c r="D501" s="3486"/>
      <c r="E501" s="3486"/>
      <c r="F501" s="3486"/>
      <c r="G501" s="3486"/>
      <c r="H501" s="3486"/>
      <c r="I501" s="3486"/>
      <c r="J501" s="3486"/>
      <c r="K501" s="3486"/>
      <c r="L501" s="3486"/>
      <c r="M501" s="3486"/>
      <c r="N501" s="3486"/>
      <c r="O501" s="3486"/>
      <c r="P501" s="3486"/>
      <c r="Q501" s="3486"/>
      <c r="R501" s="3486"/>
      <c r="S501" s="3486"/>
      <c r="T501" s="3486"/>
      <c r="U501" s="3486"/>
      <c r="V501" s="3486"/>
      <c r="W501" s="3486"/>
      <c r="X501" s="3486"/>
      <c r="Y501" s="3943"/>
    </row>
    <row r="502" spans="1:25" s="3492" customFormat="1">
      <c r="A502" s="3485"/>
      <c r="B502" s="3486"/>
      <c r="C502" s="3486"/>
      <c r="D502" s="3486"/>
      <c r="E502" s="3486"/>
      <c r="F502" s="3486"/>
      <c r="G502" s="3486"/>
      <c r="H502" s="3486"/>
      <c r="I502" s="3486"/>
      <c r="J502" s="3486"/>
      <c r="K502" s="3486"/>
      <c r="L502" s="3486"/>
      <c r="M502" s="3486"/>
      <c r="N502" s="3486"/>
      <c r="O502" s="3486"/>
      <c r="P502" s="3486"/>
      <c r="Q502" s="3486"/>
      <c r="R502" s="3486"/>
      <c r="S502" s="3486"/>
      <c r="T502" s="3486"/>
      <c r="U502" s="3486"/>
      <c r="V502" s="3486"/>
      <c r="W502" s="3486"/>
      <c r="X502" s="3486"/>
      <c r="Y502" s="3943"/>
    </row>
    <row r="503" spans="1:25" s="3492" customFormat="1">
      <c r="A503" s="3485"/>
      <c r="B503" s="3486"/>
      <c r="C503" s="3486"/>
      <c r="D503" s="3486"/>
      <c r="E503" s="3486"/>
      <c r="F503" s="3486"/>
      <c r="G503" s="3486"/>
      <c r="H503" s="3486"/>
      <c r="I503" s="3486"/>
      <c r="J503" s="3486"/>
      <c r="K503" s="3486"/>
      <c r="L503" s="3486"/>
      <c r="M503" s="3486"/>
      <c r="N503" s="3486"/>
      <c r="O503" s="3486"/>
      <c r="P503" s="3486"/>
      <c r="Q503" s="3486"/>
      <c r="R503" s="3486"/>
      <c r="S503" s="3486"/>
      <c r="T503" s="3486"/>
      <c r="U503" s="3486"/>
      <c r="V503" s="3486"/>
      <c r="W503" s="3486"/>
      <c r="X503" s="3486"/>
      <c r="Y503" s="3943"/>
    </row>
    <row r="504" spans="1:25" s="3492" customFormat="1">
      <c r="A504" s="3485"/>
      <c r="B504" s="3486"/>
      <c r="C504" s="3486"/>
      <c r="D504" s="3486"/>
      <c r="E504" s="3486"/>
      <c r="F504" s="3486"/>
      <c r="G504" s="3486"/>
      <c r="H504" s="3486"/>
      <c r="I504" s="3486"/>
      <c r="J504" s="3486"/>
      <c r="K504" s="3486"/>
      <c r="L504" s="3486"/>
      <c r="M504" s="3486"/>
      <c r="N504" s="3486"/>
      <c r="O504" s="3486"/>
      <c r="P504" s="3486"/>
      <c r="Q504" s="3486"/>
      <c r="R504" s="3486"/>
      <c r="S504" s="3486"/>
      <c r="T504" s="3486"/>
      <c r="U504" s="3486"/>
      <c r="V504" s="3486"/>
      <c r="W504" s="3486"/>
      <c r="X504" s="3486"/>
      <c r="Y504" s="3943"/>
    </row>
    <row r="505" spans="1:25" s="3492" customFormat="1">
      <c r="A505" s="3485"/>
      <c r="B505" s="3486"/>
      <c r="C505" s="3486"/>
      <c r="D505" s="3486"/>
      <c r="E505" s="3486"/>
      <c r="F505" s="3486"/>
      <c r="G505" s="3486"/>
      <c r="H505" s="3486"/>
      <c r="I505" s="3486"/>
      <c r="J505" s="3486"/>
      <c r="K505" s="3486"/>
      <c r="L505" s="3486"/>
      <c r="M505" s="3486"/>
      <c r="N505" s="3486"/>
      <c r="O505" s="3486"/>
      <c r="P505" s="3486"/>
      <c r="Q505" s="3486"/>
      <c r="R505" s="3486"/>
      <c r="S505" s="3486"/>
      <c r="T505" s="3486"/>
      <c r="U505" s="3486"/>
      <c r="V505" s="3486"/>
      <c r="W505" s="3486"/>
      <c r="X505" s="3486"/>
      <c r="Y505" s="3943"/>
    </row>
    <row r="506" spans="1:25" s="3492" customFormat="1">
      <c r="A506" s="3485"/>
      <c r="B506" s="3486"/>
      <c r="C506" s="3486"/>
      <c r="D506" s="3486"/>
      <c r="E506" s="3486"/>
      <c r="F506" s="3486"/>
      <c r="G506" s="3486"/>
      <c r="H506" s="3486"/>
      <c r="I506" s="3486"/>
      <c r="J506" s="3486"/>
      <c r="K506" s="3486"/>
      <c r="L506" s="3486"/>
      <c r="M506" s="3486"/>
      <c r="N506" s="3486"/>
      <c r="O506" s="3486"/>
      <c r="P506" s="3486"/>
      <c r="Q506" s="3486"/>
      <c r="R506" s="3486"/>
      <c r="S506" s="3486"/>
      <c r="T506" s="3486"/>
      <c r="U506" s="3486"/>
      <c r="V506" s="3486"/>
      <c r="W506" s="3486"/>
      <c r="X506" s="3486"/>
      <c r="Y506" s="3943"/>
    </row>
    <row r="507" spans="1:25" s="3492" customFormat="1">
      <c r="A507" s="3485"/>
      <c r="B507" s="3486"/>
      <c r="C507" s="3486"/>
      <c r="D507" s="3486"/>
      <c r="E507" s="3486"/>
      <c r="F507" s="3486"/>
      <c r="G507" s="3486"/>
      <c r="H507" s="3486"/>
      <c r="I507" s="3486"/>
      <c r="J507" s="3486"/>
      <c r="K507" s="3486"/>
      <c r="L507" s="3486"/>
      <c r="M507" s="3486"/>
      <c r="N507" s="3486"/>
      <c r="O507" s="3486"/>
      <c r="P507" s="3486"/>
      <c r="Q507" s="3486"/>
      <c r="R507" s="3486"/>
      <c r="S507" s="3486"/>
      <c r="T507" s="3486"/>
      <c r="U507" s="3486"/>
      <c r="V507" s="3486"/>
      <c r="W507" s="3486"/>
      <c r="X507" s="3486"/>
      <c r="Y507" s="3943"/>
    </row>
    <row r="508" spans="1:25" s="3492" customFormat="1">
      <c r="A508" s="3485"/>
      <c r="B508" s="3486"/>
      <c r="C508" s="3486"/>
      <c r="D508" s="3486"/>
      <c r="E508" s="3486"/>
      <c r="F508" s="3486"/>
      <c r="G508" s="3486"/>
      <c r="H508" s="3486"/>
      <c r="I508" s="3486"/>
      <c r="J508" s="3486"/>
      <c r="K508" s="3486"/>
      <c r="L508" s="3486"/>
      <c r="M508" s="3486"/>
      <c r="N508" s="3486"/>
      <c r="O508" s="3486"/>
      <c r="P508" s="3486"/>
      <c r="Q508" s="3486"/>
      <c r="R508" s="3486"/>
      <c r="S508" s="3486"/>
      <c r="T508" s="3486"/>
      <c r="U508" s="3486"/>
      <c r="V508" s="3486"/>
      <c r="W508" s="3486"/>
      <c r="X508" s="3486"/>
      <c r="Y508" s="3943"/>
    </row>
    <row r="509" spans="1:25" s="3492" customFormat="1">
      <c r="A509" s="3485"/>
      <c r="B509" s="3486"/>
      <c r="C509" s="3486"/>
      <c r="D509" s="3486"/>
      <c r="E509" s="3486"/>
      <c r="F509" s="3486"/>
      <c r="G509" s="3486"/>
      <c r="H509" s="3486"/>
      <c r="I509" s="3486"/>
      <c r="J509" s="3486"/>
      <c r="K509" s="3486"/>
      <c r="L509" s="3486"/>
      <c r="M509" s="3486"/>
      <c r="N509" s="3486"/>
      <c r="O509" s="3486"/>
      <c r="P509" s="3486"/>
      <c r="Q509" s="3486"/>
      <c r="R509" s="3486"/>
      <c r="S509" s="3486"/>
      <c r="T509" s="3486"/>
      <c r="U509" s="3486"/>
      <c r="V509" s="3486"/>
      <c r="W509" s="3486"/>
      <c r="X509" s="3486"/>
      <c r="Y509" s="3943"/>
    </row>
    <row r="510" spans="1:25" s="3492" customFormat="1">
      <c r="A510" s="3485"/>
      <c r="B510" s="3486"/>
      <c r="C510" s="3486"/>
      <c r="D510" s="3486"/>
      <c r="E510" s="3486"/>
      <c r="F510" s="3486"/>
      <c r="G510" s="3486"/>
      <c r="H510" s="3486"/>
      <c r="I510" s="3486"/>
      <c r="J510" s="3486"/>
      <c r="K510" s="3486"/>
      <c r="L510" s="3486"/>
      <c r="M510" s="3486"/>
      <c r="N510" s="3486"/>
      <c r="O510" s="3486"/>
      <c r="P510" s="3486"/>
      <c r="Q510" s="3486"/>
      <c r="R510" s="3486"/>
      <c r="S510" s="3486"/>
      <c r="T510" s="3486"/>
      <c r="U510" s="3486"/>
      <c r="V510" s="3486"/>
      <c r="W510" s="3486"/>
      <c r="X510" s="3486"/>
      <c r="Y510" s="3943"/>
    </row>
    <row r="511" spans="1:25" s="3492" customFormat="1">
      <c r="A511" s="3485"/>
      <c r="B511" s="3486"/>
      <c r="C511" s="3486"/>
      <c r="D511" s="3486"/>
      <c r="E511" s="3486"/>
      <c r="F511" s="3486"/>
      <c r="G511" s="3486"/>
      <c r="H511" s="3486"/>
      <c r="I511" s="3486"/>
      <c r="J511" s="3486"/>
      <c r="K511" s="3486"/>
      <c r="L511" s="3486"/>
      <c r="M511" s="3486"/>
      <c r="N511" s="3486"/>
      <c r="O511" s="3486"/>
      <c r="P511" s="3486"/>
      <c r="Q511" s="3486"/>
      <c r="R511" s="3486"/>
      <c r="S511" s="3486"/>
      <c r="T511" s="3486"/>
      <c r="U511" s="3486"/>
      <c r="V511" s="3486"/>
      <c r="W511" s="3486"/>
      <c r="X511" s="3486"/>
      <c r="Y511" s="3943"/>
    </row>
    <row r="512" spans="1:25" s="3492" customFormat="1">
      <c r="A512" s="3485"/>
      <c r="B512" s="3486"/>
      <c r="C512" s="3486"/>
      <c r="D512" s="3486"/>
      <c r="E512" s="3486"/>
      <c r="F512" s="3486"/>
      <c r="G512" s="3486"/>
      <c r="H512" s="3486"/>
      <c r="I512" s="3486"/>
      <c r="J512" s="3486"/>
      <c r="K512" s="3486"/>
      <c r="L512" s="3486"/>
      <c r="M512" s="3486"/>
      <c r="N512" s="3486"/>
      <c r="O512" s="3486"/>
      <c r="P512" s="3486"/>
      <c r="Q512" s="3486"/>
      <c r="R512" s="3486"/>
      <c r="S512" s="3486"/>
      <c r="T512" s="3486"/>
      <c r="U512" s="3486"/>
      <c r="V512" s="3486"/>
      <c r="W512" s="3486"/>
      <c r="X512" s="3486"/>
      <c r="Y512" s="3943"/>
    </row>
    <row r="513" spans="1:25" s="3492" customFormat="1">
      <c r="A513" s="3485"/>
      <c r="B513" s="3486"/>
      <c r="C513" s="3486"/>
      <c r="D513" s="3486"/>
      <c r="E513" s="3486"/>
      <c r="F513" s="3486"/>
      <c r="G513" s="3486"/>
      <c r="H513" s="3486"/>
      <c r="I513" s="3486"/>
      <c r="J513" s="3486"/>
      <c r="K513" s="3486"/>
      <c r="L513" s="3486"/>
      <c r="M513" s="3486"/>
      <c r="N513" s="3486"/>
      <c r="O513" s="3486"/>
      <c r="P513" s="3486"/>
      <c r="Q513" s="3486"/>
      <c r="R513" s="3486"/>
      <c r="S513" s="3486"/>
      <c r="T513" s="3486"/>
      <c r="U513" s="3486"/>
      <c r="V513" s="3486"/>
      <c r="W513" s="3486"/>
      <c r="X513" s="3486"/>
      <c r="Y513" s="3943"/>
    </row>
    <row r="514" spans="1:25" s="3492" customFormat="1">
      <c r="A514" s="3485"/>
      <c r="B514" s="3486"/>
      <c r="C514" s="3486"/>
      <c r="D514" s="3486"/>
      <c r="E514" s="3486"/>
      <c r="F514" s="3486"/>
      <c r="G514" s="3486"/>
      <c r="H514" s="3486"/>
      <c r="I514" s="3486"/>
      <c r="J514" s="3486"/>
      <c r="K514" s="3486"/>
      <c r="L514" s="3486"/>
      <c r="M514" s="3486"/>
      <c r="N514" s="3486"/>
      <c r="O514" s="3486"/>
      <c r="P514" s="3486"/>
      <c r="Q514" s="3486"/>
      <c r="R514" s="3486"/>
      <c r="S514" s="3486"/>
      <c r="T514" s="3486"/>
      <c r="U514" s="3486"/>
      <c r="V514" s="3486"/>
      <c r="W514" s="3486"/>
      <c r="X514" s="3486"/>
      <c r="Y514" s="3943"/>
    </row>
    <row r="515" spans="1:25" s="3492" customFormat="1">
      <c r="A515" s="3485"/>
      <c r="B515" s="3486"/>
      <c r="C515" s="3486"/>
      <c r="D515" s="3486"/>
      <c r="E515" s="3486"/>
      <c r="F515" s="3486"/>
      <c r="G515" s="3486"/>
      <c r="H515" s="3486"/>
      <c r="I515" s="3486"/>
      <c r="J515" s="3486"/>
      <c r="K515" s="3486"/>
      <c r="L515" s="3486"/>
      <c r="M515" s="3486"/>
      <c r="N515" s="3486"/>
      <c r="O515" s="3486"/>
      <c r="P515" s="3486"/>
      <c r="Q515" s="3486"/>
      <c r="R515" s="3486"/>
      <c r="S515" s="3486"/>
      <c r="T515" s="3486"/>
      <c r="U515" s="3486"/>
      <c r="V515" s="3486"/>
      <c r="W515" s="3486"/>
      <c r="X515" s="3486"/>
      <c r="Y515" s="3943"/>
    </row>
    <row r="516" spans="1:25" s="3492" customFormat="1">
      <c r="A516" s="3485"/>
      <c r="B516" s="3486"/>
      <c r="C516" s="3486"/>
      <c r="D516" s="3486"/>
      <c r="E516" s="3486"/>
      <c r="F516" s="3486"/>
      <c r="G516" s="3486"/>
      <c r="H516" s="3486"/>
      <c r="I516" s="3486"/>
      <c r="J516" s="3486"/>
      <c r="K516" s="3486"/>
      <c r="L516" s="3486"/>
      <c r="M516" s="3486"/>
      <c r="N516" s="3486"/>
      <c r="O516" s="3486"/>
      <c r="P516" s="3486"/>
      <c r="Q516" s="3486"/>
      <c r="R516" s="3486"/>
      <c r="S516" s="3486"/>
      <c r="T516" s="3486"/>
      <c r="U516" s="3486"/>
      <c r="V516" s="3486"/>
      <c r="W516" s="3486"/>
      <c r="X516" s="3486"/>
      <c r="Y516" s="3943"/>
    </row>
    <row r="517" spans="1:25" s="3492" customFormat="1">
      <c r="A517" s="3485"/>
      <c r="B517" s="3486"/>
      <c r="C517" s="3486"/>
      <c r="D517" s="3486"/>
      <c r="E517" s="3486"/>
      <c r="F517" s="3486"/>
      <c r="G517" s="3486"/>
      <c r="H517" s="3486"/>
      <c r="I517" s="3486"/>
      <c r="J517" s="3486"/>
      <c r="K517" s="3486"/>
      <c r="L517" s="3486"/>
      <c r="M517" s="3486"/>
      <c r="N517" s="3486"/>
      <c r="O517" s="3486"/>
      <c r="P517" s="3486"/>
      <c r="Q517" s="3486"/>
      <c r="R517" s="3486"/>
      <c r="S517" s="3486"/>
      <c r="T517" s="3486"/>
      <c r="U517" s="3486"/>
      <c r="V517" s="3486"/>
      <c r="W517" s="3486"/>
      <c r="X517" s="3486"/>
      <c r="Y517" s="3943"/>
    </row>
    <row r="518" spans="1:25" s="3492" customFormat="1">
      <c r="A518" s="3485"/>
      <c r="B518" s="3486"/>
      <c r="C518" s="3486"/>
      <c r="D518" s="3486"/>
      <c r="E518" s="3486"/>
      <c r="F518" s="3486"/>
      <c r="G518" s="3486"/>
      <c r="H518" s="3486"/>
      <c r="I518" s="3486"/>
      <c r="J518" s="3486"/>
      <c r="K518" s="3486"/>
      <c r="L518" s="3486"/>
      <c r="M518" s="3486"/>
      <c r="N518" s="3486"/>
      <c r="O518" s="3486"/>
      <c r="P518" s="3486"/>
      <c r="Q518" s="3486"/>
      <c r="R518" s="3486"/>
      <c r="S518" s="3486"/>
      <c r="T518" s="3486"/>
      <c r="U518" s="3486"/>
      <c r="V518" s="3486"/>
      <c r="W518" s="3486"/>
      <c r="X518" s="3486"/>
      <c r="Y518" s="3943"/>
    </row>
    <row r="519" spans="1:25" s="3492" customFormat="1">
      <c r="A519" s="3485"/>
      <c r="B519" s="3486"/>
      <c r="C519" s="3486"/>
      <c r="D519" s="3486"/>
      <c r="E519" s="3486"/>
      <c r="F519" s="3486"/>
      <c r="G519" s="3486"/>
      <c r="H519" s="3486"/>
      <c r="I519" s="3486"/>
      <c r="J519" s="3486"/>
      <c r="K519" s="3486"/>
      <c r="L519" s="3486"/>
      <c r="M519" s="3486"/>
      <c r="N519" s="3486"/>
      <c r="O519" s="3486"/>
      <c r="P519" s="3486"/>
      <c r="Q519" s="3486"/>
      <c r="R519" s="3486"/>
      <c r="S519" s="3486"/>
      <c r="T519" s="3486"/>
      <c r="U519" s="3486"/>
      <c r="V519" s="3486"/>
      <c r="W519" s="3486"/>
      <c r="X519" s="3486"/>
      <c r="Y519" s="3943"/>
    </row>
    <row r="520" spans="1:25" s="3492" customFormat="1">
      <c r="A520" s="3485"/>
      <c r="B520" s="3486"/>
      <c r="C520" s="3486"/>
      <c r="D520" s="3486"/>
      <c r="E520" s="3486"/>
      <c r="F520" s="3486"/>
      <c r="G520" s="3486"/>
      <c r="H520" s="3486"/>
      <c r="I520" s="3486"/>
      <c r="J520" s="3486"/>
      <c r="K520" s="3486"/>
      <c r="L520" s="3486"/>
      <c r="M520" s="3486"/>
      <c r="N520" s="3486"/>
      <c r="O520" s="3486"/>
      <c r="P520" s="3486"/>
      <c r="Q520" s="3486"/>
      <c r="R520" s="3486"/>
      <c r="S520" s="3486"/>
      <c r="T520" s="3486"/>
      <c r="U520" s="3486"/>
      <c r="V520" s="3486"/>
      <c r="W520" s="3486"/>
      <c r="X520" s="3486"/>
      <c r="Y520" s="3943"/>
    </row>
    <row r="521" spans="1:25" s="3492" customFormat="1">
      <c r="A521" s="3485"/>
      <c r="B521" s="3486"/>
      <c r="C521" s="3486"/>
      <c r="D521" s="3486"/>
      <c r="E521" s="3486"/>
      <c r="F521" s="3486"/>
      <c r="G521" s="3486"/>
      <c r="H521" s="3486"/>
      <c r="I521" s="3486"/>
      <c r="J521" s="3486"/>
      <c r="K521" s="3486"/>
      <c r="L521" s="3486"/>
      <c r="M521" s="3486"/>
      <c r="N521" s="3486"/>
      <c r="O521" s="3486"/>
      <c r="P521" s="3486"/>
      <c r="Q521" s="3486"/>
      <c r="R521" s="3486"/>
      <c r="S521" s="3486"/>
      <c r="T521" s="3486"/>
      <c r="U521" s="3486"/>
      <c r="V521" s="3486"/>
      <c r="W521" s="3486"/>
      <c r="X521" s="3486"/>
      <c r="Y521" s="3943"/>
    </row>
    <row r="522" spans="1:25" s="3492" customFormat="1">
      <c r="A522" s="3485"/>
      <c r="B522" s="3486"/>
      <c r="C522" s="3486"/>
      <c r="D522" s="3486"/>
      <c r="E522" s="3486"/>
      <c r="F522" s="3486"/>
      <c r="G522" s="3486"/>
      <c r="H522" s="3486"/>
      <c r="I522" s="3486"/>
      <c r="J522" s="3486"/>
      <c r="K522" s="3486"/>
      <c r="L522" s="3486"/>
      <c r="M522" s="3486"/>
      <c r="N522" s="3486"/>
      <c r="O522" s="3486"/>
      <c r="P522" s="3486"/>
      <c r="Q522" s="3486"/>
      <c r="R522" s="3486"/>
      <c r="S522" s="3486"/>
      <c r="T522" s="3486"/>
      <c r="U522" s="3486"/>
      <c r="V522" s="3486"/>
      <c r="W522" s="3486"/>
      <c r="X522" s="3486"/>
      <c r="Y522" s="3943"/>
    </row>
    <row r="523" spans="1:25" s="3492" customFormat="1">
      <c r="A523" s="3485"/>
      <c r="B523" s="3486"/>
      <c r="C523" s="3486"/>
      <c r="D523" s="3486"/>
      <c r="E523" s="3486"/>
      <c r="F523" s="3486"/>
      <c r="G523" s="3486"/>
      <c r="H523" s="3486"/>
      <c r="I523" s="3486"/>
      <c r="J523" s="3486"/>
      <c r="K523" s="3486"/>
      <c r="L523" s="3486"/>
      <c r="M523" s="3486"/>
      <c r="N523" s="3486"/>
      <c r="O523" s="3486"/>
      <c r="P523" s="3486"/>
      <c r="Q523" s="3486"/>
      <c r="R523" s="3486"/>
      <c r="S523" s="3486"/>
      <c r="T523" s="3486"/>
      <c r="U523" s="3486"/>
      <c r="V523" s="3486"/>
      <c r="W523" s="3486"/>
      <c r="X523" s="3486"/>
      <c r="Y523" s="3943"/>
    </row>
    <row r="524" spans="1:25" s="3492" customFormat="1">
      <c r="A524" s="3485"/>
      <c r="B524" s="3486"/>
      <c r="C524" s="3486"/>
      <c r="D524" s="3486"/>
      <c r="E524" s="3486"/>
      <c r="F524" s="3486"/>
      <c r="G524" s="3486"/>
      <c r="H524" s="3486"/>
      <c r="I524" s="3486"/>
      <c r="J524" s="3486"/>
      <c r="K524" s="3486"/>
      <c r="L524" s="3486"/>
      <c r="M524" s="3486"/>
      <c r="N524" s="3486"/>
      <c r="O524" s="3486"/>
      <c r="P524" s="3486"/>
      <c r="Q524" s="3486"/>
      <c r="R524" s="3486"/>
      <c r="S524" s="3486"/>
      <c r="T524" s="3486"/>
      <c r="U524" s="3486"/>
      <c r="V524" s="3486"/>
      <c r="W524" s="3486"/>
      <c r="X524" s="3486"/>
      <c r="Y524" s="3943"/>
    </row>
    <row r="525" spans="1:25" s="3492" customFormat="1">
      <c r="A525" s="3485"/>
      <c r="B525" s="3486"/>
      <c r="C525" s="3486"/>
      <c r="D525" s="3486"/>
      <c r="E525" s="3486"/>
      <c r="F525" s="3486"/>
      <c r="G525" s="3486"/>
      <c r="H525" s="3486"/>
      <c r="I525" s="3486"/>
      <c r="J525" s="3486"/>
      <c r="K525" s="3486"/>
      <c r="L525" s="3486"/>
      <c r="M525" s="3486"/>
      <c r="N525" s="3486"/>
      <c r="O525" s="3486"/>
      <c r="P525" s="3486"/>
      <c r="Q525" s="3486"/>
      <c r="R525" s="3486"/>
      <c r="S525" s="3486"/>
      <c r="T525" s="3486"/>
      <c r="U525" s="3486"/>
      <c r="V525" s="3486"/>
      <c r="W525" s="3486"/>
      <c r="X525" s="3486"/>
      <c r="Y525" s="3943"/>
    </row>
    <row r="526" spans="1:25" s="3492" customFormat="1">
      <c r="A526" s="3485"/>
      <c r="B526" s="3486"/>
      <c r="C526" s="3486"/>
      <c r="D526" s="3486"/>
      <c r="E526" s="3486"/>
      <c r="F526" s="3486"/>
      <c r="G526" s="3486"/>
      <c r="H526" s="3486"/>
      <c r="I526" s="3486"/>
      <c r="J526" s="3486"/>
      <c r="K526" s="3486"/>
      <c r="L526" s="3486"/>
      <c r="M526" s="3486"/>
      <c r="N526" s="3486"/>
      <c r="O526" s="3486"/>
      <c r="P526" s="3486"/>
      <c r="Q526" s="3486"/>
      <c r="R526" s="3486"/>
      <c r="S526" s="3486"/>
      <c r="T526" s="3486"/>
      <c r="U526" s="3486"/>
      <c r="V526" s="3486"/>
      <c r="W526" s="3486"/>
      <c r="X526" s="3486"/>
      <c r="Y526" s="3943"/>
    </row>
    <row r="527" spans="1:25" s="3492" customFormat="1">
      <c r="A527" s="3485"/>
      <c r="B527" s="3486"/>
      <c r="C527" s="3486"/>
      <c r="D527" s="3486"/>
      <c r="E527" s="3486"/>
      <c r="F527" s="3486"/>
      <c r="G527" s="3486"/>
      <c r="H527" s="3486"/>
      <c r="I527" s="3486"/>
      <c r="J527" s="3486"/>
      <c r="K527" s="3486"/>
      <c r="L527" s="3486"/>
      <c r="M527" s="3486"/>
      <c r="N527" s="3486"/>
      <c r="O527" s="3486"/>
      <c r="P527" s="3486"/>
      <c r="Q527" s="3486"/>
      <c r="R527" s="3486"/>
      <c r="S527" s="3486"/>
      <c r="T527" s="3486"/>
      <c r="U527" s="3486"/>
      <c r="V527" s="3486"/>
      <c r="W527" s="3486"/>
      <c r="X527" s="3486"/>
      <c r="Y527" s="3943"/>
    </row>
    <row r="528" spans="1:25" s="3492" customFormat="1">
      <c r="A528" s="3485"/>
      <c r="B528" s="3486"/>
      <c r="C528" s="3486"/>
      <c r="D528" s="3486"/>
      <c r="E528" s="3486"/>
      <c r="F528" s="3486"/>
      <c r="G528" s="3486"/>
      <c r="H528" s="3486"/>
      <c r="I528" s="3486"/>
      <c r="J528" s="3486"/>
      <c r="K528" s="3486"/>
      <c r="L528" s="3486"/>
      <c r="M528" s="3486"/>
      <c r="N528" s="3486"/>
      <c r="O528" s="3486"/>
      <c r="P528" s="3486"/>
      <c r="Q528" s="3486"/>
      <c r="R528" s="3486"/>
      <c r="S528" s="3486"/>
      <c r="T528" s="3486"/>
      <c r="U528" s="3486"/>
      <c r="V528" s="3486"/>
      <c r="W528" s="3486"/>
      <c r="X528" s="3486"/>
      <c r="Y528" s="3943"/>
    </row>
    <row r="529" spans="1:25" s="3492" customFormat="1">
      <c r="A529" s="3485"/>
      <c r="B529" s="3486"/>
      <c r="C529" s="3486"/>
      <c r="D529" s="3486"/>
      <c r="E529" s="3486"/>
      <c r="F529" s="3486"/>
      <c r="G529" s="3486"/>
      <c r="H529" s="3486"/>
      <c r="I529" s="3486"/>
      <c r="J529" s="3486"/>
      <c r="K529" s="3486"/>
      <c r="L529" s="3486"/>
      <c r="M529" s="3486"/>
      <c r="N529" s="3486"/>
      <c r="O529" s="3486"/>
      <c r="P529" s="3486"/>
      <c r="Q529" s="3486"/>
      <c r="R529" s="3486"/>
      <c r="S529" s="3486"/>
      <c r="T529" s="3486"/>
      <c r="U529" s="3486"/>
      <c r="V529" s="3486"/>
      <c r="W529" s="3486"/>
      <c r="X529" s="3486"/>
      <c r="Y529" s="3943"/>
    </row>
    <row r="530" spans="1:25" s="3492" customFormat="1">
      <c r="A530" s="3485"/>
      <c r="B530" s="3486"/>
      <c r="C530" s="3486"/>
      <c r="D530" s="3486"/>
      <c r="E530" s="3486"/>
      <c r="F530" s="3486"/>
      <c r="G530" s="3486"/>
      <c r="H530" s="3486"/>
      <c r="I530" s="3486"/>
      <c r="J530" s="3486"/>
      <c r="K530" s="3486"/>
      <c r="L530" s="3486"/>
      <c r="M530" s="3486"/>
      <c r="N530" s="3486"/>
      <c r="O530" s="3486"/>
      <c r="P530" s="3486"/>
      <c r="Q530" s="3486"/>
      <c r="R530" s="3486"/>
      <c r="S530" s="3486"/>
      <c r="T530" s="3486"/>
      <c r="U530" s="3486"/>
      <c r="V530" s="3486"/>
      <c r="W530" s="3486"/>
      <c r="X530" s="3486"/>
      <c r="Y530" s="3943"/>
    </row>
    <row r="531" spans="1:25" s="3492" customFormat="1">
      <c r="A531" s="3485"/>
      <c r="B531" s="3486"/>
      <c r="C531" s="3486"/>
      <c r="D531" s="3486"/>
      <c r="E531" s="3486"/>
      <c r="F531" s="3486"/>
      <c r="G531" s="3486"/>
      <c r="H531" s="3486"/>
      <c r="I531" s="3486"/>
      <c r="J531" s="3486"/>
      <c r="K531" s="3486"/>
      <c r="L531" s="3486"/>
      <c r="M531" s="3486"/>
      <c r="N531" s="3486"/>
      <c r="O531" s="3486"/>
      <c r="P531" s="3486"/>
      <c r="Q531" s="3486"/>
      <c r="R531" s="3486"/>
      <c r="S531" s="3486"/>
      <c r="T531" s="3486"/>
      <c r="U531" s="3486"/>
      <c r="V531" s="3486"/>
      <c r="W531" s="3486"/>
      <c r="X531" s="3486"/>
      <c r="Y531" s="3943"/>
    </row>
    <row r="532" spans="1:25" s="3492" customFormat="1">
      <c r="A532" s="3485"/>
      <c r="B532" s="3486"/>
      <c r="C532" s="3486"/>
      <c r="D532" s="3486"/>
      <c r="E532" s="3486"/>
      <c r="F532" s="3486"/>
      <c r="G532" s="3486"/>
      <c r="H532" s="3486"/>
      <c r="I532" s="3486"/>
      <c r="J532" s="3486"/>
      <c r="K532" s="3486"/>
      <c r="L532" s="3486"/>
      <c r="M532" s="3486"/>
      <c r="N532" s="3486"/>
      <c r="O532" s="3486"/>
      <c r="P532" s="3486"/>
      <c r="Q532" s="3486"/>
      <c r="R532" s="3486"/>
      <c r="S532" s="3486"/>
      <c r="T532" s="3486"/>
      <c r="U532" s="3486"/>
      <c r="V532" s="3486"/>
      <c r="W532" s="3486"/>
      <c r="X532" s="3486"/>
      <c r="Y532" s="3943"/>
    </row>
    <row r="533" spans="1:25" s="3492" customFormat="1">
      <c r="A533" s="3485"/>
      <c r="B533" s="3486"/>
      <c r="C533" s="3486"/>
      <c r="D533" s="3486"/>
      <c r="E533" s="3486"/>
      <c r="F533" s="3486"/>
      <c r="G533" s="3486"/>
      <c r="H533" s="3486"/>
      <c r="I533" s="3486"/>
      <c r="J533" s="3486"/>
      <c r="K533" s="3486"/>
      <c r="L533" s="3486"/>
      <c r="M533" s="3486"/>
      <c r="N533" s="3486"/>
      <c r="O533" s="3486"/>
      <c r="P533" s="3486"/>
      <c r="Q533" s="3486"/>
      <c r="R533" s="3486"/>
      <c r="S533" s="3486"/>
      <c r="T533" s="3486"/>
      <c r="U533" s="3486"/>
      <c r="V533" s="3486"/>
      <c r="W533" s="3486"/>
      <c r="X533" s="3486"/>
      <c r="Y533" s="3943"/>
    </row>
    <row r="534" spans="1:25" s="3492" customFormat="1">
      <c r="A534" s="3485"/>
      <c r="B534" s="3486"/>
      <c r="C534" s="3486"/>
      <c r="D534" s="3486"/>
      <c r="E534" s="3486"/>
      <c r="F534" s="3486"/>
      <c r="G534" s="3486"/>
      <c r="H534" s="3486"/>
      <c r="I534" s="3486"/>
      <c r="J534" s="3486"/>
      <c r="K534" s="3486"/>
      <c r="L534" s="3486"/>
      <c r="M534" s="3486"/>
      <c r="N534" s="3486"/>
      <c r="O534" s="3486"/>
      <c r="P534" s="3486"/>
      <c r="Q534" s="3486"/>
      <c r="R534" s="3486"/>
      <c r="S534" s="3486"/>
      <c r="T534" s="3486"/>
      <c r="U534" s="3486"/>
      <c r="V534" s="3486"/>
      <c r="W534" s="3486"/>
      <c r="X534" s="3486"/>
      <c r="Y534" s="3943"/>
    </row>
    <row r="535" spans="1:25" s="3492" customFormat="1">
      <c r="A535" s="3485"/>
      <c r="B535" s="3486"/>
      <c r="C535" s="3486"/>
      <c r="D535" s="3486"/>
      <c r="E535" s="3486"/>
      <c r="F535" s="3486"/>
      <c r="G535" s="3486"/>
      <c r="H535" s="3486"/>
      <c r="I535" s="3486"/>
      <c r="J535" s="3486"/>
      <c r="K535" s="3486"/>
      <c r="L535" s="3486"/>
      <c r="M535" s="3486"/>
      <c r="N535" s="3486"/>
      <c r="O535" s="3486"/>
      <c r="P535" s="3486"/>
      <c r="Q535" s="3486"/>
      <c r="R535" s="3486"/>
      <c r="S535" s="3486"/>
      <c r="T535" s="3486"/>
      <c r="U535" s="3486"/>
      <c r="V535" s="3486"/>
      <c r="W535" s="3486"/>
      <c r="X535" s="3486"/>
      <c r="Y535" s="3943"/>
    </row>
    <row r="536" spans="1:25" s="3492" customFormat="1">
      <c r="A536" s="3485"/>
      <c r="B536" s="3486"/>
      <c r="C536" s="3486"/>
      <c r="D536" s="3486"/>
      <c r="E536" s="3486"/>
      <c r="F536" s="3486"/>
      <c r="G536" s="3486"/>
      <c r="H536" s="3486"/>
      <c r="I536" s="3486"/>
      <c r="J536" s="3486"/>
      <c r="K536" s="3486"/>
      <c r="L536" s="3486"/>
      <c r="M536" s="3486"/>
      <c r="N536" s="3486"/>
      <c r="O536" s="3486"/>
      <c r="P536" s="3486"/>
      <c r="Q536" s="3486"/>
      <c r="R536" s="3486"/>
      <c r="S536" s="3486"/>
      <c r="T536" s="3486"/>
      <c r="U536" s="3486"/>
      <c r="V536" s="3486"/>
      <c r="W536" s="3486"/>
      <c r="X536" s="3486"/>
      <c r="Y536" s="3943"/>
    </row>
    <row r="537" spans="1:25" s="3492" customFormat="1" ht="13.5" thickBot="1">
      <c r="A537" s="3485"/>
      <c r="B537" s="3486"/>
      <c r="C537" s="3486"/>
      <c r="D537" s="3486"/>
      <c r="E537" s="3486"/>
      <c r="F537" s="3486"/>
      <c r="G537" s="3486"/>
      <c r="H537" s="3486"/>
      <c r="I537" s="3486"/>
      <c r="J537" s="3486"/>
      <c r="K537" s="3486"/>
      <c r="L537" s="3486"/>
      <c r="M537" s="3486"/>
      <c r="N537" s="3486"/>
      <c r="O537" s="3486"/>
      <c r="P537" s="3486"/>
      <c r="Q537" s="3486"/>
      <c r="R537" s="3486"/>
      <c r="S537" s="3486"/>
      <c r="T537" s="3486"/>
      <c r="U537" s="3486"/>
      <c r="V537" s="3486"/>
      <c r="W537" s="3486"/>
      <c r="X537" s="3486"/>
      <c r="Y537" s="3943"/>
    </row>
    <row r="538" spans="1:25" s="3492" customFormat="1" ht="33.75">
      <c r="A538" s="3955"/>
      <c r="B538" s="3956" t="s">
        <v>85</v>
      </c>
      <c r="C538" s="3956"/>
      <c r="D538" s="3957"/>
      <c r="E538" s="3957"/>
      <c r="F538" s="3957"/>
      <c r="G538" s="3957"/>
      <c r="H538" s="3957"/>
      <c r="I538" s="3957"/>
      <c r="J538" s="3957"/>
      <c r="K538" s="3957"/>
      <c r="L538" s="3957"/>
      <c r="M538" s="3957"/>
      <c r="N538" s="3957"/>
      <c r="O538" s="3957"/>
      <c r="P538" s="3957"/>
      <c r="Q538" s="3957"/>
      <c r="R538" s="3957"/>
      <c r="S538" s="3957"/>
      <c r="T538" s="3957"/>
      <c r="U538" s="3957"/>
      <c r="V538" s="3957"/>
      <c r="W538" s="3957"/>
      <c r="X538" s="3957"/>
      <c r="Y538" s="3958"/>
    </row>
    <row r="539" spans="1:25" s="3492" customFormat="1">
      <c r="A539" s="3959"/>
      <c r="B539" s="3486"/>
      <c r="C539" s="3486"/>
      <c r="D539" s="3486"/>
      <c r="E539" s="3486"/>
      <c r="F539" s="3486"/>
      <c r="G539" s="3486"/>
      <c r="H539" s="3486"/>
      <c r="I539" s="3486"/>
      <c r="J539" s="3486"/>
      <c r="K539" s="3486"/>
      <c r="L539" s="3486"/>
      <c r="M539" s="3486"/>
      <c r="N539" s="3486"/>
      <c r="O539" s="3486"/>
      <c r="P539" s="3486"/>
      <c r="Q539" s="3486"/>
      <c r="R539" s="3486"/>
      <c r="S539" s="3486"/>
      <c r="T539" s="3486"/>
      <c r="U539" s="3486"/>
      <c r="V539" s="3486"/>
      <c r="W539" s="3486"/>
      <c r="X539" s="3486"/>
      <c r="Y539" s="3960"/>
    </row>
    <row r="540" spans="1:25" s="3492" customFormat="1">
      <c r="A540" s="3959"/>
      <c r="B540" s="3486"/>
      <c r="C540" s="3486"/>
      <c r="D540" s="3486"/>
      <c r="E540" s="3486"/>
      <c r="F540" s="3486"/>
      <c r="G540" s="3486"/>
      <c r="H540" s="3486"/>
      <c r="I540" s="3486"/>
      <c r="J540" s="3486"/>
      <c r="K540" s="3486"/>
      <c r="L540" s="3486"/>
      <c r="M540" s="3486"/>
      <c r="N540" s="3486"/>
      <c r="O540" s="3486"/>
      <c r="P540" s="3486"/>
      <c r="Q540" s="3486"/>
      <c r="R540" s="3486"/>
      <c r="S540" s="3486"/>
      <c r="T540" s="3486"/>
      <c r="U540" s="3486"/>
      <c r="V540" s="3486"/>
      <c r="W540" s="3486"/>
      <c r="X540" s="3486"/>
      <c r="Y540" s="3960"/>
    </row>
    <row r="541" spans="1:25" s="3492" customFormat="1">
      <c r="A541" s="3959"/>
      <c r="B541" s="3486"/>
      <c r="C541" s="3486"/>
      <c r="D541" s="3486"/>
      <c r="E541" s="3486"/>
      <c r="F541" s="3486"/>
      <c r="G541" s="3486"/>
      <c r="H541" s="3486"/>
      <c r="I541" s="3486"/>
      <c r="J541" s="3486"/>
      <c r="K541" s="3486"/>
      <c r="L541" s="3486"/>
      <c r="M541" s="3486"/>
      <c r="N541" s="3486"/>
      <c r="O541" s="3486"/>
      <c r="P541" s="3486"/>
      <c r="Q541" s="3486"/>
      <c r="R541" s="3486"/>
      <c r="S541" s="3486"/>
      <c r="T541" s="3486"/>
      <c r="U541" s="3486"/>
      <c r="V541" s="3486"/>
      <c r="W541" s="3486"/>
      <c r="X541" s="3486"/>
      <c r="Y541" s="3960"/>
    </row>
    <row r="542" spans="1:25" s="3492" customFormat="1">
      <c r="A542" s="3959"/>
      <c r="B542" s="3486"/>
      <c r="C542" s="3486"/>
      <c r="D542" s="3486"/>
      <c r="E542" s="3486"/>
      <c r="F542" s="3486"/>
      <c r="G542" s="3486"/>
      <c r="H542" s="3486"/>
      <c r="I542" s="3486"/>
      <c r="J542" s="3486"/>
      <c r="K542" s="3486"/>
      <c r="L542" s="3486"/>
      <c r="M542" s="3486"/>
      <c r="N542" s="3486"/>
      <c r="O542" s="3486"/>
      <c r="P542" s="3486"/>
      <c r="Q542" s="3486"/>
      <c r="R542" s="3486"/>
      <c r="S542" s="3486"/>
      <c r="T542" s="3486"/>
      <c r="U542" s="3486"/>
      <c r="V542" s="3486"/>
      <c r="W542" s="3486"/>
      <c r="X542" s="3486"/>
      <c r="Y542" s="3960"/>
    </row>
    <row r="543" spans="1:25" s="3492" customFormat="1">
      <c r="A543" s="3959"/>
      <c r="B543" s="3486"/>
      <c r="C543" s="3486"/>
      <c r="D543" s="3486"/>
      <c r="E543" s="3486"/>
      <c r="F543" s="3486"/>
      <c r="G543" s="3486"/>
      <c r="H543" s="3486"/>
      <c r="I543" s="3486"/>
      <c r="J543" s="3486"/>
      <c r="K543" s="3486"/>
      <c r="L543" s="3486"/>
      <c r="M543" s="3486"/>
      <c r="N543" s="3486"/>
      <c r="O543" s="3486"/>
      <c r="P543" s="3486"/>
      <c r="Q543" s="3486"/>
      <c r="R543" s="3486"/>
      <c r="S543" s="3486"/>
      <c r="T543" s="3486"/>
      <c r="U543" s="3486"/>
      <c r="V543" s="3486"/>
      <c r="W543" s="3486"/>
      <c r="X543" s="3486"/>
      <c r="Y543" s="3960"/>
    </row>
    <row r="544" spans="1:25" s="3492" customFormat="1">
      <c r="A544" s="3959"/>
      <c r="B544" s="3486"/>
      <c r="C544" s="3486"/>
      <c r="D544" s="3486"/>
      <c r="E544" s="3486"/>
      <c r="F544" s="3486"/>
      <c r="G544" s="3486"/>
      <c r="H544" s="3486"/>
      <c r="I544" s="3486"/>
      <c r="J544" s="3486"/>
      <c r="K544" s="3486"/>
      <c r="L544" s="3486"/>
      <c r="M544" s="3486"/>
      <c r="N544" s="3486"/>
      <c r="O544" s="3486"/>
      <c r="P544" s="3486"/>
      <c r="Q544" s="3486"/>
      <c r="R544" s="3486"/>
      <c r="S544" s="3486"/>
      <c r="T544" s="3486"/>
      <c r="U544" s="3486"/>
      <c r="V544" s="3486"/>
      <c r="W544" s="3486"/>
      <c r="X544" s="3486"/>
      <c r="Y544" s="3960"/>
    </row>
    <row r="545" spans="1:25" s="3492" customFormat="1">
      <c r="A545" s="3959"/>
      <c r="B545" s="3486"/>
      <c r="C545" s="3486"/>
      <c r="D545" s="3486"/>
      <c r="E545" s="3486"/>
      <c r="F545" s="3486"/>
      <c r="G545" s="3486"/>
      <c r="H545" s="3486"/>
      <c r="I545" s="3486"/>
      <c r="J545" s="3486"/>
      <c r="K545" s="3486"/>
      <c r="L545" s="3486"/>
      <c r="M545" s="3486"/>
      <c r="N545" s="3486"/>
      <c r="O545" s="3486"/>
      <c r="P545" s="3486"/>
      <c r="Q545" s="3486"/>
      <c r="R545" s="3486"/>
      <c r="S545" s="3486"/>
      <c r="T545" s="3486"/>
      <c r="U545" s="3486"/>
      <c r="V545" s="3486"/>
      <c r="W545" s="3486"/>
      <c r="X545" s="3486"/>
      <c r="Y545" s="3960"/>
    </row>
    <row r="546" spans="1:25" s="3492" customFormat="1">
      <c r="A546" s="3959"/>
      <c r="B546" s="3486"/>
      <c r="C546" s="3486"/>
      <c r="D546" s="3486"/>
      <c r="E546" s="3486"/>
      <c r="F546" s="3486"/>
      <c r="G546" s="3486"/>
      <c r="H546" s="3486"/>
      <c r="I546" s="3486"/>
      <c r="J546" s="3486"/>
      <c r="K546" s="3486"/>
      <c r="L546" s="3486"/>
      <c r="M546" s="3486"/>
      <c r="N546" s="3486"/>
      <c r="O546" s="3486"/>
      <c r="P546" s="3486"/>
      <c r="Q546" s="3486"/>
      <c r="R546" s="3486"/>
      <c r="S546" s="3486"/>
      <c r="T546" s="3486"/>
      <c r="U546" s="3486"/>
      <c r="V546" s="3486"/>
      <c r="W546" s="3486"/>
      <c r="X546" s="3486"/>
      <c r="Y546" s="3960"/>
    </row>
    <row r="547" spans="1:25" s="3492" customFormat="1">
      <c r="A547" s="3959"/>
      <c r="B547" s="3486"/>
      <c r="C547" s="3486"/>
      <c r="D547" s="3486"/>
      <c r="E547" s="3486"/>
      <c r="F547" s="3486"/>
      <c r="G547" s="3486"/>
      <c r="H547" s="3486"/>
      <c r="I547" s="3486"/>
      <c r="J547" s="3486"/>
      <c r="K547" s="3486"/>
      <c r="L547" s="3486"/>
      <c r="M547" s="3486"/>
      <c r="N547" s="3486"/>
      <c r="O547" s="3486"/>
      <c r="P547" s="3486"/>
      <c r="Q547" s="3486"/>
      <c r="R547" s="3486"/>
      <c r="S547" s="3486"/>
      <c r="T547" s="3486"/>
      <c r="U547" s="3486"/>
      <c r="V547" s="3486"/>
      <c r="W547" s="3486"/>
      <c r="X547" s="3486"/>
      <c r="Y547" s="3960"/>
    </row>
    <row r="548" spans="1:25" s="3492" customFormat="1">
      <c r="A548" s="3959"/>
      <c r="B548" s="3486"/>
      <c r="C548" s="3486"/>
      <c r="D548" s="3486"/>
      <c r="E548" s="3486"/>
      <c r="F548" s="3486"/>
      <c r="G548" s="3486"/>
      <c r="H548" s="3486"/>
      <c r="I548" s="3486"/>
      <c r="J548" s="3486"/>
      <c r="K548" s="3486"/>
      <c r="L548" s="3486"/>
      <c r="M548" s="3486"/>
      <c r="N548" s="3486"/>
      <c r="O548" s="3486"/>
      <c r="P548" s="3486"/>
      <c r="Q548" s="3486"/>
      <c r="R548" s="3486"/>
      <c r="S548" s="3486"/>
      <c r="T548" s="3486"/>
      <c r="U548" s="3486"/>
      <c r="V548" s="3486"/>
      <c r="W548" s="3486"/>
      <c r="X548" s="3486"/>
      <c r="Y548" s="3960"/>
    </row>
    <row r="549" spans="1:25" s="3492" customFormat="1" ht="13.5" thickBot="1">
      <c r="A549" s="3961"/>
      <c r="B549" s="3962"/>
      <c r="C549" s="3962"/>
      <c r="D549" s="3962"/>
      <c r="E549" s="3962"/>
      <c r="F549" s="3962"/>
      <c r="G549" s="3962"/>
      <c r="H549" s="3962"/>
      <c r="I549" s="3962"/>
      <c r="J549" s="3962"/>
      <c r="K549" s="3962"/>
      <c r="L549" s="3962"/>
      <c r="M549" s="3962"/>
      <c r="N549" s="3962"/>
      <c r="O549" s="3962"/>
      <c r="P549" s="3962"/>
      <c r="Q549" s="3962"/>
      <c r="R549" s="3962"/>
      <c r="S549" s="3962"/>
      <c r="T549" s="3962"/>
      <c r="U549" s="3962"/>
      <c r="V549" s="3962"/>
      <c r="W549" s="3962"/>
      <c r="X549" s="3962"/>
      <c r="Y549" s="3963"/>
    </row>
    <row r="550" spans="1:25" s="3492" customFormat="1">
      <c r="A550" s="3485"/>
      <c r="B550" s="3486"/>
      <c r="C550" s="3486"/>
      <c r="D550" s="3486"/>
      <c r="E550" s="3486"/>
      <c r="F550" s="3486"/>
      <c r="G550" s="3486"/>
      <c r="H550" s="3486"/>
      <c r="I550" s="3486"/>
      <c r="J550" s="3486"/>
      <c r="K550" s="3486"/>
      <c r="L550" s="3486"/>
      <c r="M550" s="3486"/>
      <c r="N550" s="3486"/>
      <c r="O550" s="3486"/>
      <c r="P550" s="3486"/>
      <c r="Q550" s="3486"/>
      <c r="R550" s="3486"/>
      <c r="S550" s="3486"/>
      <c r="T550" s="3486"/>
      <c r="U550" s="3486"/>
      <c r="V550" s="3486"/>
      <c r="W550" s="3486"/>
      <c r="X550" s="3486"/>
      <c r="Y550" s="3943"/>
    </row>
    <row r="551" spans="1:25" s="3492" customFormat="1">
      <c r="A551" s="3485"/>
      <c r="B551" s="3486"/>
      <c r="C551" s="3486"/>
      <c r="D551" s="3486"/>
      <c r="E551" s="3486"/>
      <c r="F551" s="3486"/>
      <c r="G551" s="3486"/>
      <c r="H551" s="3486"/>
      <c r="I551" s="3486"/>
      <c r="J551" s="3486"/>
      <c r="K551" s="3486"/>
      <c r="L551" s="3486"/>
      <c r="M551" s="3486"/>
      <c r="N551" s="3486"/>
      <c r="O551" s="3486"/>
      <c r="P551" s="3486"/>
      <c r="Q551" s="3486"/>
      <c r="R551" s="3486"/>
      <c r="S551" s="3486"/>
      <c r="T551" s="3486"/>
      <c r="U551" s="3486"/>
      <c r="V551" s="3486"/>
      <c r="W551" s="3486"/>
      <c r="X551" s="3486"/>
      <c r="Y551" s="3943"/>
    </row>
    <row r="552" spans="1:25" s="3492" customFormat="1">
      <c r="A552" s="3485"/>
      <c r="B552" s="3486"/>
      <c r="C552" s="3486"/>
      <c r="D552" s="3486"/>
      <c r="E552" s="3486"/>
      <c r="F552" s="3486"/>
      <c r="G552" s="3486"/>
      <c r="H552" s="3486"/>
      <c r="I552" s="3486"/>
      <c r="J552" s="3486"/>
      <c r="K552" s="3486"/>
      <c r="L552" s="3486"/>
      <c r="M552" s="3486"/>
      <c r="N552" s="3486"/>
      <c r="O552" s="3486"/>
      <c r="P552" s="3486"/>
      <c r="Q552" s="3486"/>
      <c r="R552" s="3486"/>
      <c r="S552" s="3486"/>
      <c r="T552" s="3486"/>
      <c r="U552" s="3486"/>
      <c r="V552" s="3486"/>
      <c r="W552" s="3486"/>
      <c r="X552" s="3486"/>
      <c r="Y552" s="3943"/>
    </row>
    <row r="553" spans="1:25" s="3492" customFormat="1">
      <c r="A553" s="3485"/>
      <c r="B553" s="3486"/>
      <c r="C553" s="3486"/>
      <c r="D553" s="3486"/>
      <c r="E553" s="3486"/>
      <c r="F553" s="3486"/>
      <c r="G553" s="3486"/>
      <c r="H553" s="3486"/>
      <c r="I553" s="3486"/>
      <c r="J553" s="3486"/>
      <c r="K553" s="3486"/>
      <c r="L553" s="3486"/>
      <c r="M553" s="3486"/>
      <c r="N553" s="3486"/>
      <c r="O553" s="3486"/>
      <c r="P553" s="3486"/>
      <c r="Q553" s="3486"/>
      <c r="R553" s="3486"/>
      <c r="S553" s="3486"/>
      <c r="T553" s="3486"/>
      <c r="U553" s="3486"/>
      <c r="V553" s="3486"/>
      <c r="W553" s="3486"/>
      <c r="X553" s="3486"/>
      <c r="Y553" s="3943"/>
    </row>
    <row r="554" spans="1:25" s="3492" customFormat="1">
      <c r="A554" s="3485"/>
      <c r="B554" s="3486"/>
      <c r="C554" s="3486"/>
      <c r="D554" s="3486"/>
      <c r="E554" s="3486"/>
      <c r="F554" s="3486"/>
      <c r="G554" s="3486"/>
      <c r="H554" s="3486"/>
      <c r="I554" s="3486"/>
      <c r="J554" s="3486"/>
      <c r="K554" s="3486"/>
      <c r="L554" s="3486"/>
      <c r="M554" s="3486"/>
      <c r="N554" s="3486"/>
      <c r="O554" s="3486"/>
      <c r="P554" s="3486"/>
      <c r="Q554" s="3486"/>
      <c r="R554" s="3486"/>
      <c r="S554" s="3486"/>
      <c r="T554" s="3486"/>
      <c r="U554" s="3486"/>
      <c r="V554" s="3486"/>
      <c r="W554" s="3486"/>
      <c r="X554" s="3486"/>
      <c r="Y554" s="3943"/>
    </row>
    <row r="555" spans="1:25" s="3492" customFormat="1">
      <c r="A555" s="3485"/>
      <c r="B555" s="3486"/>
      <c r="C555" s="3486"/>
      <c r="D555" s="3486"/>
      <c r="E555" s="3486"/>
      <c r="F555" s="3486"/>
      <c r="G555" s="3486"/>
      <c r="H555" s="3486"/>
      <c r="I555" s="3486"/>
      <c r="J555" s="3486"/>
      <c r="K555" s="3486"/>
      <c r="L555" s="3486"/>
      <c r="M555" s="3486"/>
      <c r="N555" s="3486"/>
      <c r="O555" s="3486"/>
      <c r="P555" s="3486"/>
      <c r="Q555" s="3486"/>
      <c r="R555" s="3486"/>
      <c r="S555" s="3486"/>
      <c r="T555" s="3486"/>
      <c r="U555" s="3486"/>
      <c r="V555" s="3486"/>
      <c r="W555" s="3486"/>
      <c r="X555" s="3486"/>
      <c r="Y555" s="3943"/>
    </row>
    <row r="556" spans="1:25" s="3492" customFormat="1">
      <c r="A556" s="3485"/>
      <c r="B556" s="3486"/>
      <c r="C556" s="3486"/>
      <c r="D556" s="3486"/>
      <c r="E556" s="3486"/>
      <c r="F556" s="3486"/>
      <c r="G556" s="3486"/>
      <c r="H556" s="3486"/>
      <c r="I556" s="3486"/>
      <c r="J556" s="3486"/>
      <c r="K556" s="3486"/>
      <c r="L556" s="3486"/>
      <c r="M556" s="3486"/>
      <c r="N556" s="3486"/>
      <c r="O556" s="3486"/>
      <c r="P556" s="3486"/>
      <c r="Q556" s="3486"/>
      <c r="R556" s="3486"/>
      <c r="S556" s="3486"/>
      <c r="T556" s="3486"/>
      <c r="U556" s="3486"/>
      <c r="V556" s="3486"/>
      <c r="W556" s="3486"/>
      <c r="X556" s="3486"/>
      <c r="Y556" s="3943"/>
    </row>
    <row r="557" spans="1:25" s="3492" customFormat="1">
      <c r="A557" s="3485"/>
      <c r="B557" s="3486"/>
      <c r="C557" s="3486"/>
      <c r="D557" s="3486"/>
      <c r="E557" s="3486"/>
      <c r="F557" s="3486"/>
      <c r="G557" s="3486"/>
      <c r="H557" s="3486"/>
      <c r="I557" s="3486"/>
      <c r="J557" s="3486"/>
      <c r="K557" s="3486"/>
      <c r="L557" s="3486"/>
      <c r="M557" s="3486"/>
      <c r="N557" s="3486"/>
      <c r="O557" s="3486"/>
      <c r="P557" s="3486"/>
      <c r="Q557" s="3486"/>
      <c r="R557" s="3486"/>
      <c r="S557" s="3486"/>
      <c r="T557" s="3486"/>
      <c r="U557" s="3486"/>
      <c r="V557" s="3486"/>
      <c r="W557" s="3486"/>
      <c r="X557" s="3486"/>
      <c r="Y557" s="3943"/>
    </row>
    <row r="558" spans="1:25" s="3492" customFormat="1">
      <c r="A558" s="3485"/>
      <c r="B558" s="3486"/>
      <c r="C558" s="3486"/>
      <c r="D558" s="3486"/>
      <c r="E558" s="3486"/>
      <c r="F558" s="3486"/>
      <c r="G558" s="3486"/>
      <c r="H558" s="3486"/>
      <c r="I558" s="3486"/>
      <c r="J558" s="3486"/>
      <c r="K558" s="3486"/>
      <c r="L558" s="3486"/>
      <c r="M558" s="3486"/>
      <c r="N558" s="3486"/>
      <c r="O558" s="3486"/>
      <c r="P558" s="3486"/>
      <c r="Q558" s="3486"/>
      <c r="R558" s="3486"/>
      <c r="S558" s="3486"/>
      <c r="T558" s="3486"/>
      <c r="U558" s="3486"/>
      <c r="V558" s="3486"/>
      <c r="W558" s="3486"/>
      <c r="X558" s="3486"/>
      <c r="Y558" s="3943"/>
    </row>
    <row r="559" spans="1:25" s="3492" customFormat="1">
      <c r="A559" s="3485"/>
      <c r="B559" s="3486"/>
      <c r="C559" s="3486"/>
      <c r="D559" s="3486"/>
      <c r="E559" s="3486"/>
      <c r="F559" s="3486"/>
      <c r="G559" s="3486"/>
      <c r="H559" s="3486"/>
      <c r="I559" s="3486"/>
      <c r="J559" s="3486"/>
      <c r="K559" s="3486"/>
      <c r="L559" s="3486"/>
      <c r="M559" s="3486"/>
      <c r="N559" s="3486"/>
      <c r="O559" s="3486"/>
      <c r="P559" s="3486"/>
      <c r="Q559" s="3486"/>
      <c r="R559" s="3486"/>
      <c r="S559" s="3486"/>
      <c r="T559" s="3486"/>
      <c r="U559" s="3486"/>
      <c r="V559" s="3486"/>
      <c r="W559" s="3486"/>
      <c r="X559" s="3486"/>
      <c r="Y559" s="3943"/>
    </row>
    <row r="560" spans="1:25" s="3492" customFormat="1">
      <c r="A560" s="3485"/>
      <c r="B560" s="3486"/>
      <c r="C560" s="3486"/>
      <c r="D560" s="3486"/>
      <c r="E560" s="3486"/>
      <c r="F560" s="3486"/>
      <c r="G560" s="3486"/>
      <c r="H560" s="3486"/>
      <c r="I560" s="3486"/>
      <c r="J560" s="3486"/>
      <c r="K560" s="3486"/>
      <c r="L560" s="3486"/>
      <c r="M560" s="3486"/>
      <c r="N560" s="3486"/>
      <c r="O560" s="3486"/>
      <c r="P560" s="3486"/>
      <c r="Q560" s="3486"/>
      <c r="R560" s="3486"/>
      <c r="S560" s="3486"/>
      <c r="T560" s="3486"/>
      <c r="U560" s="3486"/>
      <c r="V560" s="3486"/>
      <c r="W560" s="3486"/>
      <c r="X560" s="3486"/>
      <c r="Y560" s="3943"/>
    </row>
    <row r="561" spans="1:25" s="3492" customFormat="1">
      <c r="A561" s="3485"/>
      <c r="B561" s="3486"/>
      <c r="C561" s="3486"/>
      <c r="D561" s="3486"/>
      <c r="E561" s="3486"/>
      <c r="F561" s="3486"/>
      <c r="G561" s="3486"/>
      <c r="H561" s="3486"/>
      <c r="I561" s="3486"/>
      <c r="J561" s="3486"/>
      <c r="K561" s="3486"/>
      <c r="L561" s="3486"/>
      <c r="M561" s="3486"/>
      <c r="N561" s="3486"/>
      <c r="O561" s="3486"/>
      <c r="P561" s="3486"/>
      <c r="Q561" s="3486"/>
      <c r="R561" s="3486"/>
      <c r="S561" s="3486"/>
      <c r="T561" s="3486"/>
      <c r="U561" s="3486"/>
      <c r="V561" s="3486"/>
      <c r="W561" s="3486"/>
      <c r="X561" s="3486"/>
      <c r="Y561" s="3943"/>
    </row>
    <row r="562" spans="1:25" s="3492" customFormat="1">
      <c r="A562" s="3485"/>
      <c r="B562" s="3486"/>
      <c r="C562" s="3486"/>
      <c r="D562" s="3486"/>
      <c r="E562" s="3486"/>
      <c r="F562" s="3486"/>
      <c r="G562" s="3486"/>
      <c r="H562" s="3486"/>
      <c r="I562" s="3486"/>
      <c r="J562" s="3486"/>
      <c r="K562" s="3486"/>
      <c r="L562" s="3486"/>
      <c r="M562" s="3486"/>
      <c r="N562" s="3486"/>
      <c r="O562" s="3486"/>
      <c r="P562" s="3486"/>
      <c r="Q562" s="3486"/>
      <c r="R562" s="3486"/>
      <c r="S562" s="3486"/>
      <c r="T562" s="3486"/>
      <c r="U562" s="3486"/>
      <c r="V562" s="3486"/>
      <c r="W562" s="3486"/>
      <c r="X562" s="3486"/>
      <c r="Y562" s="3943"/>
    </row>
    <row r="563" spans="1:25" s="3492" customFormat="1">
      <c r="A563" s="3485"/>
      <c r="B563" s="3486"/>
      <c r="C563" s="3486"/>
      <c r="D563" s="3486"/>
      <c r="E563" s="3486"/>
      <c r="F563" s="3486"/>
      <c r="G563" s="3486"/>
      <c r="H563" s="3486"/>
      <c r="I563" s="3486"/>
      <c r="J563" s="3486"/>
      <c r="K563" s="3486"/>
      <c r="L563" s="3486"/>
      <c r="M563" s="3486"/>
      <c r="N563" s="3486"/>
      <c r="O563" s="3486"/>
      <c r="P563" s="3486"/>
      <c r="Q563" s="3486"/>
      <c r="R563" s="3486"/>
      <c r="S563" s="3486"/>
      <c r="T563" s="3486"/>
      <c r="U563" s="3486"/>
      <c r="V563" s="3486"/>
      <c r="W563" s="3486"/>
      <c r="X563" s="3486"/>
      <c r="Y563" s="3943"/>
    </row>
    <row r="564" spans="1:25" s="3492" customFormat="1">
      <c r="A564" s="3485"/>
      <c r="B564" s="3486"/>
      <c r="C564" s="3486"/>
      <c r="D564" s="3486"/>
      <c r="E564" s="3486"/>
      <c r="F564" s="3486"/>
      <c r="G564" s="3486"/>
      <c r="H564" s="3486"/>
      <c r="I564" s="3486"/>
      <c r="J564" s="3486"/>
      <c r="K564" s="3486"/>
      <c r="L564" s="3486"/>
      <c r="M564" s="3486"/>
      <c r="N564" s="3486"/>
      <c r="O564" s="3486"/>
      <c r="P564" s="3486"/>
      <c r="Q564" s="3486"/>
      <c r="R564" s="3486"/>
      <c r="S564" s="3486"/>
      <c r="T564" s="3486"/>
      <c r="U564" s="3486"/>
      <c r="V564" s="3486"/>
      <c r="W564" s="3486"/>
      <c r="X564" s="3486"/>
      <c r="Y564" s="3943"/>
    </row>
    <row r="565" spans="1:25" s="3492" customFormat="1">
      <c r="A565" s="3485"/>
      <c r="B565" s="3486"/>
      <c r="C565" s="3486"/>
      <c r="D565" s="3486"/>
      <c r="E565" s="3486"/>
      <c r="F565" s="3486"/>
      <c r="G565" s="3486"/>
      <c r="H565" s="3486"/>
      <c r="I565" s="3486"/>
      <c r="J565" s="3486"/>
      <c r="K565" s="3486"/>
      <c r="L565" s="3486"/>
      <c r="M565" s="3486"/>
      <c r="N565" s="3486"/>
      <c r="O565" s="3486"/>
      <c r="P565" s="3486"/>
      <c r="Q565" s="3486"/>
      <c r="R565" s="3486"/>
      <c r="S565" s="3486"/>
      <c r="T565" s="3486"/>
      <c r="U565" s="3486"/>
      <c r="V565" s="3486"/>
      <c r="W565" s="3486"/>
      <c r="X565" s="3486"/>
      <c r="Y565" s="3943"/>
    </row>
    <row r="566" spans="1:25" s="3492" customFormat="1">
      <c r="A566" s="3485"/>
      <c r="B566" s="3486"/>
      <c r="C566" s="3486"/>
      <c r="D566" s="3486"/>
      <c r="E566" s="3486"/>
      <c r="F566" s="3486"/>
      <c r="G566" s="3486"/>
      <c r="H566" s="3486"/>
      <c r="I566" s="3486"/>
      <c r="J566" s="3486"/>
      <c r="K566" s="3486"/>
      <c r="L566" s="3486"/>
      <c r="M566" s="3486"/>
      <c r="N566" s="3486"/>
      <c r="O566" s="3486"/>
      <c r="P566" s="3486"/>
      <c r="Q566" s="3486"/>
      <c r="R566" s="3486"/>
      <c r="S566" s="3486"/>
      <c r="T566" s="3486"/>
      <c r="U566" s="3486"/>
      <c r="V566" s="3486"/>
      <c r="W566" s="3486"/>
      <c r="X566" s="3486"/>
      <c r="Y566" s="3943"/>
    </row>
    <row r="567" spans="1:25" s="3492" customFormat="1">
      <c r="A567" s="3485"/>
      <c r="B567" s="3486"/>
      <c r="C567" s="3486"/>
      <c r="D567" s="3486"/>
      <c r="E567" s="3486"/>
      <c r="F567" s="3486"/>
      <c r="G567" s="3486"/>
      <c r="H567" s="3486"/>
      <c r="I567" s="3486"/>
      <c r="J567" s="3486"/>
      <c r="K567" s="3486"/>
      <c r="L567" s="3486"/>
      <c r="M567" s="3486"/>
      <c r="N567" s="3486"/>
      <c r="O567" s="3486"/>
      <c r="P567" s="3486"/>
      <c r="Q567" s="3486"/>
      <c r="R567" s="3486"/>
      <c r="S567" s="3486"/>
      <c r="T567" s="3486"/>
      <c r="U567" s="3486"/>
      <c r="V567" s="3486"/>
      <c r="W567" s="3486"/>
      <c r="X567" s="3486"/>
      <c r="Y567" s="3943"/>
    </row>
    <row r="568" spans="1:25" s="3492" customFormat="1">
      <c r="A568" s="3485"/>
      <c r="B568" s="3486"/>
      <c r="C568" s="3486"/>
      <c r="D568" s="3486"/>
      <c r="E568" s="3486"/>
      <c r="F568" s="3486"/>
      <c r="G568" s="3486"/>
      <c r="H568" s="3486"/>
      <c r="I568" s="3486"/>
      <c r="J568" s="3486"/>
      <c r="K568" s="3486"/>
      <c r="L568" s="3486"/>
      <c r="M568" s="3486"/>
      <c r="N568" s="3486"/>
      <c r="O568" s="3486"/>
      <c r="P568" s="3486"/>
      <c r="Q568" s="3486"/>
      <c r="R568" s="3486"/>
      <c r="S568" s="3486"/>
      <c r="T568" s="3486"/>
      <c r="U568" s="3486"/>
      <c r="V568" s="3486"/>
      <c r="W568" s="3486"/>
      <c r="X568" s="3486"/>
      <c r="Y568" s="3943"/>
    </row>
    <row r="569" spans="1:25" s="3492" customFormat="1">
      <c r="A569" s="3485"/>
      <c r="B569" s="3486"/>
      <c r="C569" s="3486"/>
      <c r="D569" s="3486"/>
      <c r="E569" s="3486"/>
      <c r="F569" s="3486"/>
      <c r="G569" s="3486"/>
      <c r="H569" s="3486"/>
      <c r="I569" s="3486"/>
      <c r="J569" s="3486"/>
      <c r="K569" s="3486"/>
      <c r="L569" s="3486"/>
      <c r="M569" s="3486"/>
      <c r="N569" s="3486"/>
      <c r="O569" s="3486"/>
      <c r="P569" s="3486"/>
      <c r="Q569" s="3486"/>
      <c r="R569" s="3486"/>
      <c r="S569" s="3486"/>
      <c r="T569" s="3486"/>
      <c r="U569" s="3486"/>
      <c r="V569" s="3486"/>
      <c r="W569" s="3486"/>
      <c r="X569" s="3486"/>
      <c r="Y569" s="3943"/>
    </row>
    <row r="570" spans="1:25" s="3492" customFormat="1">
      <c r="A570" s="3485"/>
      <c r="B570" s="3486"/>
      <c r="C570" s="3486"/>
      <c r="D570" s="3486"/>
      <c r="E570" s="3486"/>
      <c r="F570" s="3486"/>
      <c r="G570" s="3486"/>
      <c r="H570" s="3486"/>
      <c r="I570" s="3486"/>
      <c r="J570" s="3486"/>
      <c r="K570" s="3486"/>
      <c r="L570" s="3486"/>
      <c r="M570" s="3486"/>
      <c r="N570" s="3486"/>
      <c r="O570" s="3486"/>
      <c r="P570" s="3486"/>
      <c r="Q570" s="3486"/>
      <c r="R570" s="3486"/>
      <c r="S570" s="3486"/>
      <c r="T570" s="3486"/>
      <c r="U570" s="3486"/>
      <c r="V570" s="3486"/>
      <c r="W570" s="3486"/>
      <c r="X570" s="3486"/>
      <c r="Y570" s="3943"/>
    </row>
    <row r="571" spans="1:25" s="3492" customFormat="1">
      <c r="A571" s="3485"/>
      <c r="B571" s="3486"/>
      <c r="C571" s="3486"/>
      <c r="D571" s="3486"/>
      <c r="E571" s="3486"/>
      <c r="F571" s="3486"/>
      <c r="G571" s="3486"/>
      <c r="H571" s="3486"/>
      <c r="I571" s="3486"/>
      <c r="J571" s="3486"/>
      <c r="K571" s="3486"/>
      <c r="L571" s="3486"/>
      <c r="M571" s="3486"/>
      <c r="N571" s="3486"/>
      <c r="O571" s="3486"/>
      <c r="P571" s="3486"/>
      <c r="Q571" s="3486"/>
      <c r="R571" s="3486"/>
      <c r="S571" s="3486"/>
      <c r="T571" s="3486"/>
      <c r="U571" s="3486"/>
      <c r="V571" s="3486"/>
      <c r="W571" s="3486"/>
      <c r="X571" s="3486"/>
      <c r="Y571" s="3943"/>
    </row>
    <row r="572" spans="1:25" s="3492" customFormat="1">
      <c r="A572" s="3485"/>
      <c r="B572" s="3486"/>
      <c r="C572" s="3486"/>
      <c r="D572" s="3486"/>
      <c r="E572" s="3486"/>
      <c r="F572" s="3486"/>
      <c r="G572" s="3486"/>
      <c r="H572" s="3486"/>
      <c r="I572" s="3486"/>
      <c r="J572" s="3486"/>
      <c r="K572" s="3486"/>
      <c r="L572" s="3486"/>
      <c r="M572" s="3486"/>
      <c r="N572" s="3486"/>
      <c r="O572" s="3486"/>
      <c r="P572" s="3486"/>
      <c r="Q572" s="3486"/>
      <c r="R572" s="3486"/>
      <c r="S572" s="3486"/>
      <c r="T572" s="3486"/>
      <c r="U572" s="3486"/>
      <c r="V572" s="3486"/>
      <c r="W572" s="3486"/>
      <c r="X572" s="3486"/>
      <c r="Y572" s="3943"/>
    </row>
    <row r="573" spans="1:25" s="3492" customFormat="1">
      <c r="A573" s="3485"/>
      <c r="B573" s="3486"/>
      <c r="C573" s="3486"/>
      <c r="D573" s="3486"/>
      <c r="E573" s="3486"/>
      <c r="F573" s="3486"/>
      <c r="G573" s="3486"/>
      <c r="H573" s="3486"/>
      <c r="I573" s="3486"/>
      <c r="J573" s="3486"/>
      <c r="K573" s="3486"/>
      <c r="L573" s="3486"/>
      <c r="M573" s="3486"/>
      <c r="N573" s="3486"/>
      <c r="O573" s="3486"/>
      <c r="P573" s="3486"/>
      <c r="Q573" s="3486"/>
      <c r="R573" s="3486"/>
      <c r="S573" s="3486"/>
      <c r="T573" s="3486"/>
      <c r="U573" s="3486"/>
      <c r="V573" s="3486"/>
      <c r="W573" s="3486"/>
      <c r="X573" s="3486"/>
      <c r="Y573" s="3943"/>
    </row>
    <row r="574" spans="1:25" s="3492" customFormat="1">
      <c r="A574" s="3485"/>
      <c r="B574" s="3486"/>
      <c r="C574" s="3486"/>
      <c r="D574" s="3486"/>
      <c r="E574" s="3486"/>
      <c r="F574" s="3486"/>
      <c r="G574" s="3486"/>
      <c r="H574" s="3486"/>
      <c r="I574" s="3486"/>
      <c r="J574" s="3486"/>
      <c r="K574" s="3486"/>
      <c r="L574" s="3486"/>
      <c r="M574" s="3486"/>
      <c r="N574" s="3486"/>
      <c r="O574" s="3486"/>
      <c r="P574" s="3486"/>
      <c r="Q574" s="3486"/>
      <c r="R574" s="3486"/>
      <c r="S574" s="3486"/>
      <c r="T574" s="3486"/>
      <c r="U574" s="3486"/>
      <c r="V574" s="3486"/>
      <c r="W574" s="3486"/>
      <c r="X574" s="3486"/>
      <c r="Y574" s="3943"/>
    </row>
    <row r="575" spans="1:25" s="3492" customFormat="1">
      <c r="A575" s="3485"/>
      <c r="B575" s="3486"/>
      <c r="C575" s="3486"/>
      <c r="D575" s="3486"/>
      <c r="E575" s="3486"/>
      <c r="F575" s="3486"/>
      <c r="G575" s="3486"/>
      <c r="H575" s="3486"/>
      <c r="I575" s="3486"/>
      <c r="J575" s="3486"/>
      <c r="K575" s="3486"/>
      <c r="L575" s="3486"/>
      <c r="M575" s="3486"/>
      <c r="N575" s="3486"/>
      <c r="O575" s="3486"/>
      <c r="P575" s="3486"/>
      <c r="Q575" s="3486"/>
      <c r="R575" s="3486"/>
      <c r="S575" s="3486"/>
      <c r="T575" s="3486"/>
      <c r="U575" s="3486"/>
      <c r="V575" s="3486"/>
      <c r="W575" s="3486"/>
      <c r="X575" s="3486"/>
      <c r="Y575" s="3943"/>
    </row>
    <row r="576" spans="1:25" s="3492" customFormat="1">
      <c r="A576" s="3485"/>
      <c r="B576" s="3486"/>
      <c r="C576" s="3486"/>
      <c r="D576" s="3486"/>
      <c r="E576" s="3486"/>
      <c r="F576" s="3486"/>
      <c r="G576" s="3486"/>
      <c r="H576" s="3486"/>
      <c r="I576" s="3486"/>
      <c r="J576" s="3486"/>
      <c r="K576" s="3486"/>
      <c r="L576" s="3486"/>
      <c r="M576" s="3486"/>
      <c r="N576" s="3486"/>
      <c r="O576" s="3486"/>
      <c r="P576" s="3486"/>
      <c r="Q576" s="3486"/>
      <c r="R576" s="3486"/>
      <c r="S576" s="3486"/>
      <c r="T576" s="3486"/>
      <c r="U576" s="3486"/>
      <c r="V576" s="3486"/>
      <c r="W576" s="3486"/>
      <c r="X576" s="3486"/>
      <c r="Y576" s="3943"/>
    </row>
    <row r="577" spans="1:25" s="3492" customFormat="1">
      <c r="A577" s="3485"/>
      <c r="B577" s="3486"/>
      <c r="C577" s="3486"/>
      <c r="D577" s="3486"/>
      <c r="E577" s="3486"/>
      <c r="F577" s="3486"/>
      <c r="G577" s="3486"/>
      <c r="H577" s="3486"/>
      <c r="I577" s="3486"/>
      <c r="J577" s="3486"/>
      <c r="K577" s="3486"/>
      <c r="L577" s="3486"/>
      <c r="M577" s="3486"/>
      <c r="N577" s="3486"/>
      <c r="O577" s="3486"/>
      <c r="P577" s="3486"/>
      <c r="Q577" s="3486"/>
      <c r="R577" s="3486"/>
      <c r="S577" s="3486"/>
      <c r="T577" s="3486"/>
      <c r="U577" s="3486"/>
      <c r="V577" s="3486"/>
      <c r="W577" s="3486"/>
      <c r="X577" s="3486"/>
      <c r="Y577" s="3943"/>
    </row>
    <row r="578" spans="1:25" s="3492" customFormat="1">
      <c r="A578" s="3485"/>
      <c r="B578" s="3486"/>
      <c r="C578" s="3486"/>
      <c r="D578" s="3486"/>
      <c r="E578" s="3486"/>
      <c r="F578" s="3486"/>
      <c r="G578" s="3486"/>
      <c r="H578" s="3486"/>
      <c r="I578" s="3486"/>
      <c r="J578" s="3486"/>
      <c r="K578" s="3486"/>
      <c r="L578" s="3486"/>
      <c r="M578" s="3486"/>
      <c r="N578" s="3486"/>
      <c r="O578" s="3486"/>
      <c r="P578" s="3486"/>
      <c r="Q578" s="3486"/>
      <c r="R578" s="3486"/>
      <c r="S578" s="3486"/>
      <c r="T578" s="3486"/>
      <c r="U578" s="3486"/>
      <c r="V578" s="3486"/>
      <c r="W578" s="3486"/>
      <c r="X578" s="3486"/>
      <c r="Y578" s="3943"/>
    </row>
    <row r="579" spans="1:25" s="3492" customFormat="1">
      <c r="A579" s="3485"/>
      <c r="B579" s="3486"/>
      <c r="C579" s="3486"/>
      <c r="D579" s="3486"/>
      <c r="E579" s="3486"/>
      <c r="F579" s="3486"/>
      <c r="G579" s="3486"/>
      <c r="H579" s="3486"/>
      <c r="I579" s="3486"/>
      <c r="J579" s="3486"/>
      <c r="K579" s="3486"/>
      <c r="L579" s="3486"/>
      <c r="M579" s="3486"/>
      <c r="N579" s="3486"/>
      <c r="O579" s="3486"/>
      <c r="P579" s="3486"/>
      <c r="Q579" s="3486"/>
      <c r="R579" s="3486"/>
      <c r="S579" s="3486"/>
      <c r="T579" s="3486"/>
      <c r="U579" s="3486"/>
      <c r="V579" s="3486"/>
      <c r="W579" s="3486"/>
      <c r="X579" s="3486"/>
      <c r="Y579" s="3943"/>
    </row>
    <row r="580" spans="1:25" s="3492" customFormat="1">
      <c r="A580" s="3485"/>
      <c r="B580" s="3486"/>
      <c r="C580" s="3486"/>
      <c r="D580" s="3486"/>
      <c r="E580" s="3486"/>
      <c r="F580" s="3486"/>
      <c r="G580" s="3486"/>
      <c r="H580" s="3486"/>
      <c r="I580" s="3486"/>
      <c r="J580" s="3486"/>
      <c r="K580" s="3486"/>
      <c r="L580" s="3486"/>
      <c r="M580" s="3486"/>
      <c r="N580" s="3486"/>
      <c r="O580" s="3486"/>
      <c r="P580" s="3486"/>
      <c r="Q580" s="3486"/>
      <c r="R580" s="3486"/>
      <c r="S580" s="3486"/>
      <c r="T580" s="3486"/>
      <c r="U580" s="3486"/>
      <c r="V580" s="3486"/>
      <c r="W580" s="3486"/>
      <c r="X580" s="3486"/>
      <c r="Y580" s="3943"/>
    </row>
    <row r="581" spans="1:25" s="3492" customFormat="1">
      <c r="A581" s="3485"/>
      <c r="B581" s="3486"/>
      <c r="C581" s="3486"/>
      <c r="D581" s="3486"/>
      <c r="E581" s="3486"/>
      <c r="F581" s="3486"/>
      <c r="G581" s="3486"/>
      <c r="H581" s="3486"/>
      <c r="I581" s="3486"/>
      <c r="J581" s="3486"/>
      <c r="K581" s="3486"/>
      <c r="L581" s="3486"/>
      <c r="M581" s="3486"/>
      <c r="N581" s="3486"/>
      <c r="O581" s="3486"/>
      <c r="P581" s="3486"/>
      <c r="Q581" s="3486"/>
      <c r="R581" s="3486"/>
      <c r="S581" s="3486"/>
      <c r="T581" s="3486"/>
      <c r="U581" s="3486"/>
      <c r="V581" s="3486"/>
      <c r="W581" s="3486"/>
      <c r="X581" s="3486"/>
      <c r="Y581" s="3943"/>
    </row>
    <row r="582" spans="1:25" s="3492" customFormat="1">
      <c r="A582" s="3485"/>
      <c r="B582" s="3486"/>
      <c r="C582" s="3486"/>
      <c r="D582" s="3486"/>
      <c r="E582" s="3486"/>
      <c r="F582" s="3486"/>
      <c r="G582" s="3486"/>
      <c r="H582" s="3486"/>
      <c r="I582" s="3486"/>
      <c r="J582" s="3486"/>
      <c r="K582" s="3486"/>
      <c r="L582" s="3486"/>
      <c r="M582" s="3486"/>
      <c r="N582" s="3486"/>
      <c r="O582" s="3486"/>
      <c r="P582" s="3486"/>
      <c r="Q582" s="3486"/>
      <c r="R582" s="3486"/>
      <c r="S582" s="3486"/>
      <c r="T582" s="3486"/>
      <c r="U582" s="3486"/>
      <c r="V582" s="3486"/>
      <c r="W582" s="3486"/>
      <c r="X582" s="3486"/>
      <c r="Y582" s="3943"/>
    </row>
    <row r="583" spans="1:25" s="3492" customFormat="1">
      <c r="A583" s="3485"/>
      <c r="B583" s="3486"/>
      <c r="C583" s="3486"/>
      <c r="D583" s="3486"/>
      <c r="E583" s="3486"/>
      <c r="F583" s="3486"/>
      <c r="G583" s="3486"/>
      <c r="H583" s="3486"/>
      <c r="I583" s="3486"/>
      <c r="J583" s="3486"/>
      <c r="K583" s="3486"/>
      <c r="L583" s="3486"/>
      <c r="M583" s="3486"/>
      <c r="N583" s="3486"/>
      <c r="O583" s="3486"/>
      <c r="P583" s="3486"/>
      <c r="Q583" s="3486"/>
      <c r="R583" s="3486"/>
      <c r="S583" s="3486"/>
      <c r="T583" s="3486"/>
      <c r="U583" s="3486"/>
      <c r="V583" s="3486"/>
      <c r="W583" s="3486"/>
      <c r="X583" s="3486"/>
      <c r="Y583" s="3943"/>
    </row>
    <row r="584" spans="1:25" s="3492" customFormat="1">
      <c r="A584" s="3485"/>
      <c r="B584" s="3486"/>
      <c r="C584" s="3486"/>
      <c r="D584" s="3486"/>
      <c r="E584" s="3486"/>
      <c r="F584" s="3486"/>
      <c r="G584" s="3486"/>
      <c r="H584" s="3486"/>
      <c r="I584" s="3486"/>
      <c r="J584" s="3486"/>
      <c r="K584" s="3486"/>
      <c r="L584" s="3486"/>
      <c r="M584" s="3486"/>
      <c r="N584" s="3486"/>
      <c r="O584" s="3486"/>
      <c r="P584" s="3486"/>
      <c r="Q584" s="3486"/>
      <c r="R584" s="3486"/>
      <c r="S584" s="3486"/>
      <c r="T584" s="3486"/>
      <c r="U584" s="3486"/>
      <c r="V584" s="3486"/>
      <c r="W584" s="3486"/>
      <c r="X584" s="3486"/>
      <c r="Y584" s="3943"/>
    </row>
    <row r="585" spans="1:25" s="3492" customFormat="1">
      <c r="A585" s="3485"/>
      <c r="B585" s="3486"/>
      <c r="C585" s="3486"/>
      <c r="D585" s="3486"/>
      <c r="E585" s="3486"/>
      <c r="F585" s="3486"/>
      <c r="G585" s="3486"/>
      <c r="H585" s="3486"/>
      <c r="I585" s="3486"/>
      <c r="J585" s="3486"/>
      <c r="K585" s="3486"/>
      <c r="L585" s="3486"/>
      <c r="M585" s="3486"/>
      <c r="N585" s="3486"/>
      <c r="O585" s="3486"/>
      <c r="P585" s="3486"/>
      <c r="Q585" s="3486"/>
      <c r="R585" s="3486"/>
      <c r="S585" s="3486"/>
      <c r="T585" s="3486"/>
      <c r="U585" s="3486"/>
      <c r="V585" s="3486"/>
      <c r="W585" s="3486"/>
      <c r="X585" s="3486"/>
      <c r="Y585" s="3943"/>
    </row>
    <row r="586" spans="1:25" s="3492" customFormat="1">
      <c r="A586" s="3485"/>
      <c r="B586" s="3486"/>
      <c r="C586" s="3486"/>
      <c r="D586" s="3486"/>
      <c r="E586" s="3486"/>
      <c r="F586" s="3486"/>
      <c r="G586" s="3486"/>
      <c r="H586" s="3486"/>
      <c r="I586" s="3486"/>
      <c r="J586" s="3486"/>
      <c r="K586" s="3486"/>
      <c r="L586" s="3486"/>
      <c r="M586" s="3486"/>
      <c r="N586" s="3486"/>
      <c r="O586" s="3486"/>
      <c r="P586" s="3486"/>
      <c r="Q586" s="3486"/>
      <c r="R586" s="3486"/>
      <c r="S586" s="3486"/>
      <c r="T586" s="3486"/>
      <c r="U586" s="3486"/>
      <c r="V586" s="3486"/>
      <c r="W586" s="3486"/>
      <c r="X586" s="3486"/>
      <c r="Y586" s="3943"/>
    </row>
    <row r="587" spans="1:25" s="3492" customFormat="1">
      <c r="A587" s="3485"/>
      <c r="B587" s="3486"/>
      <c r="C587" s="3486"/>
      <c r="D587" s="3486"/>
      <c r="E587" s="3486"/>
      <c r="F587" s="3486"/>
      <c r="G587" s="3486"/>
      <c r="H587" s="3486"/>
      <c r="I587" s="3486"/>
      <c r="J587" s="3486"/>
      <c r="K587" s="3486"/>
      <c r="L587" s="3486"/>
      <c r="M587" s="3486"/>
      <c r="N587" s="3486"/>
      <c r="O587" s="3486"/>
      <c r="P587" s="3486"/>
      <c r="Q587" s="3486"/>
      <c r="R587" s="3486"/>
      <c r="S587" s="3486"/>
      <c r="T587" s="3486"/>
      <c r="U587" s="3486"/>
      <c r="V587" s="3486"/>
      <c r="W587" s="3486"/>
      <c r="X587" s="3486"/>
      <c r="Y587" s="3943"/>
    </row>
    <row r="588" spans="1:25" s="3492" customFormat="1">
      <c r="A588" s="3485"/>
      <c r="B588" s="3486"/>
      <c r="C588" s="3486"/>
      <c r="D588" s="3486"/>
      <c r="E588" s="3486"/>
      <c r="F588" s="3486"/>
      <c r="G588" s="3486"/>
      <c r="H588" s="3486"/>
      <c r="I588" s="3486"/>
      <c r="J588" s="3486"/>
      <c r="K588" s="3486"/>
      <c r="L588" s="3486"/>
      <c r="M588" s="3486"/>
      <c r="N588" s="3486"/>
      <c r="O588" s="3486"/>
      <c r="P588" s="3486"/>
      <c r="Q588" s="3486"/>
      <c r="R588" s="3486"/>
      <c r="S588" s="3486"/>
      <c r="T588" s="3486"/>
      <c r="U588" s="3486"/>
      <c r="V588" s="3486"/>
      <c r="W588" s="3486"/>
      <c r="X588" s="3486"/>
      <c r="Y588" s="3943"/>
    </row>
    <row r="589" spans="1:25" s="3492" customFormat="1">
      <c r="A589" s="3485"/>
      <c r="B589" s="3486"/>
      <c r="C589" s="3486"/>
      <c r="D589" s="3486"/>
      <c r="E589" s="3486"/>
      <c r="F589" s="3486"/>
      <c r="G589" s="3486"/>
      <c r="H589" s="3486"/>
      <c r="I589" s="3486"/>
      <c r="J589" s="3486"/>
      <c r="K589" s="3486"/>
      <c r="L589" s="3486"/>
      <c r="M589" s="3486"/>
      <c r="N589" s="3486"/>
      <c r="O589" s="3486"/>
      <c r="P589" s="3486"/>
      <c r="Q589" s="3486"/>
      <c r="R589" s="3486"/>
      <c r="S589" s="3486"/>
      <c r="T589" s="3486"/>
      <c r="U589" s="3486"/>
      <c r="V589" s="3486"/>
      <c r="W589" s="3486"/>
      <c r="X589" s="3486"/>
      <c r="Y589" s="3943"/>
    </row>
    <row r="590" spans="1:25" s="3492" customFormat="1">
      <c r="A590" s="3485"/>
      <c r="B590" s="3486"/>
      <c r="C590" s="3486"/>
      <c r="D590" s="3486"/>
      <c r="E590" s="3486"/>
      <c r="F590" s="3486"/>
      <c r="G590" s="3486"/>
      <c r="H590" s="3486"/>
      <c r="I590" s="3486"/>
      <c r="J590" s="3486"/>
      <c r="K590" s="3486"/>
      <c r="L590" s="3486"/>
      <c r="M590" s="3486"/>
      <c r="N590" s="3486"/>
      <c r="O590" s="3486"/>
      <c r="P590" s="3486"/>
      <c r="Q590" s="3486"/>
      <c r="R590" s="3486"/>
      <c r="S590" s="3486"/>
      <c r="T590" s="3486"/>
      <c r="U590" s="3486"/>
      <c r="V590" s="3486"/>
      <c r="W590" s="3486"/>
      <c r="X590" s="3486"/>
      <c r="Y590" s="3943"/>
    </row>
    <row r="591" spans="1:25" s="3492" customFormat="1">
      <c r="A591" s="3485"/>
      <c r="B591" s="3486"/>
      <c r="C591" s="3486"/>
      <c r="D591" s="3486"/>
      <c r="E591" s="3486"/>
      <c r="F591" s="3486"/>
      <c r="G591" s="3486"/>
      <c r="H591" s="3486"/>
      <c r="I591" s="3486"/>
      <c r="J591" s="3486"/>
      <c r="K591" s="3486"/>
      <c r="L591" s="3486"/>
      <c r="M591" s="3486"/>
      <c r="N591" s="3486"/>
      <c r="O591" s="3486"/>
      <c r="P591" s="3486"/>
      <c r="Q591" s="3486"/>
      <c r="R591" s="3486"/>
      <c r="S591" s="3486"/>
      <c r="T591" s="3486"/>
      <c r="U591" s="3486"/>
      <c r="V591" s="3486"/>
      <c r="W591" s="3486"/>
      <c r="X591" s="3486"/>
      <c r="Y591" s="3943"/>
    </row>
    <row r="592" spans="1:25" s="3492" customFormat="1">
      <c r="A592" s="3485"/>
      <c r="B592" s="3486"/>
      <c r="C592" s="3486"/>
      <c r="D592" s="3486"/>
      <c r="E592" s="3486"/>
      <c r="F592" s="3486"/>
      <c r="G592" s="3486"/>
      <c r="H592" s="3486"/>
      <c r="I592" s="3486"/>
      <c r="J592" s="3486"/>
      <c r="K592" s="3486"/>
      <c r="L592" s="3486"/>
      <c r="M592" s="3486"/>
      <c r="N592" s="3486"/>
      <c r="O592" s="3486"/>
      <c r="P592" s="3486"/>
      <c r="Q592" s="3486"/>
      <c r="R592" s="3486"/>
      <c r="S592" s="3486"/>
      <c r="T592" s="3486"/>
      <c r="U592" s="3486"/>
      <c r="V592" s="3486"/>
      <c r="W592" s="3486"/>
      <c r="X592" s="3486"/>
      <c r="Y592" s="3943"/>
    </row>
    <row r="593" spans="1:25" s="3492" customFormat="1">
      <c r="A593" s="3485"/>
      <c r="B593" s="3486"/>
      <c r="C593" s="3486"/>
      <c r="D593" s="3486"/>
      <c r="E593" s="3486"/>
      <c r="F593" s="3486"/>
      <c r="G593" s="3486"/>
      <c r="H593" s="3486"/>
      <c r="I593" s="3486"/>
      <c r="J593" s="3486"/>
      <c r="K593" s="3486"/>
      <c r="L593" s="3486"/>
      <c r="M593" s="3486"/>
      <c r="N593" s="3486"/>
      <c r="O593" s="3486"/>
      <c r="P593" s="3486"/>
      <c r="Q593" s="3486"/>
      <c r="R593" s="3486"/>
      <c r="S593" s="3486"/>
      <c r="T593" s="3486"/>
      <c r="U593" s="3486"/>
      <c r="V593" s="3486"/>
      <c r="W593" s="3486"/>
      <c r="X593" s="3486"/>
      <c r="Y593" s="3943"/>
    </row>
    <row r="594" spans="1:25" s="3492" customFormat="1">
      <c r="A594" s="3485"/>
      <c r="B594" s="3486"/>
      <c r="C594" s="3486"/>
      <c r="D594" s="3486"/>
      <c r="E594" s="3486"/>
      <c r="F594" s="3486"/>
      <c r="G594" s="3486"/>
      <c r="H594" s="3486"/>
      <c r="I594" s="3486"/>
      <c r="J594" s="3486"/>
      <c r="K594" s="3486"/>
      <c r="L594" s="3486"/>
      <c r="M594" s="3486"/>
      <c r="N594" s="3486"/>
      <c r="O594" s="3486"/>
      <c r="P594" s="3486"/>
      <c r="Q594" s="3486"/>
      <c r="R594" s="3486"/>
      <c r="S594" s="3486"/>
      <c r="T594" s="3486"/>
      <c r="U594" s="3486"/>
      <c r="V594" s="3486"/>
      <c r="W594" s="3486"/>
      <c r="X594" s="3486"/>
      <c r="Y594" s="3943"/>
    </row>
    <row r="595" spans="1:25" s="3492" customFormat="1">
      <c r="A595" s="3485"/>
      <c r="B595" s="3486"/>
      <c r="C595" s="3486"/>
      <c r="D595" s="3486"/>
      <c r="E595" s="3486"/>
      <c r="F595" s="3486"/>
      <c r="G595" s="3486"/>
      <c r="H595" s="3486"/>
      <c r="I595" s="3486"/>
      <c r="J595" s="3486"/>
      <c r="K595" s="3486"/>
      <c r="L595" s="3486"/>
      <c r="M595" s="3486"/>
      <c r="N595" s="3486"/>
      <c r="O595" s="3486"/>
      <c r="P595" s="3486"/>
      <c r="Q595" s="3486"/>
      <c r="R595" s="3486"/>
      <c r="S595" s="3486"/>
      <c r="T595" s="3486"/>
      <c r="U595" s="3486"/>
      <c r="V595" s="3486"/>
      <c r="W595" s="3486"/>
      <c r="X595" s="3486"/>
      <c r="Y595" s="3943"/>
    </row>
    <row r="596" spans="1:25" s="3492" customFormat="1">
      <c r="A596" s="3485"/>
      <c r="B596" s="3486"/>
      <c r="C596" s="3486"/>
      <c r="D596" s="3486"/>
      <c r="E596" s="3486"/>
      <c r="F596" s="3486"/>
      <c r="G596" s="3486"/>
      <c r="H596" s="3486"/>
      <c r="I596" s="3486"/>
      <c r="J596" s="3486"/>
      <c r="K596" s="3486"/>
      <c r="L596" s="3486"/>
      <c r="M596" s="3486"/>
      <c r="N596" s="3486"/>
      <c r="O596" s="3486"/>
      <c r="P596" s="3486"/>
      <c r="Q596" s="3486"/>
      <c r="R596" s="3486"/>
      <c r="S596" s="3486"/>
      <c r="T596" s="3486"/>
      <c r="U596" s="3486"/>
      <c r="V596" s="3486"/>
      <c r="W596" s="3486"/>
      <c r="X596" s="3486"/>
      <c r="Y596" s="3943"/>
    </row>
    <row r="597" spans="1:25" s="3492" customFormat="1">
      <c r="A597" s="3485"/>
      <c r="B597" s="3486"/>
      <c r="C597" s="3486"/>
      <c r="D597" s="3486"/>
      <c r="E597" s="3486"/>
      <c r="F597" s="3486"/>
      <c r="G597" s="3486"/>
      <c r="H597" s="3486"/>
      <c r="I597" s="3486"/>
      <c r="J597" s="3486"/>
      <c r="K597" s="3486"/>
      <c r="L597" s="3486"/>
      <c r="M597" s="3486"/>
      <c r="N597" s="3486"/>
      <c r="O597" s="3486"/>
      <c r="P597" s="3486"/>
      <c r="Q597" s="3486"/>
      <c r="R597" s="3486"/>
      <c r="S597" s="3486"/>
      <c r="T597" s="3486"/>
      <c r="U597" s="3486"/>
      <c r="V597" s="3486"/>
      <c r="W597" s="3486"/>
      <c r="X597" s="3486"/>
      <c r="Y597" s="3943"/>
    </row>
    <row r="598" spans="1:25" s="3492" customFormat="1">
      <c r="A598" s="3485"/>
      <c r="B598" s="3486"/>
      <c r="C598" s="3486"/>
      <c r="D598" s="3486"/>
      <c r="E598" s="3486"/>
      <c r="F598" s="3486"/>
      <c r="G598" s="3486"/>
      <c r="H598" s="3486"/>
      <c r="I598" s="3486"/>
      <c r="J598" s="3486"/>
      <c r="K598" s="3486"/>
      <c r="L598" s="3486"/>
      <c r="M598" s="3486"/>
      <c r="N598" s="3486"/>
      <c r="O598" s="3486"/>
      <c r="P598" s="3486"/>
      <c r="Q598" s="3486"/>
      <c r="R598" s="3486"/>
      <c r="S598" s="3486"/>
      <c r="T598" s="3486"/>
      <c r="U598" s="3486"/>
      <c r="V598" s="3486"/>
      <c r="W598" s="3486"/>
      <c r="X598" s="3486"/>
      <c r="Y598" s="3943"/>
    </row>
    <row r="599" spans="1:25" s="3492" customFormat="1">
      <c r="A599" s="3485"/>
      <c r="B599" s="3486"/>
      <c r="C599" s="3486"/>
      <c r="D599" s="3486"/>
      <c r="E599" s="3486"/>
      <c r="F599" s="3486"/>
      <c r="G599" s="3486"/>
      <c r="H599" s="3486"/>
      <c r="I599" s="3486"/>
      <c r="J599" s="3486"/>
      <c r="K599" s="3486"/>
      <c r="L599" s="3486"/>
      <c r="M599" s="3486"/>
      <c r="N599" s="3486"/>
      <c r="O599" s="3486"/>
      <c r="P599" s="3486"/>
      <c r="Q599" s="3486"/>
      <c r="R599" s="3486"/>
      <c r="S599" s="3486"/>
      <c r="T599" s="3486"/>
      <c r="U599" s="3486"/>
      <c r="V599" s="3486"/>
      <c r="W599" s="3486"/>
      <c r="X599" s="3486"/>
      <c r="Y599" s="3943"/>
    </row>
    <row r="600" spans="1:25" s="3492" customFormat="1">
      <c r="A600" s="3485"/>
      <c r="B600" s="3486"/>
      <c r="C600" s="3486"/>
      <c r="D600" s="3486"/>
      <c r="E600" s="3486"/>
      <c r="F600" s="3486"/>
      <c r="G600" s="3486"/>
      <c r="H600" s="3486"/>
      <c r="I600" s="3486"/>
      <c r="J600" s="3486"/>
      <c r="K600" s="3486"/>
      <c r="L600" s="3486"/>
      <c r="M600" s="3486"/>
      <c r="N600" s="3486"/>
      <c r="O600" s="3486"/>
      <c r="P600" s="3486"/>
      <c r="Q600" s="3486"/>
      <c r="R600" s="3486"/>
      <c r="S600" s="3486"/>
      <c r="T600" s="3486"/>
      <c r="U600" s="3486"/>
      <c r="V600" s="3486"/>
      <c r="W600" s="3486"/>
      <c r="X600" s="3486"/>
      <c r="Y600" s="3943"/>
    </row>
    <row r="601" spans="1:25" s="3492" customFormat="1">
      <c r="A601" s="3485"/>
      <c r="B601" s="3486"/>
      <c r="C601" s="3486"/>
      <c r="D601" s="3486"/>
      <c r="E601" s="3486"/>
      <c r="F601" s="3486"/>
      <c r="G601" s="3486"/>
      <c r="H601" s="3486"/>
      <c r="I601" s="3486"/>
      <c r="J601" s="3486"/>
      <c r="K601" s="3486"/>
      <c r="L601" s="3486"/>
      <c r="M601" s="3486"/>
      <c r="N601" s="3486"/>
      <c r="O601" s="3486"/>
      <c r="P601" s="3486"/>
      <c r="Q601" s="3486"/>
      <c r="R601" s="3486"/>
      <c r="S601" s="3486"/>
      <c r="T601" s="3486"/>
      <c r="U601" s="3486"/>
      <c r="V601" s="3486"/>
      <c r="W601" s="3486"/>
      <c r="X601" s="3486"/>
      <c r="Y601" s="3943"/>
    </row>
    <row r="602" spans="1:25" s="3492" customFormat="1">
      <c r="A602" s="3485"/>
      <c r="B602" s="3486"/>
      <c r="C602" s="3486"/>
      <c r="D602" s="3486"/>
      <c r="E602" s="3486"/>
      <c r="F602" s="3486"/>
      <c r="G602" s="3486"/>
      <c r="H602" s="3486"/>
      <c r="I602" s="3486"/>
      <c r="J602" s="3486"/>
      <c r="K602" s="3486"/>
      <c r="L602" s="3486"/>
      <c r="M602" s="3486"/>
      <c r="N602" s="3486"/>
      <c r="O602" s="3486"/>
      <c r="P602" s="3486"/>
      <c r="Q602" s="3486"/>
      <c r="R602" s="3486"/>
      <c r="S602" s="3486"/>
      <c r="T602" s="3486"/>
      <c r="U602" s="3486"/>
      <c r="V602" s="3486"/>
      <c r="W602" s="3486"/>
      <c r="X602" s="3486"/>
      <c r="Y602" s="3943"/>
    </row>
    <row r="603" spans="1:25" s="3492" customFormat="1">
      <c r="A603" s="3485"/>
      <c r="B603" s="3486"/>
      <c r="C603" s="3486"/>
      <c r="D603" s="3486"/>
      <c r="E603" s="3486"/>
      <c r="F603" s="3486"/>
      <c r="G603" s="3486"/>
      <c r="H603" s="3486"/>
      <c r="I603" s="3486"/>
      <c r="J603" s="3486"/>
      <c r="K603" s="3486"/>
      <c r="L603" s="3486"/>
      <c r="M603" s="3486"/>
      <c r="N603" s="3486"/>
      <c r="O603" s="3486"/>
      <c r="P603" s="3486"/>
      <c r="Q603" s="3486"/>
      <c r="R603" s="3486"/>
      <c r="S603" s="3486"/>
      <c r="T603" s="3486"/>
      <c r="U603" s="3486"/>
      <c r="V603" s="3486"/>
      <c r="W603" s="3486"/>
      <c r="X603" s="3486"/>
      <c r="Y603" s="3943"/>
    </row>
    <row r="604" spans="1:25" s="3492" customFormat="1">
      <c r="A604" s="3485"/>
      <c r="B604" s="3486"/>
      <c r="C604" s="3486"/>
      <c r="D604" s="3486"/>
      <c r="E604" s="3486"/>
      <c r="F604" s="3486"/>
      <c r="G604" s="3486"/>
      <c r="H604" s="3486"/>
      <c r="I604" s="3486"/>
      <c r="J604" s="3486"/>
      <c r="K604" s="3486"/>
      <c r="L604" s="3486"/>
      <c r="M604" s="3486"/>
      <c r="N604" s="3486"/>
      <c r="O604" s="3486"/>
      <c r="P604" s="3486"/>
      <c r="Q604" s="3486"/>
      <c r="R604" s="3486"/>
      <c r="S604" s="3486"/>
      <c r="T604" s="3486"/>
      <c r="U604" s="3486"/>
      <c r="V604" s="3486"/>
      <c r="W604" s="3486"/>
      <c r="X604" s="3486"/>
      <c r="Y604" s="3943"/>
    </row>
    <row r="605" spans="1:25" s="3492" customFormat="1">
      <c r="A605" s="3485"/>
      <c r="B605" s="3486"/>
      <c r="C605" s="3486"/>
      <c r="D605" s="3486"/>
      <c r="E605" s="3486"/>
      <c r="F605" s="3486"/>
      <c r="G605" s="3486"/>
      <c r="H605" s="3486"/>
      <c r="I605" s="3486"/>
      <c r="J605" s="3486"/>
      <c r="K605" s="3486"/>
      <c r="L605" s="3486"/>
      <c r="M605" s="3486"/>
      <c r="N605" s="3486"/>
      <c r="O605" s="3486"/>
      <c r="P605" s="3486"/>
      <c r="Q605" s="3486"/>
      <c r="R605" s="3486"/>
      <c r="S605" s="3486"/>
      <c r="T605" s="3486"/>
      <c r="U605" s="3486"/>
      <c r="V605" s="3486"/>
      <c r="W605" s="3486"/>
      <c r="X605" s="3486"/>
      <c r="Y605" s="3943"/>
    </row>
    <row r="606" spans="1:25" s="3492" customFormat="1">
      <c r="A606" s="3485"/>
      <c r="B606" s="3486"/>
      <c r="C606" s="3486"/>
      <c r="D606" s="3486"/>
      <c r="E606" s="3486"/>
      <c r="F606" s="3486"/>
      <c r="G606" s="3486"/>
      <c r="H606" s="3486"/>
      <c r="I606" s="3486"/>
      <c r="J606" s="3486"/>
      <c r="K606" s="3486"/>
      <c r="L606" s="3486"/>
      <c r="M606" s="3486"/>
      <c r="N606" s="3486"/>
      <c r="O606" s="3486"/>
      <c r="P606" s="3486"/>
      <c r="Q606" s="3486"/>
      <c r="R606" s="3486"/>
      <c r="S606" s="3486"/>
      <c r="T606" s="3486"/>
      <c r="U606" s="3486"/>
      <c r="V606" s="3486"/>
      <c r="W606" s="3486"/>
      <c r="X606" s="3486"/>
      <c r="Y606" s="3943"/>
    </row>
    <row r="607" spans="1:25" s="3492" customFormat="1">
      <c r="A607" s="3485"/>
      <c r="B607" s="3486"/>
      <c r="C607" s="3486"/>
      <c r="D607" s="3486"/>
      <c r="E607" s="3486"/>
      <c r="F607" s="3486"/>
      <c r="G607" s="3486"/>
      <c r="H607" s="3486"/>
      <c r="I607" s="3486"/>
      <c r="J607" s="3486"/>
      <c r="K607" s="3486"/>
      <c r="L607" s="3486"/>
      <c r="M607" s="3486"/>
      <c r="N607" s="3486"/>
      <c r="O607" s="3486"/>
      <c r="P607" s="3486"/>
      <c r="Q607" s="3486"/>
      <c r="R607" s="3486"/>
      <c r="S607" s="3486"/>
      <c r="T607" s="3486"/>
      <c r="U607" s="3486"/>
      <c r="V607" s="3486"/>
      <c r="W607" s="3486"/>
      <c r="X607" s="3486"/>
      <c r="Y607" s="3943"/>
    </row>
    <row r="608" spans="1:25" s="3492" customFormat="1">
      <c r="A608" s="3485"/>
      <c r="B608" s="3486"/>
      <c r="C608" s="3486"/>
      <c r="D608" s="3486"/>
      <c r="E608" s="3486"/>
      <c r="F608" s="3486"/>
      <c r="G608" s="3486"/>
      <c r="H608" s="3486"/>
      <c r="I608" s="3486"/>
      <c r="J608" s="3486"/>
      <c r="K608" s="3486"/>
      <c r="L608" s="3486"/>
      <c r="M608" s="3486"/>
      <c r="N608" s="3486"/>
      <c r="O608" s="3486"/>
      <c r="P608" s="3486"/>
      <c r="Q608" s="3486"/>
      <c r="R608" s="3486"/>
      <c r="S608" s="3486"/>
      <c r="T608" s="3486"/>
      <c r="U608" s="3486"/>
      <c r="V608" s="3486"/>
      <c r="W608" s="3486"/>
      <c r="X608" s="3486"/>
      <c r="Y608" s="3943"/>
    </row>
    <row r="609" spans="1:25" s="3492" customFormat="1">
      <c r="A609" s="3485"/>
      <c r="B609" s="3486"/>
      <c r="C609" s="3486"/>
      <c r="D609" s="3486"/>
      <c r="E609" s="3486"/>
      <c r="F609" s="3486"/>
      <c r="G609" s="3486"/>
      <c r="H609" s="3486"/>
      <c r="I609" s="3486"/>
      <c r="J609" s="3486"/>
      <c r="K609" s="3486"/>
      <c r="L609" s="3486"/>
      <c r="M609" s="3486"/>
      <c r="N609" s="3486"/>
      <c r="O609" s="3486"/>
      <c r="P609" s="3486"/>
      <c r="Q609" s="3486"/>
      <c r="R609" s="3486"/>
      <c r="S609" s="3486"/>
      <c r="T609" s="3486"/>
      <c r="U609" s="3486"/>
      <c r="V609" s="3486"/>
      <c r="W609" s="3486"/>
      <c r="X609" s="3486"/>
      <c r="Y609" s="3943"/>
    </row>
    <row r="610" spans="1:25" s="3492" customFormat="1">
      <c r="A610" s="3485"/>
      <c r="B610" s="3486"/>
      <c r="C610" s="3486"/>
      <c r="D610" s="3486"/>
      <c r="E610" s="3486"/>
      <c r="F610" s="3486"/>
      <c r="G610" s="3486"/>
      <c r="H610" s="3486"/>
      <c r="I610" s="3486"/>
      <c r="J610" s="3486"/>
      <c r="K610" s="3486"/>
      <c r="L610" s="3486"/>
      <c r="M610" s="3486"/>
      <c r="N610" s="3486"/>
      <c r="O610" s="3486"/>
      <c r="P610" s="3486"/>
      <c r="Q610" s="3486"/>
      <c r="R610" s="3486"/>
      <c r="S610" s="3486"/>
      <c r="T610" s="3486"/>
      <c r="U610" s="3486"/>
      <c r="V610" s="3486"/>
      <c r="W610" s="3486"/>
      <c r="X610" s="3486"/>
      <c r="Y610" s="3943"/>
    </row>
    <row r="611" spans="1:25" s="3492" customFormat="1">
      <c r="A611" s="3485"/>
      <c r="B611" s="3486"/>
      <c r="C611" s="3486"/>
      <c r="D611" s="3486"/>
      <c r="E611" s="3486"/>
      <c r="F611" s="3486"/>
      <c r="G611" s="3486"/>
      <c r="H611" s="3486"/>
      <c r="I611" s="3486"/>
      <c r="J611" s="3486"/>
      <c r="K611" s="3486"/>
      <c r="L611" s="3486"/>
      <c r="M611" s="3486"/>
      <c r="N611" s="3486"/>
      <c r="O611" s="3486"/>
      <c r="P611" s="3486"/>
      <c r="Q611" s="3486"/>
      <c r="R611" s="3486"/>
      <c r="S611" s="3486"/>
      <c r="T611" s="3486"/>
      <c r="U611" s="3486"/>
      <c r="V611" s="3486"/>
      <c r="W611" s="3486"/>
      <c r="X611" s="3486"/>
      <c r="Y611" s="3943"/>
    </row>
    <row r="612" spans="1:25" s="3492" customFormat="1">
      <c r="A612" s="3485"/>
      <c r="B612" s="3486"/>
      <c r="C612" s="3486"/>
      <c r="D612" s="3486"/>
      <c r="E612" s="3486"/>
      <c r="F612" s="3486"/>
      <c r="G612" s="3486"/>
      <c r="H612" s="3486"/>
      <c r="I612" s="3486"/>
      <c r="J612" s="3486"/>
      <c r="K612" s="3486"/>
      <c r="L612" s="3486"/>
      <c r="M612" s="3486"/>
      <c r="N612" s="3486"/>
      <c r="O612" s="3486"/>
      <c r="P612" s="3486"/>
      <c r="Q612" s="3486"/>
      <c r="R612" s="3486"/>
      <c r="S612" s="3486"/>
      <c r="T612" s="3486"/>
      <c r="U612" s="3486"/>
      <c r="V612" s="3486"/>
      <c r="W612" s="3486"/>
      <c r="X612" s="3486"/>
      <c r="Y612" s="3943"/>
    </row>
    <row r="613" spans="1:25" s="3492" customFormat="1">
      <c r="A613" s="3485"/>
      <c r="B613" s="3486"/>
      <c r="C613" s="3486"/>
      <c r="D613" s="3486"/>
      <c r="E613" s="3486"/>
      <c r="F613" s="3486"/>
      <c r="G613" s="3486"/>
      <c r="H613" s="3486"/>
      <c r="I613" s="3486"/>
      <c r="J613" s="3486"/>
      <c r="K613" s="3486"/>
      <c r="L613" s="3486"/>
      <c r="M613" s="3486"/>
      <c r="N613" s="3486"/>
      <c r="O613" s="3486"/>
      <c r="P613" s="3486"/>
      <c r="Q613" s="3486"/>
      <c r="R613" s="3486"/>
      <c r="S613" s="3486"/>
      <c r="T613" s="3486"/>
      <c r="U613" s="3486"/>
      <c r="V613" s="3486"/>
      <c r="W613" s="3486"/>
      <c r="X613" s="3486"/>
      <c r="Y613" s="3943"/>
    </row>
    <row r="614" spans="1:25" s="3492" customFormat="1">
      <c r="A614" s="3485"/>
      <c r="B614" s="3486"/>
      <c r="C614" s="3486"/>
      <c r="D614" s="3486"/>
      <c r="E614" s="3486"/>
      <c r="F614" s="3486"/>
      <c r="G614" s="3486"/>
      <c r="H614" s="3486"/>
      <c r="I614" s="3486"/>
      <c r="J614" s="3486"/>
      <c r="K614" s="3486"/>
      <c r="L614" s="3486"/>
      <c r="M614" s="3486"/>
      <c r="N614" s="3486"/>
      <c r="O614" s="3486"/>
      <c r="P614" s="3486"/>
      <c r="Q614" s="3486"/>
      <c r="R614" s="3486"/>
      <c r="S614" s="3486"/>
      <c r="T614" s="3486"/>
      <c r="U614" s="3486"/>
      <c r="V614" s="3486"/>
      <c r="W614" s="3486"/>
      <c r="X614" s="3486"/>
      <c r="Y614" s="3943"/>
    </row>
    <row r="615" spans="1:25" s="3492" customFormat="1">
      <c r="A615" s="3485"/>
      <c r="B615" s="3486"/>
      <c r="C615" s="3486"/>
      <c r="D615" s="3486"/>
      <c r="E615" s="3486"/>
      <c r="F615" s="3486"/>
      <c r="G615" s="3486"/>
      <c r="H615" s="3486"/>
      <c r="I615" s="3486"/>
      <c r="J615" s="3486"/>
      <c r="K615" s="3486"/>
      <c r="L615" s="3486"/>
      <c r="M615" s="3486"/>
      <c r="N615" s="3486"/>
      <c r="O615" s="3486"/>
      <c r="P615" s="3486"/>
      <c r="Q615" s="3486"/>
      <c r="R615" s="3486"/>
      <c r="S615" s="3486"/>
      <c r="T615" s="3486"/>
      <c r="U615" s="3486"/>
      <c r="V615" s="3486"/>
      <c r="W615" s="3486"/>
      <c r="X615" s="3486"/>
      <c r="Y615" s="3943"/>
    </row>
    <row r="616" spans="1:25" s="3492" customFormat="1">
      <c r="A616" s="3485"/>
      <c r="B616" s="3486"/>
      <c r="C616" s="3486"/>
      <c r="D616" s="3486"/>
      <c r="E616" s="3486"/>
      <c r="F616" s="3486"/>
      <c r="G616" s="3486"/>
      <c r="H616" s="3486"/>
      <c r="I616" s="3486"/>
      <c r="J616" s="3486"/>
      <c r="K616" s="3486"/>
      <c r="L616" s="3486"/>
      <c r="M616" s="3486"/>
      <c r="N616" s="3486"/>
      <c r="O616" s="3486"/>
      <c r="P616" s="3486"/>
      <c r="Q616" s="3486"/>
      <c r="R616" s="3486"/>
      <c r="S616" s="3486"/>
      <c r="T616" s="3486"/>
      <c r="U616" s="3486"/>
      <c r="V616" s="3486"/>
      <c r="W616" s="3486"/>
      <c r="X616" s="3486"/>
      <c r="Y616" s="3943"/>
    </row>
    <row r="617" spans="1:25" s="3492" customFormat="1">
      <c r="A617" s="3485"/>
      <c r="B617" s="3486"/>
      <c r="C617" s="3486"/>
      <c r="D617" s="3486"/>
      <c r="E617" s="3486"/>
      <c r="F617" s="3486"/>
      <c r="G617" s="3486"/>
      <c r="H617" s="3486"/>
      <c r="I617" s="3486"/>
      <c r="J617" s="3486"/>
      <c r="K617" s="3486"/>
      <c r="L617" s="3486"/>
      <c r="M617" s="3486"/>
      <c r="N617" s="3486"/>
      <c r="O617" s="3486"/>
      <c r="P617" s="3486"/>
      <c r="Q617" s="3486"/>
      <c r="R617" s="3486"/>
      <c r="S617" s="3486"/>
      <c r="T617" s="3486"/>
      <c r="U617" s="3486"/>
      <c r="V617" s="3486"/>
      <c r="W617" s="3486"/>
      <c r="X617" s="3486"/>
      <c r="Y617" s="3943"/>
    </row>
    <row r="618" spans="1:25" s="3492" customFormat="1">
      <c r="A618" s="3485"/>
      <c r="B618" s="3486"/>
      <c r="C618" s="3486"/>
      <c r="D618" s="3486"/>
      <c r="E618" s="3486"/>
      <c r="F618" s="3486"/>
      <c r="G618" s="3486"/>
      <c r="H618" s="3486"/>
      <c r="I618" s="3486"/>
      <c r="J618" s="3486"/>
      <c r="K618" s="3486"/>
      <c r="L618" s="3486"/>
      <c r="M618" s="3486"/>
      <c r="N618" s="3486"/>
      <c r="O618" s="3486"/>
      <c r="P618" s="3486"/>
      <c r="Q618" s="3486"/>
      <c r="R618" s="3486"/>
      <c r="S618" s="3486"/>
      <c r="T618" s="3486"/>
      <c r="U618" s="3486"/>
      <c r="V618" s="3486"/>
      <c r="W618" s="3486"/>
      <c r="X618" s="3486"/>
      <c r="Y618" s="3943"/>
    </row>
    <row r="619" spans="1:25" s="3492" customFormat="1">
      <c r="A619" s="3485"/>
      <c r="B619" s="3486"/>
      <c r="C619" s="3486"/>
      <c r="D619" s="3486"/>
      <c r="E619" s="3486"/>
      <c r="F619" s="3486"/>
      <c r="G619" s="3486"/>
      <c r="H619" s="3486"/>
      <c r="I619" s="3486"/>
      <c r="J619" s="3486"/>
      <c r="K619" s="3486"/>
      <c r="L619" s="3486"/>
      <c r="M619" s="3486"/>
      <c r="N619" s="3486"/>
      <c r="O619" s="3486"/>
      <c r="P619" s="3486"/>
      <c r="Q619" s="3486"/>
      <c r="R619" s="3486"/>
      <c r="S619" s="3486"/>
      <c r="T619" s="3486"/>
      <c r="U619" s="3486"/>
      <c r="V619" s="3486"/>
      <c r="W619" s="3486"/>
      <c r="X619" s="3486"/>
      <c r="Y619" s="3943"/>
    </row>
    <row r="620" spans="1:25" s="3492" customFormat="1">
      <c r="A620" s="3485"/>
      <c r="B620" s="3486"/>
      <c r="C620" s="3486"/>
      <c r="D620" s="3486"/>
      <c r="E620" s="3486"/>
      <c r="F620" s="3486"/>
      <c r="G620" s="3486"/>
      <c r="H620" s="3486"/>
      <c r="I620" s="3486"/>
      <c r="J620" s="3486"/>
      <c r="K620" s="3486"/>
      <c r="L620" s="3486"/>
      <c r="M620" s="3486"/>
      <c r="N620" s="3486"/>
      <c r="O620" s="3486"/>
      <c r="P620" s="3486"/>
      <c r="Q620" s="3486"/>
      <c r="R620" s="3486"/>
      <c r="S620" s="3486"/>
      <c r="T620" s="3486"/>
      <c r="U620" s="3486"/>
      <c r="V620" s="3486"/>
      <c r="W620" s="3486"/>
      <c r="X620" s="3486"/>
      <c r="Y620" s="3943"/>
    </row>
    <row r="621" spans="1:25" s="3492" customFormat="1">
      <c r="A621" s="3485"/>
      <c r="B621" s="3486"/>
      <c r="C621" s="3486"/>
      <c r="D621" s="3486"/>
      <c r="E621" s="3486"/>
      <c r="F621" s="3486"/>
      <c r="G621" s="3486"/>
      <c r="H621" s="3486"/>
      <c r="I621" s="3486"/>
      <c r="J621" s="3486"/>
      <c r="K621" s="3486"/>
      <c r="L621" s="3486"/>
      <c r="M621" s="3486"/>
      <c r="N621" s="3486"/>
      <c r="O621" s="3486"/>
      <c r="P621" s="3486"/>
      <c r="Q621" s="3486"/>
      <c r="R621" s="3486"/>
      <c r="S621" s="3486"/>
      <c r="T621" s="3486"/>
      <c r="U621" s="3486"/>
      <c r="V621" s="3486"/>
      <c r="W621" s="3486"/>
      <c r="X621" s="3486"/>
      <c r="Y621" s="3943"/>
    </row>
    <row r="622" spans="1:25" s="3492" customFormat="1">
      <c r="A622" s="3485"/>
      <c r="B622" s="3486"/>
      <c r="C622" s="3486"/>
      <c r="D622" s="3486"/>
      <c r="E622" s="3486"/>
      <c r="F622" s="3486"/>
      <c r="G622" s="3486"/>
      <c r="H622" s="3486"/>
      <c r="I622" s="3486"/>
      <c r="J622" s="3486"/>
      <c r="K622" s="3486"/>
      <c r="L622" s="3486"/>
      <c r="M622" s="3486"/>
      <c r="N622" s="3486"/>
      <c r="O622" s="3486"/>
      <c r="P622" s="3486"/>
      <c r="Q622" s="3486"/>
      <c r="R622" s="3486"/>
      <c r="S622" s="3486"/>
      <c r="T622" s="3486"/>
      <c r="U622" s="3486"/>
      <c r="V622" s="3486"/>
      <c r="W622" s="3486"/>
      <c r="X622" s="3486"/>
      <c r="Y622" s="3943"/>
    </row>
    <row r="623" spans="1:25" s="3492" customFormat="1">
      <c r="A623" s="3485"/>
      <c r="B623" s="3486"/>
      <c r="C623" s="3486"/>
      <c r="D623" s="3486"/>
      <c r="E623" s="3486"/>
      <c r="F623" s="3486"/>
      <c r="G623" s="3486"/>
      <c r="H623" s="3486"/>
      <c r="I623" s="3486"/>
      <c r="J623" s="3486"/>
      <c r="K623" s="3486"/>
      <c r="L623" s="3486"/>
      <c r="M623" s="3486"/>
      <c r="N623" s="3486"/>
      <c r="O623" s="3486"/>
      <c r="P623" s="3486"/>
      <c r="Q623" s="3486"/>
      <c r="R623" s="3486"/>
      <c r="S623" s="3486"/>
      <c r="T623" s="3486"/>
      <c r="U623" s="3486"/>
      <c r="V623" s="3486"/>
      <c r="W623" s="3486"/>
      <c r="X623" s="3486"/>
      <c r="Y623" s="3943"/>
    </row>
    <row r="624" spans="1:25" s="3492" customFormat="1">
      <c r="A624" s="3485"/>
      <c r="B624" s="3486"/>
      <c r="C624" s="3486"/>
      <c r="D624" s="3486"/>
      <c r="E624" s="3486"/>
      <c r="F624" s="3486"/>
      <c r="G624" s="3486"/>
      <c r="H624" s="3486"/>
      <c r="I624" s="3486"/>
      <c r="J624" s="3486"/>
      <c r="K624" s="3486"/>
      <c r="L624" s="3486"/>
      <c r="M624" s="3486"/>
      <c r="N624" s="3486"/>
      <c r="O624" s="3486"/>
      <c r="P624" s="3486"/>
      <c r="Q624" s="3486"/>
      <c r="R624" s="3486"/>
      <c r="S624" s="3486"/>
      <c r="T624" s="3486"/>
      <c r="U624" s="3486"/>
      <c r="V624" s="3486"/>
      <c r="W624" s="3486"/>
      <c r="X624" s="3486"/>
      <c r="Y624" s="3943"/>
    </row>
    <row r="625" spans="1:25" s="3492" customFormat="1">
      <c r="A625" s="3485"/>
      <c r="B625" s="3486"/>
      <c r="C625" s="3486"/>
      <c r="D625" s="3486"/>
      <c r="E625" s="3486"/>
      <c r="F625" s="3486"/>
      <c r="G625" s="3486"/>
      <c r="H625" s="3486"/>
      <c r="I625" s="3486"/>
      <c r="J625" s="3486"/>
      <c r="K625" s="3486"/>
      <c r="L625" s="3486"/>
      <c r="M625" s="3486"/>
      <c r="N625" s="3486"/>
      <c r="O625" s="3486"/>
      <c r="P625" s="3486"/>
      <c r="Q625" s="3486"/>
      <c r="R625" s="3486"/>
      <c r="S625" s="3486"/>
      <c r="T625" s="3486"/>
      <c r="U625" s="3486"/>
      <c r="V625" s="3486"/>
      <c r="W625" s="3486"/>
      <c r="X625" s="3486"/>
      <c r="Y625" s="3943"/>
    </row>
    <row r="626" spans="1:25" s="3492" customFormat="1">
      <c r="A626" s="3485"/>
      <c r="B626" s="3486"/>
      <c r="C626" s="3486"/>
      <c r="D626" s="3486"/>
      <c r="E626" s="3486"/>
      <c r="F626" s="3486"/>
      <c r="G626" s="3486"/>
      <c r="H626" s="3486"/>
      <c r="I626" s="3486"/>
      <c r="J626" s="3486"/>
      <c r="K626" s="3486"/>
      <c r="L626" s="3486"/>
      <c r="M626" s="3486"/>
      <c r="N626" s="3486"/>
      <c r="O626" s="3486"/>
      <c r="P626" s="3486"/>
      <c r="Q626" s="3486"/>
      <c r="R626" s="3486"/>
      <c r="S626" s="3486"/>
      <c r="T626" s="3486"/>
      <c r="U626" s="3486"/>
      <c r="V626" s="3486"/>
      <c r="W626" s="3486"/>
      <c r="X626" s="3486"/>
      <c r="Y626" s="3943"/>
    </row>
    <row r="627" spans="1:25" s="3492" customFormat="1">
      <c r="A627" s="3485"/>
      <c r="B627" s="3486"/>
      <c r="C627" s="3486"/>
      <c r="D627" s="3486"/>
      <c r="E627" s="3486"/>
      <c r="F627" s="3486"/>
      <c r="G627" s="3486"/>
      <c r="H627" s="3486"/>
      <c r="I627" s="3486"/>
      <c r="J627" s="3486"/>
      <c r="K627" s="3486"/>
      <c r="L627" s="3486"/>
      <c r="M627" s="3486"/>
      <c r="N627" s="3486"/>
      <c r="O627" s="3486"/>
      <c r="P627" s="3486"/>
      <c r="Q627" s="3486"/>
      <c r="R627" s="3486"/>
      <c r="S627" s="3486"/>
      <c r="T627" s="3486"/>
      <c r="U627" s="3486"/>
      <c r="V627" s="3486"/>
      <c r="W627" s="3486"/>
      <c r="X627" s="3486"/>
      <c r="Y627" s="3943"/>
    </row>
    <row r="628" spans="1:25" s="3492" customFormat="1">
      <c r="A628" s="3485"/>
      <c r="B628" s="3486"/>
      <c r="C628" s="3486"/>
      <c r="D628" s="3486"/>
      <c r="E628" s="3486"/>
      <c r="F628" s="3486"/>
      <c r="G628" s="3486"/>
      <c r="H628" s="3486"/>
      <c r="I628" s="3486"/>
      <c r="J628" s="3486"/>
      <c r="K628" s="3486"/>
      <c r="L628" s="3486"/>
      <c r="M628" s="3486"/>
      <c r="N628" s="3486"/>
      <c r="O628" s="3486"/>
      <c r="P628" s="3486"/>
      <c r="Q628" s="3486"/>
      <c r="R628" s="3486"/>
      <c r="S628" s="3486"/>
      <c r="T628" s="3486"/>
      <c r="U628" s="3486"/>
      <c r="V628" s="3486"/>
      <c r="W628" s="3486"/>
      <c r="X628" s="3486"/>
      <c r="Y628" s="3943"/>
    </row>
    <row r="629" spans="1:25" s="3492" customFormat="1">
      <c r="A629" s="3485"/>
      <c r="B629" s="3486"/>
      <c r="C629" s="3486"/>
      <c r="D629" s="3486"/>
      <c r="E629" s="3486"/>
      <c r="F629" s="3486"/>
      <c r="G629" s="3486"/>
      <c r="H629" s="3486"/>
      <c r="I629" s="3486"/>
      <c r="J629" s="3486"/>
      <c r="K629" s="3486"/>
      <c r="L629" s="3486"/>
      <c r="M629" s="3486"/>
      <c r="N629" s="3486"/>
      <c r="O629" s="3486"/>
      <c r="P629" s="3486"/>
      <c r="Q629" s="3486"/>
      <c r="R629" s="3486"/>
      <c r="S629" s="3486"/>
      <c r="T629" s="3486"/>
      <c r="U629" s="3486"/>
      <c r="V629" s="3486"/>
      <c r="W629" s="3486"/>
      <c r="X629" s="3486"/>
      <c r="Y629" s="3943"/>
    </row>
    <row r="630" spans="1:25" s="3492" customFormat="1">
      <c r="A630" s="3485"/>
      <c r="B630" s="3486"/>
      <c r="C630" s="3486"/>
      <c r="D630" s="3486"/>
      <c r="E630" s="3486"/>
      <c r="F630" s="3486"/>
      <c r="G630" s="3486"/>
      <c r="H630" s="3486"/>
      <c r="I630" s="3486"/>
      <c r="J630" s="3486"/>
      <c r="K630" s="3486"/>
      <c r="L630" s="3486"/>
      <c r="M630" s="3486"/>
      <c r="N630" s="3486"/>
      <c r="O630" s="3486"/>
      <c r="P630" s="3486"/>
      <c r="Q630" s="3486"/>
      <c r="R630" s="3486"/>
      <c r="S630" s="3486"/>
      <c r="T630" s="3486"/>
      <c r="U630" s="3486"/>
      <c r="V630" s="3486"/>
      <c r="W630" s="3486"/>
      <c r="X630" s="3486"/>
      <c r="Y630" s="3943"/>
    </row>
    <row r="631" spans="1:25" s="3492" customFormat="1">
      <c r="A631" s="3485"/>
      <c r="B631" s="3486"/>
      <c r="C631" s="3486"/>
      <c r="D631" s="3486"/>
      <c r="E631" s="3486"/>
      <c r="F631" s="3486"/>
      <c r="G631" s="3486"/>
      <c r="H631" s="3486"/>
      <c r="I631" s="3486"/>
      <c r="J631" s="3486"/>
      <c r="K631" s="3486"/>
      <c r="L631" s="3486"/>
      <c r="M631" s="3486"/>
      <c r="N631" s="3486"/>
      <c r="O631" s="3486"/>
      <c r="P631" s="3486"/>
      <c r="Q631" s="3486"/>
      <c r="R631" s="3486"/>
      <c r="S631" s="3486"/>
      <c r="T631" s="3486"/>
      <c r="U631" s="3486"/>
      <c r="V631" s="3486"/>
      <c r="W631" s="3486"/>
      <c r="X631" s="3486"/>
      <c r="Y631" s="3943"/>
    </row>
    <row r="632" spans="1:25" s="3492" customFormat="1">
      <c r="A632" s="3485"/>
      <c r="B632" s="3486"/>
      <c r="C632" s="3486"/>
      <c r="D632" s="3486"/>
      <c r="E632" s="3486"/>
      <c r="F632" s="3486"/>
      <c r="G632" s="3486"/>
      <c r="H632" s="3486"/>
      <c r="I632" s="3486"/>
      <c r="J632" s="3486"/>
      <c r="K632" s="3486"/>
      <c r="L632" s="3486"/>
      <c r="M632" s="3486"/>
      <c r="N632" s="3486"/>
      <c r="O632" s="3486"/>
      <c r="P632" s="3486"/>
      <c r="Q632" s="3486"/>
      <c r="R632" s="3486"/>
      <c r="S632" s="3486"/>
      <c r="T632" s="3486"/>
      <c r="U632" s="3486"/>
      <c r="V632" s="3486"/>
      <c r="W632" s="3486"/>
      <c r="X632" s="3486"/>
      <c r="Y632" s="3943"/>
    </row>
    <row r="633" spans="1:25" s="3492" customFormat="1">
      <c r="A633" s="3485"/>
      <c r="B633" s="3486"/>
      <c r="C633" s="3486"/>
      <c r="D633" s="3486"/>
      <c r="E633" s="3486"/>
      <c r="F633" s="3486"/>
      <c r="G633" s="3486"/>
      <c r="H633" s="3486"/>
      <c r="I633" s="3486"/>
      <c r="J633" s="3486"/>
      <c r="K633" s="3486"/>
      <c r="L633" s="3486"/>
      <c r="M633" s="3486"/>
      <c r="N633" s="3486"/>
      <c r="O633" s="3486"/>
      <c r="P633" s="3486"/>
      <c r="Q633" s="3486"/>
      <c r="R633" s="3486"/>
      <c r="S633" s="3486"/>
      <c r="T633" s="3486"/>
      <c r="U633" s="3486"/>
      <c r="V633" s="3486"/>
      <c r="W633" s="3486"/>
      <c r="X633" s="3486"/>
      <c r="Y633" s="3943"/>
    </row>
    <row r="634" spans="1:25" s="3492" customFormat="1">
      <c r="A634" s="3485"/>
      <c r="B634" s="3486"/>
      <c r="C634" s="3486"/>
      <c r="D634" s="3486"/>
      <c r="E634" s="3486"/>
      <c r="F634" s="3486"/>
      <c r="G634" s="3486"/>
      <c r="H634" s="3486"/>
      <c r="I634" s="3486"/>
      <c r="J634" s="3486"/>
      <c r="K634" s="3486"/>
      <c r="L634" s="3486"/>
      <c r="M634" s="3486"/>
      <c r="N634" s="3486"/>
      <c r="O634" s="3486"/>
      <c r="P634" s="3486"/>
      <c r="Q634" s="3486"/>
      <c r="R634" s="3486"/>
      <c r="S634" s="3486"/>
      <c r="T634" s="3486"/>
      <c r="U634" s="3486"/>
      <c r="V634" s="3486"/>
      <c r="W634" s="3486"/>
      <c r="X634" s="3486"/>
      <c r="Y634" s="3943"/>
    </row>
    <row r="635" spans="1:25" s="3492" customFormat="1">
      <c r="A635" s="3485"/>
      <c r="B635" s="3486"/>
      <c r="C635" s="3486"/>
      <c r="D635" s="3486"/>
      <c r="E635" s="3486"/>
      <c r="F635" s="3486"/>
      <c r="G635" s="3486"/>
      <c r="H635" s="3486"/>
      <c r="I635" s="3486"/>
      <c r="J635" s="3486"/>
      <c r="K635" s="3486"/>
      <c r="L635" s="3486"/>
      <c r="M635" s="3486"/>
      <c r="N635" s="3486"/>
      <c r="O635" s="3486"/>
      <c r="P635" s="3486"/>
      <c r="Q635" s="3486"/>
      <c r="R635" s="3486"/>
      <c r="S635" s="3486"/>
      <c r="T635" s="3486"/>
      <c r="U635" s="3486"/>
      <c r="V635" s="3486"/>
      <c r="W635" s="3486"/>
      <c r="X635" s="3486"/>
      <c r="Y635" s="3943"/>
    </row>
    <row r="636" spans="1:25" s="3492" customFormat="1">
      <c r="A636" s="3485"/>
      <c r="B636" s="3486"/>
      <c r="C636" s="3486"/>
      <c r="D636" s="3486"/>
      <c r="E636" s="3486"/>
      <c r="F636" s="3486"/>
      <c r="G636" s="3486"/>
      <c r="H636" s="3486"/>
      <c r="I636" s="3486"/>
      <c r="J636" s="3486"/>
      <c r="K636" s="3486"/>
      <c r="L636" s="3486"/>
      <c r="M636" s="3486"/>
      <c r="N636" s="3486"/>
      <c r="O636" s="3486"/>
      <c r="P636" s="3486"/>
      <c r="Q636" s="3486"/>
      <c r="R636" s="3486"/>
      <c r="S636" s="3486"/>
      <c r="T636" s="3486"/>
      <c r="U636" s="3486"/>
      <c r="V636" s="3486"/>
      <c r="W636" s="3486"/>
      <c r="X636" s="3486"/>
      <c r="Y636" s="3943"/>
    </row>
    <row r="637" spans="1:25" s="3492" customFormat="1">
      <c r="A637" s="3485"/>
      <c r="B637" s="3486"/>
      <c r="C637" s="3486"/>
      <c r="D637" s="3486"/>
      <c r="E637" s="3486"/>
      <c r="F637" s="3486"/>
      <c r="G637" s="3486"/>
      <c r="H637" s="3486"/>
      <c r="I637" s="3486"/>
      <c r="J637" s="3486"/>
      <c r="K637" s="3486"/>
      <c r="L637" s="3486"/>
      <c r="M637" s="3486"/>
      <c r="N637" s="3486"/>
      <c r="O637" s="3486"/>
      <c r="P637" s="3486"/>
      <c r="Q637" s="3486"/>
      <c r="R637" s="3486"/>
      <c r="S637" s="3486"/>
      <c r="T637" s="3486"/>
      <c r="U637" s="3486"/>
      <c r="V637" s="3486"/>
      <c r="W637" s="3486"/>
      <c r="X637" s="3486"/>
      <c r="Y637" s="3943"/>
    </row>
    <row r="638" spans="1:25" s="3492" customFormat="1">
      <c r="A638" s="3485"/>
      <c r="B638" s="3486"/>
      <c r="C638" s="3486"/>
      <c r="D638" s="3486"/>
      <c r="E638" s="3486"/>
      <c r="F638" s="3486"/>
      <c r="G638" s="3486"/>
      <c r="H638" s="3486"/>
      <c r="I638" s="3486"/>
      <c r="J638" s="3486"/>
      <c r="K638" s="3486"/>
      <c r="L638" s="3486"/>
      <c r="M638" s="3486"/>
      <c r="N638" s="3486"/>
      <c r="O638" s="3486"/>
      <c r="P638" s="3486"/>
      <c r="Q638" s="3486"/>
      <c r="R638" s="3486"/>
      <c r="S638" s="3486"/>
      <c r="T638" s="3486"/>
      <c r="U638" s="3486"/>
      <c r="V638" s="3486"/>
      <c r="W638" s="3486"/>
      <c r="X638" s="3486"/>
      <c r="Y638" s="3943"/>
    </row>
    <row r="639" spans="1:25" s="3492" customFormat="1">
      <c r="A639" s="3485"/>
      <c r="B639" s="3486"/>
      <c r="C639" s="3486"/>
      <c r="D639" s="3486"/>
      <c r="E639" s="3486"/>
      <c r="F639" s="3486"/>
      <c r="G639" s="3486"/>
      <c r="H639" s="3486"/>
      <c r="I639" s="3486"/>
      <c r="J639" s="3486"/>
      <c r="K639" s="3486"/>
      <c r="L639" s="3486"/>
      <c r="M639" s="3486"/>
      <c r="N639" s="3486"/>
      <c r="O639" s="3486"/>
      <c r="P639" s="3486"/>
      <c r="Q639" s="3486"/>
      <c r="R639" s="3486"/>
      <c r="S639" s="3486"/>
      <c r="T639" s="3486"/>
      <c r="U639" s="3486"/>
      <c r="V639" s="3486"/>
      <c r="W639" s="3486"/>
      <c r="X639" s="3486"/>
      <c r="Y639" s="3943"/>
    </row>
    <row r="640" spans="1:25" s="3492" customFormat="1">
      <c r="A640" s="3485"/>
      <c r="B640" s="3486"/>
      <c r="C640" s="3486"/>
      <c r="D640" s="3486"/>
      <c r="E640" s="3486"/>
      <c r="F640" s="3486"/>
      <c r="G640" s="3486"/>
      <c r="H640" s="3486"/>
      <c r="I640" s="3486"/>
      <c r="J640" s="3486"/>
      <c r="K640" s="3486"/>
      <c r="L640" s="3486"/>
      <c r="M640" s="3486"/>
      <c r="N640" s="3486"/>
      <c r="O640" s="3486"/>
      <c r="P640" s="3486"/>
      <c r="Q640" s="3486"/>
      <c r="R640" s="3486"/>
      <c r="S640" s="3486"/>
      <c r="T640" s="3486"/>
      <c r="U640" s="3486"/>
      <c r="V640" s="3486"/>
      <c r="W640" s="3486"/>
      <c r="X640" s="3486"/>
      <c r="Y640" s="3943"/>
    </row>
    <row r="641" spans="1:25" s="3492" customFormat="1">
      <c r="A641" s="3485"/>
      <c r="B641" s="3486"/>
      <c r="C641" s="3486"/>
      <c r="D641" s="3486"/>
      <c r="E641" s="3486"/>
      <c r="F641" s="3486"/>
      <c r="G641" s="3486"/>
      <c r="H641" s="3486"/>
      <c r="I641" s="3486"/>
      <c r="J641" s="3486"/>
      <c r="K641" s="3486"/>
      <c r="L641" s="3486"/>
      <c r="M641" s="3486"/>
      <c r="N641" s="3486"/>
      <c r="O641" s="3486"/>
      <c r="P641" s="3486"/>
      <c r="Q641" s="3486"/>
      <c r="R641" s="3486"/>
      <c r="S641" s="3486"/>
      <c r="T641" s="3486"/>
      <c r="U641" s="3486"/>
      <c r="V641" s="3486"/>
      <c r="W641" s="3486"/>
      <c r="X641" s="3486"/>
      <c r="Y641" s="3943"/>
    </row>
    <row r="642" spans="1:25" s="3492" customFormat="1">
      <c r="A642" s="3485"/>
      <c r="B642" s="3486"/>
      <c r="C642" s="3486"/>
      <c r="D642" s="3486"/>
      <c r="E642" s="3486"/>
      <c r="F642" s="3486"/>
      <c r="G642" s="3486"/>
      <c r="H642" s="3486"/>
      <c r="I642" s="3486"/>
      <c r="J642" s="3486"/>
      <c r="K642" s="3486"/>
      <c r="L642" s="3486"/>
      <c r="M642" s="3486"/>
      <c r="N642" s="3486"/>
      <c r="O642" s="3486"/>
      <c r="P642" s="3486"/>
      <c r="Q642" s="3486"/>
      <c r="R642" s="3486"/>
      <c r="S642" s="3486"/>
      <c r="T642" s="3486"/>
      <c r="U642" s="3486"/>
      <c r="V642" s="3486"/>
      <c r="W642" s="3486"/>
      <c r="X642" s="3486"/>
      <c r="Y642" s="3943"/>
    </row>
    <row r="643" spans="1:25" s="3492" customFormat="1">
      <c r="A643" s="3485"/>
      <c r="B643" s="3486"/>
      <c r="C643" s="3486"/>
      <c r="D643" s="3486"/>
      <c r="E643" s="3486"/>
      <c r="F643" s="3486"/>
      <c r="G643" s="3486"/>
      <c r="H643" s="3486"/>
      <c r="I643" s="3486"/>
      <c r="J643" s="3486"/>
      <c r="K643" s="3486"/>
      <c r="L643" s="3486"/>
      <c r="M643" s="3486"/>
      <c r="N643" s="3486"/>
      <c r="O643" s="3486"/>
      <c r="P643" s="3486"/>
      <c r="Q643" s="3486"/>
      <c r="R643" s="3486"/>
      <c r="S643" s="3486"/>
      <c r="T643" s="3486"/>
      <c r="U643" s="3486"/>
      <c r="V643" s="3486"/>
      <c r="W643" s="3486"/>
      <c r="X643" s="3486"/>
      <c r="Y643" s="3943"/>
    </row>
    <row r="644" spans="1:25" s="3492" customFormat="1">
      <c r="A644" s="3485"/>
      <c r="B644" s="3486"/>
      <c r="C644" s="3486"/>
      <c r="D644" s="3486"/>
      <c r="E644" s="3486"/>
      <c r="F644" s="3486"/>
      <c r="G644" s="3486"/>
      <c r="H644" s="3486"/>
      <c r="I644" s="3486"/>
      <c r="J644" s="3486"/>
      <c r="K644" s="3486"/>
      <c r="L644" s="3486"/>
      <c r="M644" s="3486"/>
      <c r="N644" s="3486"/>
      <c r="O644" s="3486"/>
      <c r="P644" s="3486"/>
      <c r="Q644" s="3486"/>
      <c r="R644" s="3486"/>
      <c r="S644" s="3486"/>
      <c r="T644" s="3486"/>
      <c r="U644" s="3486"/>
      <c r="V644" s="3486"/>
      <c r="W644" s="3486"/>
      <c r="X644" s="3486"/>
      <c r="Y644" s="3943"/>
    </row>
    <row r="645" spans="1:25" s="3492" customFormat="1">
      <c r="A645" s="3485"/>
      <c r="B645" s="3486"/>
      <c r="C645" s="3486"/>
      <c r="D645" s="3486"/>
      <c r="E645" s="3486"/>
      <c r="F645" s="3486"/>
      <c r="G645" s="3486"/>
      <c r="H645" s="3486"/>
      <c r="I645" s="3486"/>
      <c r="J645" s="3486"/>
      <c r="K645" s="3486"/>
      <c r="L645" s="3486"/>
      <c r="M645" s="3486"/>
      <c r="N645" s="3486"/>
      <c r="O645" s="3486"/>
      <c r="P645" s="3486"/>
      <c r="Q645" s="3486"/>
      <c r="R645" s="3486"/>
      <c r="S645" s="3486"/>
      <c r="T645" s="3486"/>
      <c r="U645" s="3486"/>
      <c r="V645" s="3486"/>
      <c r="W645" s="3486"/>
      <c r="X645" s="3486"/>
      <c r="Y645" s="3943"/>
    </row>
    <row r="646" spans="1:25" s="3492" customFormat="1">
      <c r="A646" s="3485"/>
      <c r="B646" s="3486"/>
      <c r="C646" s="3486"/>
      <c r="D646" s="3486"/>
      <c r="E646" s="3486"/>
      <c r="F646" s="3486"/>
      <c r="G646" s="3486"/>
      <c r="H646" s="3486"/>
      <c r="I646" s="3486"/>
      <c r="J646" s="3486"/>
      <c r="K646" s="3486"/>
      <c r="L646" s="3486"/>
      <c r="M646" s="3486"/>
      <c r="N646" s="3486"/>
      <c r="O646" s="3486"/>
      <c r="P646" s="3486"/>
      <c r="Q646" s="3486"/>
      <c r="R646" s="3486"/>
      <c r="S646" s="3486"/>
      <c r="T646" s="3486"/>
      <c r="U646" s="3486"/>
      <c r="V646" s="3486"/>
      <c r="W646" s="3486"/>
      <c r="X646" s="3486"/>
      <c r="Y646" s="3943"/>
    </row>
    <row r="647" spans="1:25" s="3492" customFormat="1">
      <c r="A647" s="3485"/>
      <c r="B647" s="3486"/>
      <c r="C647" s="3486"/>
      <c r="D647" s="3486"/>
      <c r="E647" s="3486"/>
      <c r="F647" s="3486"/>
      <c r="G647" s="3486"/>
      <c r="H647" s="3486"/>
      <c r="I647" s="3486"/>
      <c r="J647" s="3486"/>
      <c r="K647" s="3486"/>
      <c r="L647" s="3486"/>
      <c r="M647" s="3486"/>
      <c r="N647" s="3486"/>
      <c r="O647" s="3486"/>
      <c r="P647" s="3486"/>
      <c r="Q647" s="3486"/>
      <c r="R647" s="3486"/>
      <c r="S647" s="3486"/>
      <c r="T647" s="3486"/>
      <c r="U647" s="3486"/>
      <c r="V647" s="3486"/>
      <c r="W647" s="3486"/>
      <c r="X647" s="3486"/>
      <c r="Y647" s="3943"/>
    </row>
    <row r="648" spans="1:25" s="3492" customFormat="1">
      <c r="A648" s="3485"/>
      <c r="B648" s="3486"/>
      <c r="C648" s="3486"/>
      <c r="D648" s="3486"/>
      <c r="E648" s="3486"/>
      <c r="F648" s="3486"/>
      <c r="G648" s="3486"/>
      <c r="H648" s="3486"/>
      <c r="I648" s="3486"/>
      <c r="J648" s="3486"/>
      <c r="K648" s="3486"/>
      <c r="L648" s="3486"/>
      <c r="M648" s="3486"/>
      <c r="N648" s="3486"/>
      <c r="O648" s="3486"/>
      <c r="P648" s="3486"/>
      <c r="Q648" s="3486"/>
      <c r="R648" s="3486"/>
      <c r="S648" s="3486"/>
      <c r="T648" s="3486"/>
      <c r="U648" s="3486"/>
      <c r="V648" s="3486"/>
      <c r="W648" s="3486"/>
      <c r="X648" s="3486"/>
      <c r="Y648" s="3943"/>
    </row>
    <row r="649" spans="1:25" s="3492" customFormat="1">
      <c r="A649" s="3485"/>
      <c r="B649" s="3486"/>
      <c r="C649" s="3486"/>
      <c r="D649" s="3486"/>
      <c r="E649" s="3486"/>
      <c r="F649" s="3486"/>
      <c r="G649" s="3486"/>
      <c r="H649" s="3486"/>
      <c r="I649" s="3486"/>
      <c r="J649" s="3486"/>
      <c r="K649" s="3486"/>
      <c r="L649" s="3486"/>
      <c r="M649" s="3486"/>
      <c r="N649" s="3486"/>
      <c r="O649" s="3486"/>
      <c r="P649" s="3486"/>
      <c r="Q649" s="3486"/>
      <c r="R649" s="3486"/>
      <c r="S649" s="3486"/>
      <c r="T649" s="3486"/>
      <c r="U649" s="3486"/>
      <c r="V649" s="3486"/>
      <c r="W649" s="3486"/>
      <c r="X649" s="3486"/>
      <c r="Y649" s="3943"/>
    </row>
    <row r="650" spans="1:25" s="3492" customFormat="1">
      <c r="A650" s="3485"/>
      <c r="B650" s="3486"/>
      <c r="C650" s="3486"/>
      <c r="D650" s="3486"/>
      <c r="E650" s="3486"/>
      <c r="F650" s="3486"/>
      <c r="G650" s="3486"/>
      <c r="H650" s="3486"/>
      <c r="I650" s="3486"/>
      <c r="J650" s="3486"/>
      <c r="K650" s="3486"/>
      <c r="L650" s="3486"/>
      <c r="M650" s="3486"/>
      <c r="N650" s="3486"/>
      <c r="O650" s="3486"/>
      <c r="P650" s="3486"/>
      <c r="Q650" s="3486"/>
      <c r="R650" s="3486"/>
      <c r="S650" s="3486"/>
      <c r="T650" s="3486"/>
      <c r="U650" s="3486"/>
      <c r="V650" s="3486"/>
      <c r="W650" s="3486"/>
      <c r="X650" s="3486"/>
      <c r="Y650" s="3943"/>
    </row>
    <row r="651" spans="1:25" s="3492" customFormat="1">
      <c r="A651" s="3485"/>
      <c r="B651" s="3486"/>
      <c r="C651" s="3486"/>
      <c r="D651" s="3486"/>
      <c r="E651" s="3486"/>
      <c r="F651" s="3486"/>
      <c r="G651" s="3486"/>
      <c r="H651" s="3486"/>
      <c r="I651" s="3486"/>
      <c r="J651" s="3486"/>
      <c r="K651" s="3486"/>
      <c r="L651" s="3486"/>
      <c r="M651" s="3486"/>
      <c r="N651" s="3486"/>
      <c r="O651" s="3486"/>
      <c r="P651" s="3486"/>
      <c r="Q651" s="3486"/>
      <c r="R651" s="3486"/>
      <c r="S651" s="3486"/>
      <c r="T651" s="3486"/>
      <c r="U651" s="3486"/>
      <c r="V651" s="3486"/>
      <c r="W651" s="3486"/>
      <c r="X651" s="3486"/>
      <c r="Y651" s="3943"/>
    </row>
    <row r="652" spans="1:25" s="3492" customFormat="1">
      <c r="A652" s="3485"/>
      <c r="B652" s="3486"/>
      <c r="C652" s="3486"/>
      <c r="D652" s="3486"/>
      <c r="E652" s="3486"/>
      <c r="F652" s="3486"/>
      <c r="G652" s="3486"/>
      <c r="H652" s="3486"/>
      <c r="I652" s="3486"/>
      <c r="J652" s="3486"/>
      <c r="K652" s="3486"/>
      <c r="L652" s="3486"/>
      <c r="M652" s="3486"/>
      <c r="N652" s="3486"/>
      <c r="O652" s="3486"/>
      <c r="P652" s="3486"/>
      <c r="Q652" s="3486"/>
      <c r="R652" s="3486"/>
      <c r="S652" s="3486"/>
      <c r="T652" s="3486"/>
      <c r="U652" s="3486"/>
      <c r="V652" s="3486"/>
      <c r="W652" s="3486"/>
      <c r="X652" s="3486"/>
      <c r="Y652" s="3943"/>
    </row>
    <row r="653" spans="1:25" s="3492" customFormat="1">
      <c r="A653" s="3485"/>
      <c r="B653" s="3486"/>
      <c r="C653" s="3486"/>
      <c r="D653" s="3486"/>
      <c r="E653" s="3486"/>
      <c r="F653" s="3486"/>
      <c r="G653" s="3486"/>
      <c r="H653" s="3486"/>
      <c r="I653" s="3486"/>
      <c r="J653" s="3486"/>
      <c r="K653" s="3486"/>
      <c r="L653" s="3486"/>
      <c r="M653" s="3486"/>
      <c r="N653" s="3486"/>
      <c r="O653" s="3486"/>
      <c r="P653" s="3486"/>
      <c r="Q653" s="3486"/>
      <c r="R653" s="3486"/>
      <c r="S653" s="3486"/>
      <c r="T653" s="3486"/>
      <c r="U653" s="3486"/>
      <c r="V653" s="3486"/>
      <c r="W653" s="3486"/>
      <c r="X653" s="3486"/>
      <c r="Y653" s="3943"/>
    </row>
    <row r="654" spans="1:25" s="3492" customFormat="1">
      <c r="A654" s="3485"/>
      <c r="B654" s="3486"/>
      <c r="C654" s="3486"/>
      <c r="D654" s="3486"/>
      <c r="E654" s="3486"/>
      <c r="F654" s="3486"/>
      <c r="G654" s="3486"/>
      <c r="H654" s="3486"/>
      <c r="I654" s="3486"/>
      <c r="J654" s="3486"/>
      <c r="K654" s="3486"/>
      <c r="L654" s="3486"/>
      <c r="M654" s="3486"/>
      <c r="N654" s="3486"/>
      <c r="O654" s="3486"/>
      <c r="P654" s="3486"/>
      <c r="Q654" s="3486"/>
      <c r="R654" s="3486"/>
      <c r="S654" s="3486"/>
      <c r="T654" s="3486"/>
      <c r="U654" s="3486"/>
      <c r="V654" s="3486"/>
      <c r="W654" s="3486"/>
      <c r="X654" s="3486"/>
      <c r="Y654" s="3943"/>
    </row>
    <row r="655" spans="1:25" s="3492" customFormat="1">
      <c r="A655" s="3485"/>
      <c r="B655" s="3486"/>
      <c r="C655" s="3486"/>
      <c r="D655" s="3486"/>
      <c r="E655" s="3486"/>
      <c r="F655" s="3486"/>
      <c r="G655" s="3486"/>
      <c r="H655" s="3486"/>
      <c r="I655" s="3486"/>
      <c r="J655" s="3486"/>
      <c r="K655" s="3486"/>
      <c r="L655" s="3486"/>
      <c r="M655" s="3486"/>
      <c r="N655" s="3486"/>
      <c r="O655" s="3486"/>
      <c r="P655" s="3486"/>
      <c r="Q655" s="3486"/>
      <c r="R655" s="3486"/>
      <c r="S655" s="3486"/>
      <c r="T655" s="3486"/>
      <c r="U655" s="3486"/>
      <c r="V655" s="3486"/>
      <c r="W655" s="3486"/>
      <c r="X655" s="3486"/>
      <c r="Y655" s="3943"/>
    </row>
    <row r="656" spans="1:25" s="3492" customFormat="1">
      <c r="A656" s="3485"/>
      <c r="B656" s="3486"/>
      <c r="C656" s="3486"/>
      <c r="D656" s="3486"/>
      <c r="E656" s="3486"/>
      <c r="F656" s="3486"/>
      <c r="G656" s="3486"/>
      <c r="H656" s="3486"/>
      <c r="I656" s="3486"/>
      <c r="J656" s="3486"/>
      <c r="K656" s="3486"/>
      <c r="L656" s="3486"/>
      <c r="M656" s="3486"/>
      <c r="N656" s="3486"/>
      <c r="O656" s="3486"/>
      <c r="P656" s="3486"/>
      <c r="Q656" s="3486"/>
      <c r="R656" s="3486"/>
      <c r="S656" s="3486"/>
      <c r="T656" s="3486"/>
      <c r="U656" s="3486"/>
      <c r="V656" s="3486"/>
      <c r="W656" s="3486"/>
      <c r="X656" s="3486"/>
      <c r="Y656" s="3943"/>
    </row>
    <row r="657" spans="1:25" s="3492" customFormat="1">
      <c r="A657" s="3485"/>
      <c r="B657" s="3486"/>
      <c r="C657" s="3486"/>
      <c r="D657" s="3486"/>
      <c r="E657" s="3486"/>
      <c r="F657" s="3486"/>
      <c r="G657" s="3486"/>
      <c r="H657" s="3486"/>
      <c r="I657" s="3486"/>
      <c r="J657" s="3486"/>
      <c r="K657" s="3486"/>
      <c r="L657" s="3486"/>
      <c r="M657" s="3486"/>
      <c r="N657" s="3486"/>
      <c r="O657" s="3486"/>
      <c r="P657" s="3486"/>
      <c r="Q657" s="3486"/>
      <c r="R657" s="3486"/>
      <c r="S657" s="3486"/>
      <c r="T657" s="3486"/>
      <c r="U657" s="3486"/>
      <c r="V657" s="3486"/>
      <c r="W657" s="3486"/>
      <c r="X657" s="3486"/>
      <c r="Y657" s="3943"/>
    </row>
    <row r="658" spans="1:25" s="3492" customFormat="1">
      <c r="A658" s="3485"/>
      <c r="B658" s="3486"/>
      <c r="C658" s="3486"/>
      <c r="D658" s="3486"/>
      <c r="E658" s="3486"/>
      <c r="F658" s="3486"/>
      <c r="G658" s="3486"/>
      <c r="H658" s="3486"/>
      <c r="I658" s="3486"/>
      <c r="J658" s="3486"/>
      <c r="K658" s="3486"/>
      <c r="L658" s="3486"/>
      <c r="M658" s="3486"/>
      <c r="N658" s="3486"/>
      <c r="O658" s="3486"/>
      <c r="P658" s="3486"/>
      <c r="Q658" s="3486"/>
      <c r="R658" s="3486"/>
      <c r="S658" s="3486"/>
      <c r="T658" s="3486"/>
      <c r="U658" s="3486"/>
      <c r="V658" s="3486"/>
      <c r="W658" s="3486"/>
      <c r="X658" s="3486"/>
      <c r="Y658" s="3943"/>
    </row>
    <row r="659" spans="1:25" s="3492" customFormat="1">
      <c r="A659" s="3485"/>
      <c r="B659" s="3486"/>
      <c r="C659" s="3486"/>
      <c r="D659" s="3486"/>
      <c r="E659" s="3486"/>
      <c r="F659" s="3486"/>
      <c r="G659" s="3486"/>
      <c r="H659" s="3486"/>
      <c r="I659" s="3486"/>
      <c r="J659" s="3486"/>
      <c r="K659" s="3486"/>
      <c r="L659" s="3486"/>
      <c r="M659" s="3486"/>
      <c r="N659" s="3486"/>
      <c r="O659" s="3486"/>
      <c r="P659" s="3486"/>
      <c r="Q659" s="3486"/>
      <c r="R659" s="3486"/>
      <c r="S659" s="3486"/>
      <c r="T659" s="3486"/>
      <c r="U659" s="3486"/>
      <c r="V659" s="3486"/>
      <c r="W659" s="3486"/>
      <c r="X659" s="3486"/>
      <c r="Y659" s="3943"/>
    </row>
    <row r="660" spans="1:25" s="3492" customFormat="1">
      <c r="A660" s="3485"/>
      <c r="B660" s="3486"/>
      <c r="C660" s="3486"/>
      <c r="D660" s="3486"/>
      <c r="E660" s="3486"/>
      <c r="F660" s="3486"/>
      <c r="G660" s="3486"/>
      <c r="H660" s="3486"/>
      <c r="I660" s="3486"/>
      <c r="J660" s="3486"/>
      <c r="K660" s="3486"/>
      <c r="L660" s="3486"/>
      <c r="M660" s="3486"/>
      <c r="N660" s="3486"/>
      <c r="O660" s="3486"/>
      <c r="P660" s="3486"/>
      <c r="Q660" s="3486"/>
      <c r="R660" s="3486"/>
      <c r="S660" s="3486"/>
      <c r="T660" s="3486"/>
      <c r="U660" s="3486"/>
      <c r="V660" s="3486"/>
      <c r="W660" s="3486"/>
      <c r="X660" s="3486"/>
      <c r="Y660" s="3943"/>
    </row>
    <row r="661" spans="1:25" s="3492" customFormat="1">
      <c r="A661" s="3485"/>
      <c r="B661" s="3486"/>
      <c r="C661" s="3486"/>
      <c r="D661" s="3486"/>
      <c r="E661" s="3486"/>
      <c r="F661" s="3486"/>
      <c r="G661" s="3486"/>
      <c r="H661" s="3486"/>
      <c r="I661" s="3486"/>
      <c r="J661" s="3486"/>
      <c r="K661" s="3486"/>
      <c r="L661" s="3486"/>
      <c r="M661" s="3486"/>
      <c r="N661" s="3486"/>
      <c r="O661" s="3486"/>
      <c r="P661" s="3486"/>
      <c r="Q661" s="3486"/>
      <c r="R661" s="3486"/>
      <c r="S661" s="3486"/>
      <c r="T661" s="3486"/>
      <c r="U661" s="3486"/>
      <c r="V661" s="3486"/>
      <c r="W661" s="3486"/>
      <c r="X661" s="3486"/>
      <c r="Y661" s="3943"/>
    </row>
    <row r="662" spans="1:25" s="3492" customFormat="1">
      <c r="A662" s="3485"/>
      <c r="B662" s="3486"/>
      <c r="C662" s="3486"/>
      <c r="D662" s="3486"/>
      <c r="E662" s="3486"/>
      <c r="F662" s="3486"/>
      <c r="G662" s="3486"/>
      <c r="H662" s="3486"/>
      <c r="I662" s="3486"/>
      <c r="J662" s="3486"/>
      <c r="K662" s="3486"/>
      <c r="L662" s="3486"/>
      <c r="M662" s="3486"/>
      <c r="N662" s="3486"/>
      <c r="O662" s="3486"/>
      <c r="P662" s="3486"/>
      <c r="Q662" s="3486"/>
      <c r="R662" s="3486"/>
      <c r="S662" s="3486"/>
      <c r="T662" s="3486"/>
      <c r="U662" s="3486"/>
      <c r="V662" s="3486"/>
      <c r="W662" s="3486"/>
      <c r="X662" s="3486"/>
      <c r="Y662" s="3943"/>
    </row>
    <row r="663" spans="1:25" s="3492" customFormat="1">
      <c r="A663" s="3485"/>
      <c r="B663" s="3486"/>
      <c r="C663" s="3486"/>
      <c r="D663" s="3486"/>
      <c r="E663" s="3486"/>
      <c r="F663" s="3486"/>
      <c r="G663" s="3486"/>
      <c r="H663" s="3486"/>
      <c r="I663" s="3486"/>
      <c r="J663" s="3486"/>
      <c r="K663" s="3486"/>
      <c r="L663" s="3486"/>
      <c r="M663" s="3486"/>
      <c r="N663" s="3486"/>
      <c r="O663" s="3486"/>
      <c r="P663" s="3486"/>
      <c r="Q663" s="3486"/>
      <c r="R663" s="3486"/>
      <c r="S663" s="3486"/>
      <c r="T663" s="3486"/>
      <c r="U663" s="3486"/>
      <c r="V663" s="3486"/>
      <c r="W663" s="3486"/>
      <c r="X663" s="3486"/>
      <c r="Y663" s="3943"/>
    </row>
    <row r="664" spans="1:25" s="3492" customFormat="1">
      <c r="A664" s="3485"/>
      <c r="B664" s="3486"/>
      <c r="C664" s="3486"/>
      <c r="D664" s="3486"/>
      <c r="E664" s="3486"/>
      <c r="F664" s="3486"/>
      <c r="G664" s="3486"/>
      <c r="H664" s="3486"/>
      <c r="I664" s="3486"/>
      <c r="J664" s="3486"/>
      <c r="K664" s="3486"/>
      <c r="L664" s="3486"/>
      <c r="M664" s="3486"/>
      <c r="N664" s="3486"/>
      <c r="O664" s="3486"/>
      <c r="P664" s="3486"/>
      <c r="Q664" s="3486"/>
      <c r="R664" s="3486"/>
      <c r="S664" s="3486"/>
      <c r="T664" s="3486"/>
      <c r="U664" s="3486"/>
      <c r="V664" s="3486"/>
      <c r="W664" s="3486"/>
      <c r="X664" s="3486"/>
      <c r="Y664" s="3943"/>
    </row>
    <row r="665" spans="1:25" s="3492" customFormat="1">
      <c r="A665" s="3485"/>
      <c r="B665" s="3486"/>
      <c r="C665" s="3486"/>
      <c r="D665" s="3486"/>
      <c r="E665" s="3486"/>
      <c r="F665" s="3486"/>
      <c r="G665" s="3486"/>
      <c r="H665" s="3486"/>
      <c r="I665" s="3486"/>
      <c r="J665" s="3486"/>
      <c r="K665" s="3486"/>
      <c r="L665" s="3486"/>
      <c r="M665" s="3486"/>
      <c r="N665" s="3486"/>
      <c r="O665" s="3486"/>
      <c r="P665" s="3486"/>
      <c r="Q665" s="3486"/>
      <c r="R665" s="3486"/>
      <c r="S665" s="3486"/>
      <c r="T665" s="3486"/>
      <c r="U665" s="3486"/>
      <c r="V665" s="3486"/>
      <c r="W665" s="3486"/>
      <c r="X665" s="3486"/>
      <c r="Y665" s="3943"/>
    </row>
    <row r="666" spans="1:25" s="3492" customFormat="1">
      <c r="A666" s="3485"/>
      <c r="B666" s="3486"/>
      <c r="C666" s="3486"/>
      <c r="D666" s="3486"/>
      <c r="E666" s="3486"/>
      <c r="F666" s="3486"/>
      <c r="G666" s="3486"/>
      <c r="H666" s="3486"/>
      <c r="I666" s="3486"/>
      <c r="J666" s="3486"/>
      <c r="K666" s="3486"/>
      <c r="L666" s="3486"/>
      <c r="M666" s="3486"/>
      <c r="N666" s="3486"/>
      <c r="O666" s="3486"/>
      <c r="P666" s="3486"/>
      <c r="Q666" s="3486"/>
      <c r="R666" s="3486"/>
      <c r="S666" s="3486"/>
      <c r="T666" s="3486"/>
      <c r="U666" s="3486"/>
      <c r="V666" s="3486"/>
      <c r="W666" s="3486"/>
      <c r="X666" s="3486"/>
      <c r="Y666" s="3943"/>
    </row>
    <row r="667" spans="1:25" s="3492" customFormat="1">
      <c r="A667" s="3485"/>
      <c r="B667" s="3486"/>
      <c r="C667" s="3486"/>
      <c r="D667" s="3486"/>
      <c r="E667" s="3486"/>
      <c r="F667" s="3486"/>
      <c r="G667" s="3486"/>
      <c r="H667" s="3486"/>
      <c r="I667" s="3486"/>
      <c r="J667" s="3486"/>
      <c r="K667" s="3486"/>
      <c r="L667" s="3486"/>
      <c r="M667" s="3486"/>
      <c r="N667" s="3486"/>
      <c r="O667" s="3486"/>
      <c r="P667" s="3486"/>
      <c r="Q667" s="3486"/>
      <c r="R667" s="3486"/>
      <c r="S667" s="3486"/>
      <c r="T667" s="3486"/>
      <c r="U667" s="3486"/>
      <c r="V667" s="3486"/>
      <c r="W667" s="3486"/>
      <c r="X667" s="3486"/>
      <c r="Y667" s="3943"/>
    </row>
    <row r="668" spans="1:25" s="3492" customFormat="1">
      <c r="A668" s="3485"/>
      <c r="B668" s="3486"/>
      <c r="C668" s="3486"/>
      <c r="D668" s="3486"/>
      <c r="E668" s="3486"/>
      <c r="F668" s="3486"/>
      <c r="G668" s="3486"/>
      <c r="H668" s="3486"/>
      <c r="I668" s="3486"/>
      <c r="J668" s="3486"/>
      <c r="K668" s="3486"/>
      <c r="L668" s="3486"/>
      <c r="M668" s="3486"/>
      <c r="N668" s="3486"/>
      <c r="O668" s="3486"/>
      <c r="P668" s="3486"/>
      <c r="Q668" s="3486"/>
      <c r="R668" s="3486"/>
      <c r="S668" s="3486"/>
      <c r="T668" s="3486"/>
      <c r="U668" s="3486"/>
      <c r="V668" s="3486"/>
      <c r="W668" s="3486"/>
      <c r="X668" s="3486"/>
      <c r="Y668" s="3943"/>
    </row>
    <row r="669" spans="1:25" s="3492" customFormat="1">
      <c r="A669" s="3485"/>
      <c r="B669" s="3486"/>
      <c r="C669" s="3486"/>
      <c r="D669" s="3486"/>
      <c r="E669" s="3486"/>
      <c r="F669" s="3486"/>
      <c r="G669" s="3486"/>
      <c r="H669" s="3486"/>
      <c r="I669" s="3486"/>
      <c r="J669" s="3486"/>
      <c r="K669" s="3486"/>
      <c r="L669" s="3486"/>
      <c r="M669" s="3486"/>
      <c r="N669" s="3486"/>
      <c r="O669" s="3486"/>
      <c r="P669" s="3486"/>
      <c r="Q669" s="3486"/>
      <c r="R669" s="3486"/>
      <c r="S669" s="3486"/>
      <c r="T669" s="3486"/>
      <c r="U669" s="3486"/>
      <c r="V669" s="3486"/>
      <c r="W669" s="3486"/>
      <c r="X669" s="3486"/>
      <c r="Y669" s="3943"/>
    </row>
    <row r="670" spans="1:25" s="3492" customFormat="1">
      <c r="A670" s="3485"/>
      <c r="B670" s="3486"/>
      <c r="C670" s="3486"/>
      <c r="D670" s="3486"/>
      <c r="E670" s="3486"/>
      <c r="F670" s="3486"/>
      <c r="G670" s="3486"/>
      <c r="H670" s="3486"/>
      <c r="I670" s="3486"/>
      <c r="J670" s="3486"/>
      <c r="K670" s="3486"/>
      <c r="L670" s="3486"/>
      <c r="M670" s="3486"/>
      <c r="N670" s="3486"/>
      <c r="O670" s="3486"/>
      <c r="P670" s="3486"/>
      <c r="Q670" s="3486"/>
      <c r="R670" s="3486"/>
      <c r="S670" s="3486"/>
      <c r="T670" s="3486"/>
      <c r="U670" s="3486"/>
      <c r="V670" s="3486"/>
      <c r="W670" s="3486"/>
      <c r="X670" s="3486"/>
      <c r="Y670" s="3943"/>
    </row>
    <row r="671" spans="1:25" s="3492" customFormat="1">
      <c r="A671" s="3485"/>
      <c r="B671" s="3486"/>
      <c r="C671" s="3486"/>
      <c r="D671" s="3486"/>
      <c r="E671" s="3486"/>
      <c r="F671" s="3486"/>
      <c r="G671" s="3486"/>
      <c r="H671" s="3486"/>
      <c r="I671" s="3486"/>
      <c r="J671" s="3486"/>
      <c r="K671" s="3486"/>
      <c r="L671" s="3486"/>
      <c r="M671" s="3486"/>
      <c r="N671" s="3486"/>
      <c r="O671" s="3486"/>
      <c r="P671" s="3486"/>
      <c r="Q671" s="3486"/>
      <c r="R671" s="3486"/>
      <c r="S671" s="3486"/>
      <c r="T671" s="3486"/>
      <c r="U671" s="3486"/>
      <c r="V671" s="3486"/>
      <c r="W671" s="3486"/>
      <c r="X671" s="3486"/>
      <c r="Y671" s="3943"/>
    </row>
    <row r="672" spans="1:25" s="3492" customFormat="1">
      <c r="A672" s="3485"/>
      <c r="B672" s="3486"/>
      <c r="C672" s="3486"/>
      <c r="D672" s="3486"/>
      <c r="E672" s="3486"/>
      <c r="F672" s="3486"/>
      <c r="G672" s="3486"/>
      <c r="H672" s="3486"/>
      <c r="I672" s="3486"/>
      <c r="J672" s="3486"/>
      <c r="K672" s="3486"/>
      <c r="L672" s="3486"/>
      <c r="M672" s="3486"/>
      <c r="N672" s="3486"/>
      <c r="O672" s="3486"/>
      <c r="P672" s="3486"/>
      <c r="Q672" s="3486"/>
      <c r="R672" s="3486"/>
      <c r="S672" s="3486"/>
      <c r="T672" s="3486"/>
      <c r="U672" s="3486"/>
      <c r="V672" s="3486"/>
      <c r="W672" s="3486"/>
      <c r="X672" s="3486"/>
      <c r="Y672" s="3943"/>
    </row>
    <row r="673" spans="1:25" s="3492" customFormat="1">
      <c r="A673" s="3485"/>
      <c r="B673" s="3486"/>
      <c r="C673" s="3486"/>
      <c r="D673" s="3486"/>
      <c r="E673" s="3486"/>
      <c r="F673" s="3486"/>
      <c r="G673" s="3486"/>
      <c r="H673" s="3486"/>
      <c r="I673" s="3486"/>
      <c r="J673" s="3486"/>
      <c r="K673" s="3486"/>
      <c r="L673" s="3486"/>
      <c r="M673" s="3486"/>
      <c r="N673" s="3486"/>
      <c r="O673" s="3486"/>
      <c r="P673" s="3486"/>
      <c r="Q673" s="3486"/>
      <c r="R673" s="3486"/>
      <c r="S673" s="3486"/>
      <c r="T673" s="3486"/>
      <c r="U673" s="3486"/>
      <c r="V673" s="3486"/>
      <c r="W673" s="3486"/>
      <c r="X673" s="3486"/>
      <c r="Y673" s="3943"/>
    </row>
    <row r="674" spans="1:25" s="3492" customFormat="1">
      <c r="A674" s="3485"/>
      <c r="B674" s="3486"/>
      <c r="C674" s="3486"/>
      <c r="D674" s="3486"/>
      <c r="E674" s="3486"/>
      <c r="F674" s="3486"/>
      <c r="G674" s="3486"/>
      <c r="H674" s="3486"/>
      <c r="I674" s="3486"/>
      <c r="J674" s="3486"/>
      <c r="K674" s="3486"/>
      <c r="L674" s="3486"/>
      <c r="M674" s="3486"/>
      <c r="N674" s="3486"/>
      <c r="O674" s="3486"/>
      <c r="P674" s="3486"/>
      <c r="Q674" s="3486"/>
      <c r="R674" s="3486"/>
      <c r="S674" s="3486"/>
      <c r="T674" s="3486"/>
      <c r="U674" s="3486"/>
      <c r="V674" s="3486"/>
      <c r="W674" s="3486"/>
      <c r="X674" s="3486"/>
      <c r="Y674" s="3943"/>
    </row>
    <row r="675" spans="1:25" s="3492" customFormat="1">
      <c r="A675" s="3485"/>
      <c r="B675" s="3486"/>
      <c r="C675" s="3486"/>
      <c r="D675" s="3486"/>
      <c r="E675" s="3486"/>
      <c r="F675" s="3486"/>
      <c r="G675" s="3486"/>
      <c r="H675" s="3486"/>
      <c r="I675" s="3486"/>
      <c r="J675" s="3486"/>
      <c r="K675" s="3486"/>
      <c r="L675" s="3486"/>
      <c r="M675" s="3486"/>
      <c r="N675" s="3486"/>
      <c r="O675" s="3486"/>
      <c r="P675" s="3486"/>
      <c r="Q675" s="3486"/>
      <c r="R675" s="3486"/>
      <c r="S675" s="3486"/>
      <c r="T675" s="3486"/>
      <c r="U675" s="3486"/>
      <c r="V675" s="3486"/>
      <c r="W675" s="3486"/>
      <c r="X675" s="3486"/>
      <c r="Y675" s="3943"/>
    </row>
    <row r="676" spans="1:25" s="3492" customFormat="1">
      <c r="A676" s="3485"/>
      <c r="B676" s="3486"/>
      <c r="C676" s="3486"/>
      <c r="D676" s="3486"/>
      <c r="E676" s="3486"/>
      <c r="F676" s="3486"/>
      <c r="G676" s="3486"/>
      <c r="H676" s="3486"/>
      <c r="I676" s="3486"/>
      <c r="J676" s="3486"/>
      <c r="K676" s="3486"/>
      <c r="L676" s="3486"/>
      <c r="M676" s="3486"/>
      <c r="N676" s="3486"/>
      <c r="O676" s="3486"/>
      <c r="P676" s="3486"/>
      <c r="Q676" s="3486"/>
      <c r="R676" s="3486"/>
      <c r="S676" s="3486"/>
      <c r="T676" s="3486"/>
      <c r="U676" s="3486"/>
      <c r="V676" s="3486"/>
      <c r="W676" s="3486"/>
      <c r="X676" s="3486"/>
      <c r="Y676" s="3943"/>
    </row>
    <row r="677" spans="1:25" s="3492" customFormat="1">
      <c r="A677" s="3485"/>
      <c r="B677" s="3486"/>
      <c r="C677" s="3486"/>
      <c r="D677" s="3486"/>
      <c r="E677" s="3486"/>
      <c r="F677" s="3486"/>
      <c r="G677" s="3486"/>
      <c r="H677" s="3486"/>
      <c r="I677" s="3486"/>
      <c r="J677" s="3486"/>
      <c r="K677" s="3486"/>
      <c r="L677" s="3486"/>
      <c r="M677" s="3486"/>
      <c r="N677" s="3486"/>
      <c r="O677" s="3486"/>
      <c r="P677" s="3486"/>
      <c r="Q677" s="3486"/>
      <c r="R677" s="3486"/>
      <c r="S677" s="3486"/>
      <c r="T677" s="3486"/>
      <c r="U677" s="3486"/>
      <c r="V677" s="3486"/>
      <c r="W677" s="3486"/>
      <c r="X677" s="3486"/>
      <c r="Y677" s="3943"/>
    </row>
    <row r="678" spans="1:25" s="3492" customFormat="1">
      <c r="A678" s="3485"/>
      <c r="B678" s="3486"/>
      <c r="C678" s="3486"/>
      <c r="D678" s="3486"/>
      <c r="E678" s="3486"/>
      <c r="F678" s="3486"/>
      <c r="G678" s="3486"/>
      <c r="H678" s="3486"/>
      <c r="I678" s="3486"/>
      <c r="J678" s="3486"/>
      <c r="K678" s="3486"/>
      <c r="L678" s="3486"/>
      <c r="M678" s="3486"/>
      <c r="N678" s="3486"/>
      <c r="O678" s="3486"/>
      <c r="P678" s="3486"/>
      <c r="Q678" s="3486"/>
      <c r="R678" s="3486"/>
      <c r="S678" s="3486"/>
      <c r="T678" s="3486"/>
      <c r="U678" s="3486"/>
      <c r="V678" s="3486"/>
      <c r="W678" s="3486"/>
      <c r="X678" s="3486"/>
      <c r="Y678" s="3943"/>
    </row>
    <row r="679" spans="1:25" s="3492" customFormat="1">
      <c r="A679" s="3485"/>
      <c r="B679" s="3486"/>
      <c r="C679" s="3486"/>
      <c r="D679" s="3486"/>
      <c r="E679" s="3486"/>
      <c r="F679" s="3486"/>
      <c r="G679" s="3486"/>
      <c r="H679" s="3486"/>
      <c r="I679" s="3486"/>
      <c r="J679" s="3486"/>
      <c r="K679" s="3486"/>
      <c r="L679" s="3486"/>
      <c r="M679" s="3486"/>
      <c r="N679" s="3486"/>
      <c r="O679" s="3486"/>
      <c r="P679" s="3486"/>
      <c r="Q679" s="3486"/>
      <c r="R679" s="3486"/>
      <c r="S679" s="3486"/>
      <c r="T679" s="3486"/>
      <c r="U679" s="3486"/>
      <c r="V679" s="3486"/>
      <c r="W679" s="3486"/>
      <c r="X679" s="3486"/>
      <c r="Y679" s="3943"/>
    </row>
    <row r="680" spans="1:25" s="3492" customFormat="1">
      <c r="A680" s="3485"/>
      <c r="B680" s="3486"/>
      <c r="C680" s="3486"/>
      <c r="D680" s="3486"/>
      <c r="E680" s="3486"/>
      <c r="F680" s="3486"/>
      <c r="G680" s="3486"/>
      <c r="H680" s="3486"/>
      <c r="I680" s="3486"/>
      <c r="J680" s="3486"/>
      <c r="K680" s="3486"/>
      <c r="L680" s="3486"/>
      <c r="M680" s="3486"/>
      <c r="N680" s="3486"/>
      <c r="O680" s="3486"/>
      <c r="P680" s="3486"/>
      <c r="Q680" s="3486"/>
      <c r="R680" s="3486"/>
      <c r="S680" s="3486"/>
      <c r="T680" s="3486"/>
      <c r="U680" s="3486"/>
      <c r="V680" s="3486"/>
      <c r="W680" s="3486"/>
      <c r="X680" s="3486"/>
      <c r="Y680" s="3943"/>
    </row>
    <row r="681" spans="1:25" s="3492" customFormat="1">
      <c r="A681" s="3485"/>
      <c r="B681" s="3486"/>
      <c r="C681" s="3486"/>
      <c r="D681" s="3486"/>
      <c r="E681" s="3486"/>
      <c r="F681" s="3486"/>
      <c r="G681" s="3486"/>
      <c r="H681" s="3486"/>
      <c r="I681" s="3486"/>
      <c r="J681" s="3486"/>
      <c r="K681" s="3486"/>
      <c r="L681" s="3486"/>
      <c r="M681" s="3486"/>
      <c r="N681" s="3486"/>
      <c r="O681" s="3486"/>
      <c r="P681" s="3486"/>
      <c r="Q681" s="3486"/>
      <c r="R681" s="3486"/>
      <c r="S681" s="3486"/>
      <c r="T681" s="3486"/>
      <c r="U681" s="3486"/>
      <c r="V681" s="3486"/>
      <c r="W681" s="3486"/>
      <c r="X681" s="3486"/>
      <c r="Y681" s="3943"/>
    </row>
    <row r="682" spans="1:25" s="3492" customFormat="1">
      <c r="A682" s="3485"/>
      <c r="B682" s="3486"/>
      <c r="C682" s="3486"/>
      <c r="D682" s="3486"/>
      <c r="E682" s="3486"/>
      <c r="F682" s="3486"/>
      <c r="G682" s="3486"/>
      <c r="H682" s="3486"/>
      <c r="I682" s="3486"/>
      <c r="J682" s="3486"/>
      <c r="K682" s="3486"/>
      <c r="L682" s="3486"/>
      <c r="M682" s="3486"/>
      <c r="N682" s="3486"/>
      <c r="O682" s="3486"/>
      <c r="P682" s="3486"/>
      <c r="Q682" s="3486"/>
      <c r="R682" s="3486"/>
      <c r="S682" s="3486"/>
      <c r="T682" s="3486"/>
      <c r="U682" s="3486"/>
      <c r="V682" s="3486"/>
      <c r="W682" s="3486"/>
      <c r="X682" s="3486"/>
      <c r="Y682" s="3943"/>
    </row>
    <row r="683" spans="1:25" s="3492" customFormat="1">
      <c r="A683" s="3485"/>
      <c r="B683" s="3486"/>
      <c r="C683" s="3486"/>
      <c r="D683" s="3486"/>
      <c r="E683" s="3486"/>
      <c r="F683" s="3486"/>
      <c r="G683" s="3486"/>
      <c r="H683" s="3486"/>
      <c r="I683" s="3486"/>
      <c r="J683" s="3486"/>
      <c r="K683" s="3486"/>
      <c r="L683" s="3486"/>
      <c r="M683" s="3486"/>
      <c r="N683" s="3486"/>
      <c r="O683" s="3486"/>
      <c r="P683" s="3486"/>
      <c r="Q683" s="3486"/>
      <c r="R683" s="3486"/>
      <c r="S683" s="3486"/>
      <c r="T683" s="3486"/>
      <c r="U683" s="3486"/>
      <c r="V683" s="3486"/>
      <c r="W683" s="3486"/>
      <c r="X683" s="3486"/>
      <c r="Y683" s="3943"/>
    </row>
    <row r="684" spans="1:25" s="3492" customFormat="1">
      <c r="A684" s="3485"/>
      <c r="B684" s="3486"/>
      <c r="C684" s="3486"/>
      <c r="D684" s="3486"/>
      <c r="E684" s="3486"/>
      <c r="F684" s="3486"/>
      <c r="G684" s="3486"/>
      <c r="H684" s="3486"/>
      <c r="I684" s="3486"/>
      <c r="J684" s="3486"/>
      <c r="K684" s="3486"/>
      <c r="L684" s="3486"/>
      <c r="M684" s="3486"/>
      <c r="N684" s="3486"/>
      <c r="O684" s="3486"/>
      <c r="P684" s="3486"/>
      <c r="Q684" s="3486"/>
      <c r="R684" s="3486"/>
      <c r="S684" s="3486"/>
      <c r="T684" s="3486"/>
      <c r="U684" s="3486"/>
      <c r="V684" s="3486"/>
      <c r="W684" s="3486"/>
      <c r="X684" s="3486"/>
      <c r="Y684" s="3943"/>
    </row>
    <row r="685" spans="1:25" s="3492" customFormat="1">
      <c r="A685" s="3485"/>
      <c r="B685" s="3486"/>
      <c r="C685" s="3486"/>
      <c r="D685" s="3486"/>
      <c r="E685" s="3486"/>
      <c r="F685" s="3486"/>
      <c r="G685" s="3486"/>
      <c r="H685" s="3486"/>
      <c r="I685" s="3486"/>
      <c r="J685" s="3486"/>
      <c r="K685" s="3486"/>
      <c r="L685" s="3486"/>
      <c r="M685" s="3486"/>
      <c r="N685" s="3486"/>
      <c r="O685" s="3486"/>
      <c r="P685" s="3486"/>
      <c r="Q685" s="3486"/>
      <c r="R685" s="3486"/>
      <c r="S685" s="3486"/>
      <c r="T685" s="3486"/>
      <c r="U685" s="3486"/>
      <c r="V685" s="3486"/>
      <c r="W685" s="3486"/>
      <c r="X685" s="3486"/>
      <c r="Y685" s="3943"/>
    </row>
    <row r="686" spans="1:25" s="3492" customFormat="1">
      <c r="A686" s="3485"/>
      <c r="B686" s="3486"/>
      <c r="C686" s="3486"/>
      <c r="D686" s="3486"/>
      <c r="E686" s="3486"/>
      <c r="F686" s="3486"/>
      <c r="G686" s="3486"/>
      <c r="H686" s="3486"/>
      <c r="I686" s="3486"/>
      <c r="J686" s="3486"/>
      <c r="K686" s="3486"/>
      <c r="L686" s="3486"/>
      <c r="M686" s="3486"/>
      <c r="N686" s="3486"/>
      <c r="O686" s="3486"/>
      <c r="P686" s="3486"/>
      <c r="Q686" s="3486"/>
      <c r="R686" s="3486"/>
      <c r="S686" s="3486"/>
      <c r="T686" s="3486"/>
      <c r="U686" s="3486"/>
      <c r="V686" s="3486"/>
      <c r="W686" s="3486"/>
      <c r="X686" s="3486"/>
      <c r="Y686" s="3943"/>
    </row>
    <row r="687" spans="1:25" s="3492" customFormat="1">
      <c r="A687" s="3485"/>
      <c r="B687" s="3486"/>
      <c r="C687" s="3486"/>
      <c r="D687" s="3486"/>
      <c r="E687" s="3486"/>
      <c r="F687" s="3486"/>
      <c r="G687" s="3486"/>
      <c r="H687" s="3486"/>
      <c r="I687" s="3486"/>
      <c r="J687" s="3486"/>
      <c r="K687" s="3486"/>
      <c r="L687" s="3486"/>
      <c r="M687" s="3486"/>
      <c r="N687" s="3486"/>
      <c r="O687" s="3486"/>
      <c r="P687" s="3486"/>
      <c r="Q687" s="3486"/>
      <c r="R687" s="3486"/>
      <c r="S687" s="3486"/>
      <c r="T687" s="3486"/>
      <c r="U687" s="3486"/>
      <c r="V687" s="3486"/>
      <c r="W687" s="3486"/>
      <c r="X687" s="3486"/>
      <c r="Y687" s="3943"/>
    </row>
    <row r="688" spans="1:25" s="3492" customFormat="1">
      <c r="A688" s="3485"/>
      <c r="B688" s="3486"/>
      <c r="C688" s="3486"/>
      <c r="D688" s="3486"/>
      <c r="E688" s="3486"/>
      <c r="F688" s="3486"/>
      <c r="G688" s="3486"/>
      <c r="H688" s="3486"/>
      <c r="I688" s="3486"/>
      <c r="J688" s="3486"/>
      <c r="K688" s="3486"/>
      <c r="L688" s="3486"/>
      <c r="M688" s="3486"/>
      <c r="N688" s="3486"/>
      <c r="O688" s="3486"/>
      <c r="P688" s="3486"/>
      <c r="Q688" s="3486"/>
      <c r="R688" s="3486"/>
      <c r="S688" s="3486"/>
      <c r="T688" s="3486"/>
      <c r="U688" s="3486"/>
      <c r="V688" s="3486"/>
      <c r="W688" s="3486"/>
      <c r="X688" s="3486"/>
      <c r="Y688" s="3943"/>
    </row>
    <row r="689" spans="1:25" s="3492" customFormat="1">
      <c r="A689" s="3485"/>
      <c r="B689" s="3486"/>
      <c r="C689" s="3486"/>
      <c r="D689" s="3486"/>
      <c r="E689" s="3486"/>
      <c r="F689" s="3486"/>
      <c r="G689" s="3486"/>
      <c r="H689" s="3486"/>
      <c r="I689" s="3486"/>
      <c r="J689" s="3486"/>
      <c r="K689" s="3486"/>
      <c r="L689" s="3486"/>
      <c r="M689" s="3486"/>
      <c r="N689" s="3486"/>
      <c r="O689" s="3486"/>
      <c r="P689" s="3486"/>
      <c r="Q689" s="3486"/>
      <c r="R689" s="3486"/>
      <c r="S689" s="3486"/>
      <c r="T689" s="3486"/>
      <c r="U689" s="3486"/>
      <c r="V689" s="3486"/>
      <c r="W689" s="3486"/>
      <c r="X689" s="3486"/>
      <c r="Y689" s="3943"/>
    </row>
    <row r="690" spans="1:25" s="3492" customFormat="1">
      <c r="A690" s="3485"/>
      <c r="B690" s="3486"/>
      <c r="C690" s="3486"/>
      <c r="D690" s="3486"/>
      <c r="E690" s="3486"/>
      <c r="F690" s="3486"/>
      <c r="G690" s="3486"/>
      <c r="H690" s="3486"/>
      <c r="I690" s="3486"/>
      <c r="J690" s="3486"/>
      <c r="K690" s="3486"/>
      <c r="L690" s="3486"/>
      <c r="M690" s="3486"/>
      <c r="N690" s="3486"/>
      <c r="O690" s="3486"/>
      <c r="P690" s="3486"/>
      <c r="Q690" s="3486"/>
      <c r="R690" s="3486"/>
      <c r="S690" s="3486"/>
      <c r="T690" s="3486"/>
      <c r="U690" s="3486"/>
      <c r="V690" s="3486"/>
      <c r="W690" s="3486"/>
      <c r="X690" s="3486"/>
      <c r="Y690" s="3943"/>
    </row>
    <row r="691" spans="1:25" s="3492" customFormat="1">
      <c r="A691" s="3485"/>
      <c r="B691" s="3486"/>
      <c r="C691" s="3486"/>
      <c r="D691" s="3486"/>
      <c r="E691" s="3486"/>
      <c r="F691" s="3486"/>
      <c r="G691" s="3486"/>
      <c r="H691" s="3486"/>
      <c r="I691" s="3486"/>
      <c r="J691" s="3486"/>
      <c r="K691" s="3486"/>
      <c r="L691" s="3486"/>
      <c r="M691" s="3486"/>
      <c r="N691" s="3486"/>
      <c r="O691" s="3486"/>
      <c r="P691" s="3486"/>
      <c r="Q691" s="3486"/>
      <c r="R691" s="3486"/>
      <c r="S691" s="3486"/>
      <c r="T691" s="3486"/>
      <c r="U691" s="3486"/>
      <c r="V691" s="3486"/>
      <c r="W691" s="3486"/>
      <c r="X691" s="3486"/>
      <c r="Y691" s="3943"/>
    </row>
    <row r="692" spans="1:25" s="3492" customFormat="1">
      <c r="A692" s="3485"/>
      <c r="B692" s="3486"/>
      <c r="C692" s="3486"/>
      <c r="D692" s="3486"/>
      <c r="E692" s="3486"/>
      <c r="F692" s="3486"/>
      <c r="G692" s="3486"/>
      <c r="H692" s="3486"/>
      <c r="I692" s="3486"/>
      <c r="J692" s="3486"/>
      <c r="K692" s="3486"/>
      <c r="L692" s="3486"/>
      <c r="M692" s="3486"/>
      <c r="N692" s="3486"/>
      <c r="O692" s="3486"/>
      <c r="P692" s="3486"/>
      <c r="Q692" s="3486"/>
      <c r="R692" s="3486"/>
      <c r="S692" s="3486"/>
      <c r="T692" s="3486"/>
      <c r="U692" s="3486"/>
      <c r="V692" s="3486"/>
      <c r="W692" s="3486"/>
      <c r="X692" s="3486"/>
      <c r="Y692" s="3943"/>
    </row>
    <row r="693" spans="1:25" s="3492" customFormat="1">
      <c r="A693" s="3485"/>
      <c r="B693" s="3486"/>
      <c r="C693" s="3486"/>
      <c r="D693" s="3486"/>
      <c r="E693" s="3486"/>
      <c r="F693" s="3486"/>
      <c r="G693" s="3486"/>
      <c r="H693" s="3486"/>
      <c r="I693" s="3486"/>
      <c r="J693" s="3486"/>
      <c r="K693" s="3486"/>
      <c r="L693" s="3486"/>
      <c r="M693" s="3486"/>
      <c r="N693" s="3486"/>
      <c r="O693" s="3486"/>
      <c r="P693" s="3486"/>
      <c r="Q693" s="3486"/>
      <c r="R693" s="3486"/>
      <c r="S693" s="3486"/>
      <c r="T693" s="3486"/>
      <c r="U693" s="3486"/>
      <c r="V693" s="3486"/>
      <c r="W693" s="3486"/>
      <c r="X693" s="3486"/>
      <c r="Y693" s="3943"/>
    </row>
    <row r="694" spans="1:25" s="3492" customFormat="1">
      <c r="A694" s="3485"/>
      <c r="B694" s="3486"/>
      <c r="C694" s="3486"/>
      <c r="D694" s="3486"/>
      <c r="E694" s="3486"/>
      <c r="F694" s="3486"/>
      <c r="G694" s="3486"/>
      <c r="H694" s="3486"/>
      <c r="I694" s="3486"/>
      <c r="J694" s="3486"/>
      <c r="K694" s="3486"/>
      <c r="L694" s="3486"/>
      <c r="M694" s="3486"/>
      <c r="N694" s="3486"/>
      <c r="O694" s="3486"/>
      <c r="P694" s="3486"/>
      <c r="Q694" s="3486"/>
      <c r="R694" s="3486"/>
      <c r="S694" s="3486"/>
      <c r="T694" s="3486"/>
      <c r="U694" s="3486"/>
      <c r="V694" s="3486"/>
      <c r="W694" s="3486"/>
      <c r="X694" s="3486"/>
      <c r="Y694" s="3943"/>
    </row>
    <row r="695" spans="1:25" s="3492" customFormat="1">
      <c r="A695" s="3485"/>
      <c r="B695" s="3486"/>
      <c r="C695" s="3486"/>
      <c r="D695" s="3486"/>
      <c r="E695" s="3486"/>
      <c r="F695" s="3486"/>
      <c r="G695" s="3486"/>
      <c r="H695" s="3486"/>
      <c r="I695" s="3486"/>
      <c r="J695" s="3486"/>
      <c r="K695" s="3486"/>
      <c r="L695" s="3486"/>
      <c r="M695" s="3486"/>
      <c r="N695" s="3486"/>
      <c r="O695" s="3486"/>
      <c r="P695" s="3486"/>
      <c r="Q695" s="3486"/>
      <c r="R695" s="3486"/>
      <c r="S695" s="3486"/>
      <c r="T695" s="3486"/>
      <c r="U695" s="3486"/>
      <c r="V695" s="3486"/>
      <c r="W695" s="3486"/>
      <c r="X695" s="3486"/>
      <c r="Y695" s="3943"/>
    </row>
    <row r="696" spans="1:25" s="3492" customFormat="1">
      <c r="A696" s="3485"/>
      <c r="B696" s="3486"/>
      <c r="C696" s="3486"/>
      <c r="D696" s="3486"/>
      <c r="E696" s="3486"/>
      <c r="F696" s="3486"/>
      <c r="G696" s="3486"/>
      <c r="H696" s="3486"/>
      <c r="I696" s="3486"/>
      <c r="J696" s="3486"/>
      <c r="K696" s="3486"/>
      <c r="L696" s="3486"/>
      <c r="M696" s="3486"/>
      <c r="N696" s="3486"/>
      <c r="O696" s="3486"/>
      <c r="P696" s="3486"/>
      <c r="Q696" s="3486"/>
      <c r="R696" s="3486"/>
      <c r="S696" s="3486"/>
      <c r="T696" s="3486"/>
      <c r="U696" s="3486"/>
      <c r="V696" s="3486"/>
      <c r="W696" s="3486"/>
      <c r="X696" s="3486"/>
      <c r="Y696" s="3943"/>
    </row>
    <row r="697" spans="1:25" s="3492" customFormat="1">
      <c r="A697" s="3485"/>
      <c r="B697" s="3486"/>
      <c r="C697" s="3486"/>
      <c r="D697" s="3486"/>
      <c r="E697" s="3486"/>
      <c r="F697" s="3486"/>
      <c r="G697" s="3486"/>
      <c r="H697" s="3486"/>
      <c r="I697" s="3486"/>
      <c r="J697" s="3486"/>
      <c r="K697" s="3486"/>
      <c r="L697" s="3486"/>
      <c r="M697" s="3486"/>
      <c r="N697" s="3486"/>
      <c r="O697" s="3486"/>
      <c r="P697" s="3486"/>
      <c r="Q697" s="3486"/>
      <c r="R697" s="3486"/>
      <c r="S697" s="3486"/>
      <c r="T697" s="3486"/>
      <c r="U697" s="3486"/>
      <c r="V697" s="3486"/>
      <c r="W697" s="3486"/>
      <c r="X697" s="3486"/>
      <c r="Y697" s="3943"/>
    </row>
    <row r="698" spans="1:25" s="3492" customFormat="1">
      <c r="A698" s="3485"/>
      <c r="B698" s="3486"/>
      <c r="C698" s="3486"/>
      <c r="D698" s="3486"/>
      <c r="E698" s="3486"/>
      <c r="F698" s="3486"/>
      <c r="G698" s="3486"/>
      <c r="H698" s="3486"/>
      <c r="I698" s="3486"/>
      <c r="J698" s="3486"/>
      <c r="K698" s="3486"/>
      <c r="L698" s="3486"/>
      <c r="M698" s="3486"/>
      <c r="N698" s="3486"/>
      <c r="O698" s="3486"/>
      <c r="P698" s="3486"/>
      <c r="Q698" s="3486"/>
      <c r="R698" s="3486"/>
      <c r="S698" s="3486"/>
      <c r="T698" s="3486"/>
      <c r="U698" s="3486"/>
      <c r="V698" s="3486"/>
      <c r="W698" s="3486"/>
      <c r="X698" s="3486"/>
      <c r="Y698" s="3943"/>
    </row>
    <row r="699" spans="1:25" s="3492" customFormat="1">
      <c r="A699" s="3485"/>
      <c r="B699" s="3486"/>
      <c r="C699" s="3486"/>
      <c r="D699" s="3486"/>
      <c r="E699" s="3486"/>
      <c r="F699" s="3486"/>
      <c r="G699" s="3486"/>
      <c r="H699" s="3486"/>
      <c r="I699" s="3486"/>
      <c r="J699" s="3486"/>
      <c r="K699" s="3486"/>
      <c r="L699" s="3486"/>
      <c r="M699" s="3486"/>
      <c r="N699" s="3486"/>
      <c r="O699" s="3486"/>
      <c r="P699" s="3486"/>
      <c r="Q699" s="3486"/>
      <c r="R699" s="3486"/>
      <c r="S699" s="3486"/>
      <c r="T699" s="3486"/>
      <c r="U699" s="3486"/>
      <c r="V699" s="3486"/>
      <c r="W699" s="3486"/>
      <c r="X699" s="3486"/>
      <c r="Y699" s="3943"/>
    </row>
    <row r="700" spans="1:25" s="3492" customFormat="1">
      <c r="A700" s="3485"/>
      <c r="B700" s="3486"/>
      <c r="C700" s="3486"/>
      <c r="D700" s="3486"/>
      <c r="E700" s="3486"/>
      <c r="F700" s="3486"/>
      <c r="G700" s="3486"/>
      <c r="H700" s="3486"/>
      <c r="I700" s="3486"/>
      <c r="J700" s="3486"/>
      <c r="K700" s="3486"/>
      <c r="L700" s="3486"/>
      <c r="M700" s="3486"/>
      <c r="N700" s="3486"/>
      <c r="O700" s="3486"/>
      <c r="P700" s="3486"/>
      <c r="Q700" s="3486"/>
      <c r="R700" s="3486"/>
      <c r="S700" s="3486"/>
      <c r="T700" s="3486"/>
      <c r="U700" s="3486"/>
      <c r="V700" s="3486"/>
      <c r="W700" s="3486"/>
      <c r="X700" s="3486"/>
      <c r="Y700" s="3943"/>
    </row>
    <row r="701" spans="1:25" s="3492" customFormat="1">
      <c r="A701" s="3485"/>
      <c r="B701" s="3486"/>
      <c r="C701" s="3486"/>
      <c r="D701" s="3486"/>
      <c r="E701" s="3486"/>
      <c r="F701" s="3486"/>
      <c r="G701" s="3486"/>
      <c r="H701" s="3486"/>
      <c r="I701" s="3486"/>
      <c r="J701" s="3486"/>
      <c r="K701" s="3486"/>
      <c r="L701" s="3486"/>
      <c r="M701" s="3486"/>
      <c r="N701" s="3486"/>
      <c r="O701" s="3486"/>
      <c r="P701" s="3486"/>
      <c r="Q701" s="3486"/>
      <c r="R701" s="3486"/>
      <c r="S701" s="3486"/>
      <c r="T701" s="3486"/>
      <c r="U701" s="3486"/>
      <c r="V701" s="3486"/>
      <c r="W701" s="3486"/>
      <c r="X701" s="3486"/>
      <c r="Y701" s="3943"/>
    </row>
    <row r="702" spans="1:25" s="3492" customFormat="1">
      <c r="A702" s="3485"/>
      <c r="B702" s="3486"/>
      <c r="C702" s="3486"/>
      <c r="D702" s="3486"/>
      <c r="E702" s="3486"/>
      <c r="F702" s="3486"/>
      <c r="G702" s="3486"/>
      <c r="H702" s="3486"/>
      <c r="I702" s="3486"/>
      <c r="J702" s="3486"/>
      <c r="K702" s="3486"/>
      <c r="L702" s="3486"/>
      <c r="M702" s="3486"/>
      <c r="N702" s="3486"/>
      <c r="O702" s="3486"/>
      <c r="P702" s="3486"/>
      <c r="Q702" s="3486"/>
      <c r="R702" s="3486"/>
      <c r="S702" s="3486"/>
      <c r="T702" s="3486"/>
      <c r="U702" s="3486"/>
      <c r="V702" s="3486"/>
      <c r="W702" s="3486"/>
      <c r="X702" s="3486"/>
      <c r="Y702" s="3943"/>
    </row>
    <row r="703" spans="1:25" s="3492" customFormat="1">
      <c r="A703" s="3485"/>
      <c r="B703" s="3486"/>
      <c r="C703" s="3486"/>
      <c r="D703" s="3486"/>
      <c r="E703" s="3486"/>
      <c r="F703" s="3486"/>
      <c r="G703" s="3486"/>
      <c r="H703" s="3486"/>
      <c r="I703" s="3486"/>
      <c r="J703" s="3486"/>
      <c r="K703" s="3486"/>
      <c r="L703" s="3486"/>
      <c r="M703" s="3486"/>
      <c r="N703" s="3486"/>
      <c r="O703" s="3486"/>
      <c r="P703" s="3486"/>
      <c r="Q703" s="3486"/>
      <c r="R703" s="3486"/>
      <c r="S703" s="3486"/>
      <c r="T703" s="3486"/>
      <c r="U703" s="3486"/>
      <c r="V703" s="3486"/>
      <c r="W703" s="3486"/>
      <c r="X703" s="3486"/>
      <c r="Y703" s="3943"/>
    </row>
    <row r="704" spans="1:25" s="3492" customFormat="1">
      <c r="A704" s="3485"/>
      <c r="B704" s="3486"/>
      <c r="C704" s="3486"/>
      <c r="D704" s="3486"/>
      <c r="E704" s="3486"/>
      <c r="F704" s="3486"/>
      <c r="G704" s="3486"/>
      <c r="H704" s="3486"/>
      <c r="I704" s="3486"/>
      <c r="J704" s="3486"/>
      <c r="K704" s="3486"/>
      <c r="L704" s="3486"/>
      <c r="M704" s="3486"/>
      <c r="N704" s="3486"/>
      <c r="O704" s="3486"/>
      <c r="P704" s="3486"/>
      <c r="Q704" s="3486"/>
      <c r="R704" s="3486"/>
      <c r="S704" s="3486"/>
      <c r="T704" s="3486"/>
      <c r="U704" s="3486"/>
      <c r="V704" s="3486"/>
      <c r="W704" s="3486"/>
      <c r="X704" s="3486"/>
      <c r="Y704" s="3943"/>
    </row>
    <row r="705" spans="1:25" s="3492" customFormat="1">
      <c r="A705" s="3485"/>
      <c r="B705" s="3486"/>
      <c r="C705" s="3486"/>
      <c r="D705" s="3486"/>
      <c r="E705" s="3486"/>
      <c r="F705" s="3486"/>
      <c r="G705" s="3486"/>
      <c r="H705" s="3486"/>
      <c r="I705" s="3486"/>
      <c r="J705" s="3486"/>
      <c r="K705" s="3486"/>
      <c r="L705" s="3486"/>
      <c r="M705" s="3486"/>
      <c r="N705" s="3486"/>
      <c r="O705" s="3486"/>
      <c r="P705" s="3486"/>
      <c r="Q705" s="3486"/>
      <c r="R705" s="3486"/>
      <c r="S705" s="3486"/>
      <c r="T705" s="3486"/>
      <c r="U705" s="3486"/>
      <c r="V705" s="3486"/>
      <c r="W705" s="3486"/>
      <c r="X705" s="3486"/>
      <c r="Y705" s="3943"/>
    </row>
    <row r="706" spans="1:25" s="3492" customFormat="1">
      <c r="A706" s="3485"/>
      <c r="B706" s="3486"/>
      <c r="C706" s="3486"/>
      <c r="D706" s="3486"/>
      <c r="E706" s="3486"/>
      <c r="F706" s="3486"/>
      <c r="G706" s="3486"/>
      <c r="H706" s="3486"/>
      <c r="I706" s="3486"/>
      <c r="J706" s="3486"/>
      <c r="K706" s="3486"/>
      <c r="L706" s="3486"/>
      <c r="M706" s="3486"/>
      <c r="N706" s="3486"/>
      <c r="O706" s="3486"/>
      <c r="P706" s="3486"/>
      <c r="Q706" s="3486"/>
      <c r="R706" s="3486"/>
      <c r="S706" s="3486"/>
      <c r="T706" s="3486"/>
      <c r="U706" s="3486"/>
      <c r="V706" s="3486"/>
      <c r="W706" s="3486"/>
      <c r="X706" s="3486"/>
      <c r="Y706" s="3943"/>
    </row>
    <row r="707" spans="1:25" s="3492" customFormat="1">
      <c r="A707" s="3485"/>
      <c r="B707" s="3486"/>
      <c r="C707" s="3486"/>
      <c r="D707" s="3486"/>
      <c r="E707" s="3486"/>
      <c r="F707" s="3486"/>
      <c r="G707" s="3486"/>
      <c r="H707" s="3486"/>
      <c r="I707" s="3486"/>
      <c r="J707" s="3486"/>
      <c r="K707" s="3486"/>
      <c r="L707" s="3486"/>
      <c r="M707" s="3486"/>
      <c r="N707" s="3486"/>
      <c r="O707" s="3486"/>
      <c r="P707" s="3486"/>
      <c r="Q707" s="3486"/>
      <c r="R707" s="3486"/>
      <c r="S707" s="3486"/>
      <c r="T707" s="3486"/>
      <c r="U707" s="3486"/>
      <c r="V707" s="3486"/>
      <c r="W707" s="3486"/>
      <c r="X707" s="3486"/>
      <c r="Y707" s="3943"/>
    </row>
    <row r="708" spans="1:25" s="3492" customFormat="1">
      <c r="A708" s="3485"/>
      <c r="B708" s="3486"/>
      <c r="C708" s="3486"/>
      <c r="D708" s="3486"/>
      <c r="E708" s="3486"/>
      <c r="F708" s="3486"/>
      <c r="G708" s="3486"/>
      <c r="H708" s="3486"/>
      <c r="I708" s="3486"/>
      <c r="J708" s="3486"/>
      <c r="K708" s="3486"/>
      <c r="L708" s="3486"/>
      <c r="M708" s="3486"/>
      <c r="N708" s="3486"/>
      <c r="O708" s="3486"/>
      <c r="P708" s="3486"/>
      <c r="Q708" s="3486"/>
      <c r="R708" s="3486"/>
      <c r="S708" s="3486"/>
      <c r="T708" s="3486"/>
      <c r="U708" s="3486"/>
      <c r="V708" s="3486"/>
      <c r="W708" s="3486"/>
      <c r="X708" s="3486"/>
      <c r="Y708" s="3943"/>
    </row>
    <row r="709" spans="1:25" s="3492" customFormat="1">
      <c r="A709" s="3485"/>
      <c r="B709" s="3486"/>
      <c r="C709" s="3486"/>
      <c r="D709" s="3486"/>
      <c r="E709" s="3486"/>
      <c r="F709" s="3486"/>
      <c r="G709" s="3486"/>
      <c r="H709" s="3486"/>
      <c r="I709" s="3486"/>
      <c r="J709" s="3486"/>
      <c r="K709" s="3486"/>
      <c r="L709" s="3486"/>
      <c r="M709" s="3486"/>
      <c r="N709" s="3486"/>
      <c r="O709" s="3486"/>
      <c r="P709" s="3486"/>
      <c r="Q709" s="3486"/>
      <c r="R709" s="3486"/>
      <c r="S709" s="3486"/>
      <c r="T709" s="3486"/>
      <c r="U709" s="3486"/>
      <c r="V709" s="3486"/>
      <c r="W709" s="3486"/>
      <c r="X709" s="3486"/>
      <c r="Y709" s="3943"/>
    </row>
    <row r="710" spans="1:25" s="3492" customFormat="1">
      <c r="A710" s="3485"/>
      <c r="B710" s="3486"/>
      <c r="C710" s="3486"/>
      <c r="D710" s="3486"/>
      <c r="E710" s="3486"/>
      <c r="F710" s="3486"/>
      <c r="G710" s="3486"/>
      <c r="H710" s="3486"/>
      <c r="I710" s="3486"/>
      <c r="J710" s="3486"/>
      <c r="K710" s="3486"/>
      <c r="L710" s="3486"/>
      <c r="M710" s="3486"/>
      <c r="N710" s="3486"/>
      <c r="O710" s="3486"/>
      <c r="P710" s="3486"/>
      <c r="Q710" s="3486"/>
      <c r="R710" s="3486"/>
      <c r="S710" s="3486"/>
      <c r="T710" s="3486"/>
      <c r="U710" s="3486"/>
      <c r="V710" s="3486"/>
      <c r="W710" s="3486"/>
      <c r="X710" s="3486"/>
      <c r="Y710" s="3943"/>
    </row>
    <row r="711" spans="1:25" s="3492" customFormat="1">
      <c r="A711" s="3485"/>
      <c r="B711" s="3486"/>
      <c r="C711" s="3486"/>
      <c r="D711" s="3486"/>
      <c r="E711" s="3486"/>
      <c r="F711" s="3486"/>
      <c r="G711" s="3486"/>
      <c r="H711" s="3486"/>
      <c r="I711" s="3486"/>
      <c r="J711" s="3486"/>
      <c r="K711" s="3486"/>
      <c r="L711" s="3486"/>
      <c r="M711" s="3486"/>
      <c r="N711" s="3486"/>
      <c r="O711" s="3486"/>
      <c r="P711" s="3486"/>
      <c r="Q711" s="3486"/>
      <c r="R711" s="3486"/>
      <c r="S711" s="3486"/>
      <c r="T711" s="3486"/>
      <c r="U711" s="3486"/>
      <c r="V711" s="3486"/>
      <c r="W711" s="3486"/>
      <c r="X711" s="3486"/>
      <c r="Y711" s="3943"/>
    </row>
    <row r="712" spans="1:25" s="3492" customFormat="1">
      <c r="A712" s="3485"/>
      <c r="B712" s="3486"/>
      <c r="C712" s="3486"/>
      <c r="D712" s="3486"/>
      <c r="E712" s="3486"/>
      <c r="F712" s="3486"/>
      <c r="G712" s="3486"/>
      <c r="H712" s="3486"/>
      <c r="I712" s="3486"/>
      <c r="J712" s="3486"/>
      <c r="K712" s="3486"/>
      <c r="L712" s="3486"/>
      <c r="M712" s="3486"/>
      <c r="N712" s="3486"/>
      <c r="O712" s="3486"/>
      <c r="P712" s="3486"/>
      <c r="Q712" s="3486"/>
      <c r="R712" s="3486"/>
      <c r="S712" s="3486"/>
      <c r="T712" s="3486"/>
      <c r="U712" s="3486"/>
      <c r="V712" s="3486"/>
      <c r="W712" s="3486"/>
      <c r="X712" s="3486"/>
      <c r="Y712" s="3943"/>
    </row>
    <row r="713" spans="1:25" s="3492" customFormat="1">
      <c r="A713" s="3485"/>
      <c r="B713" s="3486"/>
      <c r="C713" s="3486"/>
      <c r="D713" s="3486"/>
      <c r="E713" s="3486"/>
      <c r="F713" s="3486"/>
      <c r="G713" s="3486"/>
      <c r="H713" s="3486"/>
      <c r="I713" s="3486"/>
      <c r="J713" s="3486"/>
      <c r="K713" s="3486"/>
      <c r="L713" s="3486"/>
      <c r="M713" s="3486"/>
      <c r="N713" s="3486"/>
      <c r="O713" s="3486"/>
      <c r="P713" s="3486"/>
      <c r="Q713" s="3486"/>
      <c r="R713" s="3486"/>
      <c r="S713" s="3486"/>
      <c r="T713" s="3486"/>
      <c r="U713" s="3486"/>
      <c r="V713" s="3486"/>
      <c r="W713" s="3486"/>
      <c r="X713" s="3486"/>
      <c r="Y713" s="3943"/>
    </row>
    <row r="714" spans="1:25" s="3492" customFormat="1">
      <c r="A714" s="3485"/>
      <c r="B714" s="3486"/>
      <c r="C714" s="3486"/>
      <c r="D714" s="3486"/>
      <c r="E714" s="3486"/>
      <c r="F714" s="3486"/>
      <c r="G714" s="3486"/>
      <c r="H714" s="3486"/>
      <c r="I714" s="3486"/>
      <c r="J714" s="3486"/>
      <c r="K714" s="3486"/>
      <c r="L714" s="3486"/>
      <c r="M714" s="3486"/>
      <c r="N714" s="3486"/>
      <c r="O714" s="3486"/>
      <c r="P714" s="3486"/>
      <c r="Q714" s="3486"/>
      <c r="R714" s="3486"/>
      <c r="S714" s="3486"/>
      <c r="T714" s="3486"/>
      <c r="U714" s="3486"/>
      <c r="V714" s="3486"/>
      <c r="W714" s="3486"/>
      <c r="X714" s="3486"/>
      <c r="Y714" s="3943"/>
    </row>
    <row r="715" spans="1:25" s="3492" customFormat="1">
      <c r="A715" s="3485"/>
      <c r="B715" s="3486"/>
      <c r="C715" s="3486"/>
      <c r="D715" s="3486"/>
      <c r="E715" s="3486"/>
      <c r="F715" s="3486"/>
      <c r="G715" s="3486"/>
      <c r="H715" s="3486"/>
      <c r="I715" s="3486"/>
      <c r="J715" s="3486"/>
      <c r="K715" s="3486"/>
      <c r="L715" s="3486"/>
      <c r="M715" s="3486"/>
      <c r="N715" s="3486"/>
      <c r="O715" s="3486"/>
      <c r="P715" s="3486"/>
      <c r="Q715" s="3486"/>
      <c r="R715" s="3486"/>
      <c r="S715" s="3486"/>
      <c r="T715" s="3486"/>
      <c r="U715" s="3486"/>
      <c r="V715" s="3486"/>
      <c r="W715" s="3486"/>
      <c r="X715" s="3486"/>
      <c r="Y715" s="3943"/>
    </row>
    <row r="716" spans="1:25" s="3492" customFormat="1">
      <c r="A716" s="3485"/>
      <c r="B716" s="3486"/>
      <c r="C716" s="3486"/>
      <c r="D716" s="3486"/>
      <c r="E716" s="3486"/>
      <c r="F716" s="3486"/>
      <c r="G716" s="3486"/>
      <c r="H716" s="3486"/>
      <c r="I716" s="3486"/>
      <c r="J716" s="3486"/>
      <c r="K716" s="3486"/>
      <c r="L716" s="3486"/>
      <c r="M716" s="3486"/>
      <c r="N716" s="3486"/>
      <c r="O716" s="3486"/>
      <c r="P716" s="3486"/>
      <c r="Q716" s="3486"/>
      <c r="R716" s="3486"/>
      <c r="S716" s="3486"/>
      <c r="T716" s="3486"/>
      <c r="U716" s="3486"/>
      <c r="V716" s="3486"/>
      <c r="W716" s="3486"/>
      <c r="X716" s="3486"/>
      <c r="Y716" s="3943"/>
    </row>
    <row r="717" spans="1:25" s="3492" customFormat="1">
      <c r="A717" s="3485"/>
      <c r="B717" s="3486"/>
      <c r="C717" s="3486"/>
      <c r="D717" s="3486"/>
      <c r="E717" s="3486"/>
      <c r="F717" s="3486"/>
      <c r="G717" s="3486"/>
      <c r="H717" s="3486"/>
      <c r="I717" s="3486"/>
      <c r="J717" s="3486"/>
      <c r="K717" s="3486"/>
      <c r="L717" s="3486"/>
      <c r="M717" s="3486"/>
      <c r="N717" s="3486"/>
      <c r="O717" s="3486"/>
      <c r="P717" s="3486"/>
      <c r="Q717" s="3486"/>
      <c r="R717" s="3486"/>
      <c r="S717" s="3486"/>
      <c r="T717" s="3486"/>
      <c r="U717" s="3486"/>
      <c r="V717" s="3486"/>
      <c r="W717" s="3486"/>
      <c r="X717" s="3486"/>
      <c r="Y717" s="3943"/>
    </row>
    <row r="718" spans="1:25" s="3492" customFormat="1">
      <c r="A718" s="3485"/>
      <c r="B718" s="3486"/>
      <c r="C718" s="3486"/>
      <c r="D718" s="3486"/>
      <c r="E718" s="3486"/>
      <c r="F718" s="3486"/>
      <c r="G718" s="3486"/>
      <c r="H718" s="3486"/>
      <c r="I718" s="3486"/>
      <c r="J718" s="3486"/>
      <c r="K718" s="3486"/>
      <c r="L718" s="3486"/>
      <c r="M718" s="3486"/>
      <c r="N718" s="3486"/>
      <c r="O718" s="3486"/>
      <c r="P718" s="3486"/>
      <c r="Q718" s="3486"/>
      <c r="R718" s="3486"/>
      <c r="S718" s="3486"/>
      <c r="T718" s="3486"/>
      <c r="U718" s="3486"/>
      <c r="V718" s="3486"/>
      <c r="W718" s="3486"/>
      <c r="X718" s="3486"/>
      <c r="Y718" s="3943"/>
    </row>
    <row r="719" spans="1:25" s="3492" customFormat="1">
      <c r="A719" s="3485"/>
      <c r="B719" s="3486"/>
      <c r="C719" s="3486"/>
      <c r="D719" s="3486"/>
      <c r="E719" s="3486"/>
      <c r="F719" s="3486"/>
      <c r="G719" s="3486"/>
      <c r="H719" s="3486"/>
      <c r="I719" s="3486"/>
      <c r="J719" s="3486"/>
      <c r="K719" s="3486"/>
      <c r="L719" s="3486"/>
      <c r="M719" s="3486"/>
      <c r="N719" s="3486"/>
      <c r="O719" s="3486"/>
      <c r="P719" s="3486"/>
      <c r="Q719" s="3486"/>
      <c r="R719" s="3486"/>
      <c r="S719" s="3486"/>
      <c r="T719" s="3486"/>
      <c r="U719" s="3486"/>
      <c r="V719" s="3486"/>
      <c r="W719" s="3486"/>
      <c r="X719" s="3486"/>
      <c r="Y719" s="3943"/>
    </row>
    <row r="720" spans="1:25" s="3492" customFormat="1">
      <c r="A720" s="3485"/>
      <c r="B720" s="3486"/>
      <c r="C720" s="3486"/>
      <c r="D720" s="3486"/>
      <c r="E720" s="3486"/>
      <c r="F720" s="3486"/>
      <c r="G720" s="3486"/>
      <c r="H720" s="3486"/>
      <c r="I720" s="3486"/>
      <c r="J720" s="3486"/>
      <c r="K720" s="3486"/>
      <c r="L720" s="3486"/>
      <c r="M720" s="3486"/>
      <c r="N720" s="3486"/>
      <c r="O720" s="3486"/>
      <c r="P720" s="3486"/>
      <c r="Q720" s="3486"/>
      <c r="R720" s="3486"/>
      <c r="S720" s="3486"/>
      <c r="T720" s="3486"/>
      <c r="U720" s="3486"/>
      <c r="V720" s="3486"/>
      <c r="W720" s="3486"/>
      <c r="X720" s="3486"/>
      <c r="Y720" s="3943"/>
    </row>
    <row r="721" spans="1:25" s="3492" customFormat="1">
      <c r="A721" s="3485"/>
      <c r="B721" s="3486"/>
      <c r="C721" s="3486"/>
      <c r="D721" s="3486"/>
      <c r="E721" s="3486"/>
      <c r="F721" s="3486"/>
      <c r="G721" s="3486"/>
      <c r="H721" s="3486"/>
      <c r="I721" s="3486"/>
      <c r="J721" s="3486"/>
      <c r="K721" s="3486"/>
      <c r="L721" s="3486"/>
      <c r="M721" s="3486"/>
      <c r="N721" s="3486"/>
      <c r="O721" s="3486"/>
      <c r="P721" s="3486"/>
      <c r="Q721" s="3486"/>
      <c r="R721" s="3486"/>
      <c r="S721" s="3486"/>
      <c r="T721" s="3486"/>
      <c r="U721" s="3486"/>
      <c r="V721" s="3486"/>
      <c r="W721" s="3486"/>
      <c r="X721" s="3486"/>
      <c r="Y721" s="3943"/>
    </row>
    <row r="722" spans="1:25" s="3492" customFormat="1">
      <c r="A722" s="3485"/>
      <c r="B722" s="3486"/>
      <c r="C722" s="3486"/>
      <c r="D722" s="3486"/>
      <c r="E722" s="3486"/>
      <c r="F722" s="3486"/>
      <c r="G722" s="3486"/>
      <c r="H722" s="3486"/>
      <c r="I722" s="3486"/>
      <c r="J722" s="3486"/>
      <c r="K722" s="3486"/>
      <c r="L722" s="3486"/>
      <c r="M722" s="3486"/>
      <c r="N722" s="3486"/>
      <c r="O722" s="3486"/>
      <c r="P722" s="3486"/>
      <c r="Q722" s="3486"/>
      <c r="R722" s="3486"/>
      <c r="S722" s="3486"/>
      <c r="T722" s="3486"/>
      <c r="U722" s="3486"/>
      <c r="V722" s="3486"/>
      <c r="W722" s="3486"/>
      <c r="X722" s="3486"/>
      <c r="Y722" s="3943"/>
    </row>
    <row r="723" spans="1:25" s="3492" customFormat="1">
      <c r="A723" s="3485"/>
      <c r="B723" s="3486"/>
      <c r="C723" s="3486"/>
      <c r="D723" s="3486"/>
      <c r="E723" s="3486"/>
      <c r="F723" s="3486"/>
      <c r="G723" s="3486"/>
      <c r="H723" s="3486"/>
      <c r="I723" s="3486"/>
      <c r="J723" s="3486"/>
      <c r="K723" s="3486"/>
      <c r="L723" s="3486"/>
      <c r="M723" s="3486"/>
      <c r="N723" s="3486"/>
      <c r="O723" s="3486"/>
      <c r="P723" s="3486"/>
      <c r="Q723" s="3486"/>
      <c r="R723" s="3486"/>
      <c r="S723" s="3486"/>
      <c r="T723" s="3486"/>
      <c r="U723" s="3486"/>
      <c r="V723" s="3486"/>
      <c r="W723" s="3486"/>
      <c r="X723" s="3486"/>
      <c r="Y723" s="3943"/>
    </row>
    <row r="724" spans="1:25" s="3492" customFormat="1">
      <c r="A724" s="3485"/>
      <c r="B724" s="3486"/>
      <c r="C724" s="3486"/>
      <c r="D724" s="3486"/>
      <c r="E724" s="3486"/>
      <c r="F724" s="3486"/>
      <c r="G724" s="3486"/>
      <c r="H724" s="3486"/>
      <c r="I724" s="3486"/>
      <c r="J724" s="3486"/>
      <c r="K724" s="3486"/>
      <c r="L724" s="3486"/>
      <c r="M724" s="3486"/>
      <c r="N724" s="3486"/>
      <c r="O724" s="3486"/>
      <c r="P724" s="3486"/>
      <c r="Q724" s="3486"/>
      <c r="R724" s="3486"/>
      <c r="S724" s="3486"/>
      <c r="T724" s="3486"/>
      <c r="U724" s="3486"/>
      <c r="V724" s="3486"/>
      <c r="W724" s="3486"/>
      <c r="X724" s="3486"/>
      <c r="Y724" s="3943"/>
    </row>
    <row r="725" spans="1:25" s="3492" customFormat="1">
      <c r="A725" s="3485"/>
      <c r="B725" s="3486"/>
      <c r="C725" s="3486"/>
      <c r="D725" s="3486"/>
      <c r="E725" s="3486"/>
      <c r="F725" s="3486"/>
      <c r="G725" s="3486"/>
      <c r="H725" s="3486"/>
      <c r="I725" s="3486"/>
      <c r="J725" s="3486"/>
      <c r="K725" s="3486"/>
      <c r="L725" s="3486"/>
      <c r="M725" s="3486"/>
      <c r="N725" s="3486"/>
      <c r="O725" s="3486"/>
      <c r="P725" s="3486"/>
      <c r="Q725" s="3486"/>
      <c r="R725" s="3486"/>
      <c r="S725" s="3486"/>
      <c r="T725" s="3486"/>
      <c r="U725" s="3486"/>
      <c r="V725" s="3486"/>
      <c r="W725" s="3486"/>
      <c r="X725" s="3486"/>
      <c r="Y725" s="3943"/>
    </row>
    <row r="726" spans="1:25" s="3492" customFormat="1">
      <c r="A726" s="3485"/>
      <c r="B726" s="3486"/>
      <c r="C726" s="3486"/>
      <c r="D726" s="3486"/>
      <c r="E726" s="3486"/>
      <c r="F726" s="3486"/>
      <c r="G726" s="3486"/>
      <c r="H726" s="3486"/>
      <c r="I726" s="3486"/>
      <c r="J726" s="3486"/>
      <c r="K726" s="3486"/>
      <c r="L726" s="3486"/>
      <c r="M726" s="3486"/>
      <c r="N726" s="3486"/>
      <c r="O726" s="3486"/>
      <c r="P726" s="3486"/>
      <c r="Q726" s="3486"/>
      <c r="R726" s="3486"/>
      <c r="S726" s="3486"/>
      <c r="T726" s="3486"/>
      <c r="U726" s="3486"/>
      <c r="V726" s="3486"/>
      <c r="W726" s="3486"/>
      <c r="X726" s="3486"/>
      <c r="Y726" s="3943"/>
    </row>
    <row r="727" spans="1:25" s="3492" customFormat="1">
      <c r="A727" s="3485"/>
      <c r="B727" s="3486"/>
      <c r="C727" s="3486"/>
      <c r="D727" s="3486"/>
      <c r="E727" s="3486"/>
      <c r="F727" s="3486"/>
      <c r="G727" s="3486"/>
      <c r="H727" s="3486"/>
      <c r="I727" s="3486"/>
      <c r="J727" s="3486"/>
      <c r="K727" s="3486"/>
      <c r="L727" s="3486"/>
      <c r="M727" s="3486"/>
      <c r="N727" s="3486"/>
      <c r="O727" s="3486"/>
      <c r="P727" s="3486"/>
      <c r="Q727" s="3486"/>
      <c r="R727" s="3486"/>
      <c r="S727" s="3486"/>
      <c r="T727" s="3486"/>
      <c r="U727" s="3486"/>
      <c r="V727" s="3486"/>
      <c r="W727" s="3486"/>
      <c r="X727" s="3486"/>
      <c r="Y727" s="3943"/>
    </row>
    <row r="728" spans="1:25" s="3492" customFormat="1">
      <c r="A728" s="3485"/>
      <c r="B728" s="3486"/>
      <c r="C728" s="3486"/>
      <c r="D728" s="3486"/>
      <c r="E728" s="3486"/>
      <c r="F728" s="3486"/>
      <c r="G728" s="3486"/>
      <c r="H728" s="3486"/>
      <c r="I728" s="3486"/>
      <c r="J728" s="3486"/>
      <c r="K728" s="3486"/>
      <c r="L728" s="3486"/>
      <c r="M728" s="3486"/>
      <c r="N728" s="3486"/>
      <c r="O728" s="3486"/>
      <c r="P728" s="3486"/>
      <c r="Q728" s="3486"/>
      <c r="R728" s="3486"/>
      <c r="S728" s="3486"/>
      <c r="T728" s="3486"/>
      <c r="U728" s="3486"/>
      <c r="V728" s="3486"/>
      <c r="W728" s="3486"/>
      <c r="X728" s="3486"/>
      <c r="Y728" s="3943"/>
    </row>
    <row r="729" spans="1:25" s="3492" customFormat="1">
      <c r="A729" s="3485"/>
      <c r="B729" s="3486"/>
      <c r="C729" s="3486"/>
      <c r="D729" s="3486"/>
      <c r="E729" s="3486"/>
      <c r="F729" s="3486"/>
      <c r="G729" s="3486"/>
      <c r="H729" s="3486"/>
      <c r="I729" s="3486"/>
      <c r="J729" s="3486"/>
      <c r="K729" s="3486"/>
      <c r="L729" s="3486"/>
      <c r="M729" s="3486"/>
      <c r="N729" s="3486"/>
      <c r="O729" s="3486"/>
      <c r="P729" s="3486"/>
      <c r="Q729" s="3486"/>
      <c r="R729" s="3486"/>
      <c r="S729" s="3486"/>
      <c r="T729" s="3486"/>
      <c r="U729" s="3486"/>
      <c r="V729" s="3486"/>
      <c r="W729" s="3486"/>
      <c r="X729" s="3486"/>
      <c r="Y729" s="3943"/>
    </row>
    <row r="730" spans="1:25" s="3492" customFormat="1">
      <c r="A730" s="3485"/>
      <c r="B730" s="3486"/>
      <c r="C730" s="3486"/>
      <c r="D730" s="3486"/>
      <c r="E730" s="3486"/>
      <c r="F730" s="3486"/>
      <c r="G730" s="3486"/>
      <c r="H730" s="3486"/>
      <c r="I730" s="3486"/>
      <c r="J730" s="3486"/>
      <c r="K730" s="3486"/>
      <c r="L730" s="3486"/>
      <c r="M730" s="3486"/>
      <c r="N730" s="3486"/>
      <c r="O730" s="3486"/>
      <c r="P730" s="3486"/>
      <c r="Q730" s="3486"/>
      <c r="R730" s="3486"/>
      <c r="S730" s="3486"/>
      <c r="T730" s="3486"/>
      <c r="U730" s="3486"/>
      <c r="V730" s="3486"/>
      <c r="W730" s="3486"/>
      <c r="X730" s="3486"/>
      <c r="Y730" s="3943"/>
    </row>
    <row r="731" spans="1:25" s="3492" customFormat="1">
      <c r="A731" s="3485"/>
      <c r="B731" s="3486"/>
      <c r="C731" s="3486"/>
      <c r="D731" s="3486"/>
      <c r="E731" s="3486"/>
      <c r="F731" s="3486"/>
      <c r="G731" s="3486"/>
      <c r="H731" s="3486"/>
      <c r="I731" s="3486"/>
      <c r="J731" s="3486"/>
      <c r="K731" s="3486"/>
      <c r="L731" s="3486"/>
      <c r="M731" s="3486"/>
      <c r="N731" s="3486"/>
      <c r="O731" s="3486"/>
      <c r="P731" s="3486"/>
      <c r="Q731" s="3486"/>
      <c r="R731" s="3486"/>
      <c r="S731" s="3486"/>
      <c r="T731" s="3486"/>
      <c r="U731" s="3486"/>
      <c r="V731" s="3486"/>
      <c r="W731" s="3486"/>
      <c r="X731" s="3486"/>
      <c r="Y731" s="3943"/>
    </row>
    <row r="732" spans="1:25" s="3492" customFormat="1">
      <c r="A732" s="3485"/>
      <c r="B732" s="3486"/>
      <c r="C732" s="3486"/>
      <c r="D732" s="3486"/>
      <c r="E732" s="3486"/>
      <c r="F732" s="3486"/>
      <c r="G732" s="3486"/>
      <c r="H732" s="3486"/>
      <c r="I732" s="3486"/>
      <c r="J732" s="3486"/>
      <c r="K732" s="3486"/>
      <c r="L732" s="3486"/>
      <c r="M732" s="3486"/>
      <c r="N732" s="3486"/>
      <c r="O732" s="3486"/>
      <c r="P732" s="3486"/>
      <c r="Q732" s="3486"/>
      <c r="R732" s="3486"/>
      <c r="S732" s="3486"/>
      <c r="T732" s="3486"/>
      <c r="U732" s="3486"/>
      <c r="V732" s="3486"/>
      <c r="W732" s="3486"/>
      <c r="X732" s="3486"/>
      <c r="Y732" s="3943"/>
    </row>
    <row r="733" spans="1:25" s="3492" customFormat="1">
      <c r="A733" s="3485"/>
      <c r="B733" s="3486"/>
      <c r="C733" s="3486"/>
      <c r="D733" s="3486"/>
      <c r="E733" s="3486"/>
      <c r="F733" s="3486"/>
      <c r="G733" s="3486"/>
      <c r="H733" s="3486"/>
      <c r="I733" s="3486"/>
      <c r="J733" s="3486"/>
      <c r="K733" s="3486"/>
      <c r="L733" s="3486"/>
      <c r="M733" s="3486"/>
      <c r="N733" s="3486"/>
      <c r="O733" s="3486"/>
      <c r="P733" s="3486"/>
      <c r="Q733" s="3486"/>
      <c r="R733" s="3486"/>
      <c r="S733" s="3486"/>
      <c r="T733" s="3486"/>
      <c r="U733" s="3486"/>
      <c r="V733" s="3486"/>
      <c r="W733" s="3486"/>
      <c r="X733" s="3486"/>
      <c r="Y733" s="3943"/>
    </row>
    <row r="734" spans="1:25" s="3492" customFormat="1">
      <c r="A734" s="3485"/>
      <c r="B734" s="3486"/>
      <c r="C734" s="3486"/>
      <c r="D734" s="3486"/>
      <c r="E734" s="3486"/>
      <c r="F734" s="3486"/>
      <c r="G734" s="3486"/>
      <c r="H734" s="3486"/>
      <c r="I734" s="3486"/>
      <c r="J734" s="3486"/>
      <c r="K734" s="3486"/>
      <c r="L734" s="3486"/>
      <c r="M734" s="3486"/>
      <c r="N734" s="3486"/>
      <c r="O734" s="3486"/>
      <c r="P734" s="3486"/>
      <c r="Q734" s="3486"/>
      <c r="R734" s="3486"/>
      <c r="S734" s="3486"/>
      <c r="T734" s="3486"/>
      <c r="U734" s="3486"/>
      <c r="V734" s="3486"/>
      <c r="W734" s="3486"/>
      <c r="X734" s="3486"/>
      <c r="Y734" s="3943"/>
    </row>
    <row r="735" spans="1:25" s="3492" customFormat="1">
      <c r="A735" s="3485"/>
      <c r="B735" s="3486"/>
      <c r="C735" s="3486"/>
      <c r="D735" s="3486"/>
      <c r="E735" s="3486"/>
      <c r="F735" s="3486"/>
      <c r="G735" s="3486"/>
      <c r="H735" s="3486"/>
      <c r="I735" s="3486"/>
      <c r="J735" s="3486"/>
      <c r="K735" s="3486"/>
      <c r="L735" s="3486"/>
      <c r="M735" s="3486"/>
      <c r="N735" s="3486"/>
      <c r="O735" s="3486"/>
      <c r="P735" s="3486"/>
      <c r="Q735" s="3486"/>
      <c r="R735" s="3486"/>
      <c r="S735" s="3486"/>
      <c r="T735" s="3486"/>
      <c r="U735" s="3486"/>
      <c r="V735" s="3486"/>
      <c r="W735" s="3486"/>
      <c r="X735" s="3486"/>
      <c r="Y735" s="3943"/>
    </row>
    <row r="736" spans="1:25" s="3492" customFormat="1">
      <c r="A736" s="3485"/>
      <c r="B736" s="3486"/>
      <c r="C736" s="3486"/>
      <c r="D736" s="3486"/>
      <c r="E736" s="3486"/>
      <c r="F736" s="3486"/>
      <c r="G736" s="3486"/>
      <c r="H736" s="3486"/>
      <c r="I736" s="3486"/>
      <c r="J736" s="3486"/>
      <c r="K736" s="3486"/>
      <c r="L736" s="3486"/>
      <c r="M736" s="3486"/>
      <c r="N736" s="3486"/>
      <c r="O736" s="3486"/>
      <c r="P736" s="3486"/>
      <c r="Q736" s="3486"/>
      <c r="R736" s="3486"/>
      <c r="S736" s="3486"/>
      <c r="T736" s="3486"/>
      <c r="U736" s="3486"/>
      <c r="V736" s="3486"/>
      <c r="W736" s="3486"/>
      <c r="X736" s="3486"/>
      <c r="Y736" s="3943"/>
    </row>
    <row r="737" spans="1:25" s="3492" customFormat="1">
      <c r="A737" s="3485"/>
      <c r="B737" s="3486"/>
      <c r="C737" s="3486"/>
      <c r="D737" s="3486"/>
      <c r="E737" s="3486"/>
      <c r="F737" s="3486"/>
      <c r="G737" s="3486"/>
      <c r="H737" s="3486"/>
      <c r="I737" s="3486"/>
      <c r="J737" s="3486"/>
      <c r="K737" s="3486"/>
      <c r="L737" s="3486"/>
      <c r="M737" s="3486"/>
      <c r="N737" s="3486"/>
      <c r="O737" s="3486"/>
      <c r="P737" s="3486"/>
      <c r="Q737" s="3486"/>
      <c r="R737" s="3486"/>
      <c r="S737" s="3486"/>
      <c r="T737" s="3486"/>
      <c r="U737" s="3486"/>
      <c r="V737" s="3486"/>
      <c r="W737" s="3486"/>
      <c r="X737" s="3486"/>
      <c r="Y737" s="3943"/>
    </row>
    <row r="738" spans="1:25" s="3492" customFormat="1">
      <c r="A738" s="3485"/>
      <c r="B738" s="3486"/>
      <c r="C738" s="3486"/>
      <c r="D738" s="3486"/>
      <c r="E738" s="3486"/>
      <c r="F738" s="3486"/>
      <c r="G738" s="3486"/>
      <c r="H738" s="3486"/>
      <c r="I738" s="3486"/>
      <c r="J738" s="3486"/>
      <c r="K738" s="3486"/>
      <c r="L738" s="3486"/>
      <c r="M738" s="3486"/>
      <c r="N738" s="3486"/>
      <c r="O738" s="3486"/>
      <c r="P738" s="3486"/>
      <c r="Q738" s="3486"/>
      <c r="R738" s="3486"/>
      <c r="S738" s="3486"/>
      <c r="T738" s="3486"/>
      <c r="U738" s="3486"/>
      <c r="V738" s="3486"/>
      <c r="W738" s="3486"/>
      <c r="X738" s="3486"/>
      <c r="Y738" s="3943"/>
    </row>
    <row r="739" spans="1:25" s="3492" customFormat="1">
      <c r="A739" s="3485"/>
      <c r="B739" s="3486"/>
      <c r="C739" s="3486"/>
      <c r="D739" s="3486"/>
      <c r="E739" s="3486"/>
      <c r="F739" s="3486"/>
      <c r="G739" s="3486"/>
      <c r="H739" s="3486"/>
      <c r="I739" s="3486"/>
      <c r="J739" s="3486"/>
      <c r="K739" s="3486"/>
      <c r="L739" s="3486"/>
      <c r="M739" s="3486"/>
      <c r="N739" s="3486"/>
      <c r="O739" s="3486"/>
      <c r="P739" s="3486"/>
      <c r="Q739" s="3486"/>
      <c r="R739" s="3486"/>
      <c r="S739" s="3486"/>
      <c r="T739" s="3486"/>
      <c r="U739" s="3486"/>
      <c r="V739" s="3486"/>
      <c r="W739" s="3486"/>
      <c r="X739" s="3486"/>
      <c r="Y739" s="3943"/>
    </row>
    <row r="740" spans="1:25" s="3492" customFormat="1">
      <c r="A740" s="3485"/>
      <c r="B740" s="3486"/>
      <c r="C740" s="3486"/>
      <c r="D740" s="3486"/>
      <c r="E740" s="3486"/>
      <c r="F740" s="3486"/>
      <c r="G740" s="3486"/>
      <c r="H740" s="3486"/>
      <c r="I740" s="3486"/>
      <c r="J740" s="3486"/>
      <c r="K740" s="3486"/>
      <c r="L740" s="3486"/>
      <c r="M740" s="3486"/>
      <c r="N740" s="3486"/>
      <c r="O740" s="3486"/>
      <c r="P740" s="3486"/>
      <c r="Q740" s="3486"/>
      <c r="R740" s="3486"/>
      <c r="S740" s="3486"/>
      <c r="T740" s="3486"/>
      <c r="U740" s="3486"/>
      <c r="V740" s="3486"/>
      <c r="W740" s="3486"/>
      <c r="X740" s="3486"/>
      <c r="Y740" s="3943"/>
    </row>
    <row r="741" spans="1:25" s="3492" customFormat="1">
      <c r="A741" s="3485"/>
      <c r="B741" s="3486"/>
      <c r="C741" s="3486"/>
      <c r="D741" s="3486"/>
      <c r="E741" s="3486"/>
      <c r="F741" s="3486"/>
      <c r="G741" s="3486"/>
      <c r="H741" s="3486"/>
      <c r="I741" s="3486"/>
      <c r="J741" s="3486"/>
      <c r="K741" s="3486"/>
      <c r="L741" s="3486"/>
      <c r="M741" s="3486"/>
      <c r="N741" s="3486"/>
      <c r="O741" s="3486"/>
      <c r="P741" s="3486"/>
      <c r="Q741" s="3486"/>
      <c r="R741" s="3486"/>
      <c r="S741" s="3486"/>
      <c r="T741" s="3486"/>
      <c r="U741" s="3486"/>
      <c r="V741" s="3486"/>
      <c r="W741" s="3486"/>
      <c r="X741" s="3486"/>
      <c r="Y741" s="3943"/>
    </row>
    <row r="742" spans="1:25" s="3492" customFormat="1">
      <c r="A742" s="3485"/>
      <c r="B742" s="3486"/>
      <c r="C742" s="3486"/>
      <c r="D742" s="3486"/>
      <c r="E742" s="3486"/>
      <c r="F742" s="3486"/>
      <c r="G742" s="3486"/>
      <c r="H742" s="3486"/>
      <c r="I742" s="3486"/>
      <c r="J742" s="3486"/>
      <c r="K742" s="3486"/>
      <c r="L742" s="3486"/>
      <c r="M742" s="3486"/>
      <c r="N742" s="3486"/>
      <c r="O742" s="3486"/>
      <c r="P742" s="3486"/>
      <c r="Q742" s="3486"/>
      <c r="R742" s="3486"/>
      <c r="S742" s="3486"/>
      <c r="T742" s="3486"/>
      <c r="U742" s="3486"/>
      <c r="V742" s="3486"/>
      <c r="W742" s="3486"/>
      <c r="X742" s="3486"/>
      <c r="Y742" s="3943"/>
    </row>
    <row r="743" spans="1:25" s="3492" customFormat="1">
      <c r="A743" s="3485"/>
      <c r="B743" s="3486"/>
      <c r="C743" s="3486"/>
      <c r="D743" s="3486"/>
      <c r="E743" s="3486"/>
      <c r="F743" s="3486"/>
      <c r="G743" s="3486"/>
      <c r="H743" s="3486"/>
      <c r="I743" s="3486"/>
      <c r="J743" s="3486"/>
      <c r="K743" s="3486"/>
      <c r="L743" s="3486"/>
      <c r="M743" s="3486"/>
      <c r="N743" s="3486"/>
      <c r="O743" s="3486"/>
      <c r="P743" s="3486"/>
      <c r="Q743" s="3486"/>
      <c r="R743" s="3486"/>
      <c r="S743" s="3486"/>
      <c r="T743" s="3486"/>
      <c r="U743" s="3486"/>
      <c r="V743" s="3486"/>
      <c r="W743" s="3486"/>
      <c r="X743" s="3486"/>
      <c r="Y743" s="3943"/>
    </row>
    <row r="744" spans="1:25" s="3492" customFormat="1">
      <c r="A744" s="3485"/>
      <c r="B744" s="3486"/>
      <c r="C744" s="3486"/>
      <c r="D744" s="3486"/>
      <c r="E744" s="3486"/>
      <c r="F744" s="3486"/>
      <c r="G744" s="3486"/>
      <c r="H744" s="3486"/>
      <c r="I744" s="3486"/>
      <c r="J744" s="3486"/>
      <c r="K744" s="3486"/>
      <c r="L744" s="3486"/>
      <c r="M744" s="3486"/>
      <c r="N744" s="3486"/>
      <c r="O744" s="3486"/>
      <c r="P744" s="3486"/>
      <c r="Q744" s="3486"/>
      <c r="R744" s="3486"/>
      <c r="S744" s="3486"/>
      <c r="T744" s="3486"/>
      <c r="U744" s="3486"/>
      <c r="V744" s="3486"/>
      <c r="W744" s="3486"/>
      <c r="X744" s="3486"/>
      <c r="Y744" s="3943"/>
    </row>
    <row r="745" spans="1:25" s="3492" customFormat="1">
      <c r="A745" s="3485"/>
      <c r="B745" s="3486"/>
      <c r="C745" s="3486"/>
      <c r="D745" s="3486"/>
      <c r="E745" s="3486"/>
      <c r="F745" s="3486"/>
      <c r="G745" s="3486"/>
      <c r="H745" s="3486"/>
      <c r="I745" s="3486"/>
      <c r="J745" s="3486"/>
      <c r="K745" s="3486"/>
      <c r="L745" s="3486"/>
      <c r="M745" s="3486"/>
      <c r="N745" s="3486"/>
      <c r="O745" s="3486"/>
      <c r="P745" s="3486"/>
      <c r="Q745" s="3486"/>
      <c r="R745" s="3486"/>
      <c r="S745" s="3486"/>
      <c r="T745" s="3486"/>
      <c r="U745" s="3486"/>
      <c r="V745" s="3486"/>
      <c r="W745" s="3486"/>
      <c r="X745" s="3486"/>
      <c r="Y745" s="3943"/>
    </row>
    <row r="746" spans="1:25" s="3492" customFormat="1">
      <c r="A746" s="3485"/>
      <c r="B746" s="3486"/>
      <c r="C746" s="3486"/>
      <c r="D746" s="3486"/>
      <c r="E746" s="3486"/>
      <c r="F746" s="3486"/>
      <c r="G746" s="3486"/>
      <c r="H746" s="3486"/>
      <c r="I746" s="3486"/>
      <c r="J746" s="3486"/>
      <c r="K746" s="3486"/>
      <c r="L746" s="3486"/>
      <c r="M746" s="3486"/>
      <c r="N746" s="3486"/>
      <c r="O746" s="3486"/>
      <c r="P746" s="3486"/>
      <c r="Q746" s="3486"/>
      <c r="R746" s="3486"/>
      <c r="S746" s="3486"/>
      <c r="T746" s="3486"/>
      <c r="U746" s="3486"/>
      <c r="V746" s="3486"/>
      <c r="W746" s="3486"/>
      <c r="X746" s="3486"/>
      <c r="Y746" s="3943"/>
    </row>
    <row r="747" spans="1:25" s="3492" customFormat="1">
      <c r="A747" s="3485"/>
      <c r="B747" s="3486"/>
      <c r="C747" s="3486"/>
      <c r="D747" s="3486"/>
      <c r="E747" s="3486"/>
      <c r="F747" s="3486"/>
      <c r="G747" s="3486"/>
      <c r="H747" s="3486"/>
      <c r="I747" s="3486"/>
      <c r="J747" s="3486"/>
      <c r="K747" s="3486"/>
      <c r="L747" s="3486"/>
      <c r="M747" s="3486"/>
      <c r="N747" s="3486"/>
      <c r="O747" s="3486"/>
      <c r="P747" s="3486"/>
      <c r="Q747" s="3486"/>
      <c r="R747" s="3486"/>
      <c r="S747" s="3486"/>
      <c r="T747" s="3486"/>
      <c r="U747" s="3486"/>
      <c r="V747" s="3486"/>
      <c r="W747" s="3486"/>
      <c r="X747" s="3486"/>
      <c r="Y747" s="3943"/>
    </row>
    <row r="748" spans="1:25" s="3492" customFormat="1">
      <c r="A748" s="3485"/>
      <c r="B748" s="3486"/>
      <c r="C748" s="3486"/>
      <c r="D748" s="3486"/>
      <c r="E748" s="3486"/>
      <c r="F748" s="3486"/>
      <c r="G748" s="3486"/>
      <c r="H748" s="3486"/>
      <c r="I748" s="3486"/>
      <c r="J748" s="3486"/>
      <c r="K748" s="3486"/>
      <c r="L748" s="3486"/>
      <c r="M748" s="3486"/>
      <c r="N748" s="3486"/>
      <c r="O748" s="3486"/>
      <c r="P748" s="3486"/>
      <c r="Q748" s="3486"/>
      <c r="R748" s="3486"/>
      <c r="S748" s="3486"/>
      <c r="T748" s="3486"/>
      <c r="U748" s="3486"/>
      <c r="V748" s="3486"/>
      <c r="W748" s="3486"/>
      <c r="X748" s="3486"/>
      <c r="Y748" s="3943"/>
    </row>
    <row r="749" spans="1:25" s="3492" customFormat="1">
      <c r="A749" s="3485"/>
      <c r="B749" s="3486"/>
      <c r="C749" s="3486"/>
      <c r="D749" s="3486"/>
      <c r="E749" s="3486"/>
      <c r="F749" s="3486"/>
      <c r="G749" s="3486"/>
      <c r="H749" s="3486"/>
      <c r="I749" s="3486"/>
      <c r="J749" s="3486"/>
      <c r="K749" s="3486"/>
      <c r="L749" s="3486"/>
      <c r="M749" s="3486"/>
      <c r="N749" s="3486"/>
      <c r="O749" s="3486"/>
      <c r="P749" s="3486"/>
      <c r="Q749" s="3486"/>
      <c r="R749" s="3486"/>
      <c r="S749" s="3486"/>
      <c r="T749" s="3486"/>
      <c r="U749" s="3486"/>
      <c r="V749" s="3486"/>
      <c r="W749" s="3486"/>
      <c r="X749" s="3486"/>
      <c r="Y749" s="3943"/>
    </row>
    <row r="750" spans="1:25" s="3492" customFormat="1">
      <c r="A750" s="3485"/>
      <c r="B750" s="3486"/>
      <c r="C750" s="3486"/>
      <c r="D750" s="3486"/>
      <c r="E750" s="3486"/>
      <c r="F750" s="3486"/>
      <c r="G750" s="3486"/>
      <c r="H750" s="3486"/>
      <c r="I750" s="3486"/>
      <c r="J750" s="3486"/>
      <c r="K750" s="3486"/>
      <c r="L750" s="3486"/>
      <c r="M750" s="3486"/>
      <c r="N750" s="3486"/>
      <c r="O750" s="3486"/>
      <c r="P750" s="3486"/>
      <c r="Q750" s="3486"/>
      <c r="R750" s="3486"/>
      <c r="S750" s="3486"/>
      <c r="T750" s="3486"/>
      <c r="U750" s="3486"/>
      <c r="V750" s="3486"/>
      <c r="W750" s="3486"/>
      <c r="X750" s="3486"/>
      <c r="Y750" s="3943"/>
    </row>
    <row r="751" spans="1:25" s="3492" customFormat="1">
      <c r="A751" s="3485"/>
      <c r="B751" s="3486"/>
      <c r="C751" s="3486"/>
      <c r="D751" s="3486"/>
      <c r="E751" s="3486"/>
      <c r="F751" s="3486"/>
      <c r="G751" s="3486"/>
      <c r="H751" s="3486"/>
      <c r="I751" s="3486"/>
      <c r="J751" s="3486"/>
      <c r="K751" s="3486"/>
      <c r="L751" s="3486"/>
      <c r="M751" s="3486"/>
      <c r="N751" s="3486"/>
      <c r="O751" s="3486"/>
      <c r="P751" s="3486"/>
      <c r="Q751" s="3486"/>
      <c r="R751" s="3486"/>
      <c r="S751" s="3486"/>
      <c r="T751" s="3486"/>
      <c r="U751" s="3486"/>
      <c r="V751" s="3486"/>
      <c r="W751" s="3486"/>
      <c r="X751" s="3486"/>
      <c r="Y751" s="3943"/>
    </row>
    <row r="752" spans="1:25" s="3492" customFormat="1">
      <c r="A752" s="3485"/>
      <c r="B752" s="3486"/>
      <c r="C752" s="3486"/>
      <c r="D752" s="3486"/>
      <c r="E752" s="3486"/>
      <c r="F752" s="3486"/>
      <c r="G752" s="3486"/>
      <c r="H752" s="3486"/>
      <c r="I752" s="3486"/>
      <c r="J752" s="3486"/>
      <c r="K752" s="3486"/>
      <c r="L752" s="3486"/>
      <c r="M752" s="3486"/>
      <c r="N752" s="3486"/>
      <c r="O752" s="3486"/>
      <c r="P752" s="3486"/>
      <c r="Q752" s="3486"/>
      <c r="R752" s="3486"/>
      <c r="S752" s="3486"/>
      <c r="T752" s="3486"/>
      <c r="U752" s="3486"/>
      <c r="V752" s="3486"/>
      <c r="W752" s="3486"/>
      <c r="X752" s="3486"/>
      <c r="Y752" s="3943"/>
    </row>
    <row r="753" spans="1:25" s="3492" customFormat="1">
      <c r="A753" s="3485"/>
      <c r="B753" s="3486"/>
      <c r="C753" s="3486"/>
      <c r="D753" s="3486"/>
      <c r="E753" s="3486"/>
      <c r="F753" s="3486"/>
      <c r="G753" s="3486"/>
      <c r="H753" s="3486"/>
      <c r="I753" s="3486"/>
      <c r="J753" s="3486"/>
      <c r="K753" s="3486"/>
      <c r="L753" s="3486"/>
      <c r="M753" s="3486"/>
      <c r="N753" s="3486"/>
      <c r="O753" s="3486"/>
      <c r="P753" s="3486"/>
      <c r="Q753" s="3486"/>
      <c r="R753" s="3486"/>
      <c r="S753" s="3486"/>
      <c r="T753" s="3486"/>
      <c r="U753" s="3486"/>
      <c r="V753" s="3486"/>
      <c r="W753" s="3486"/>
      <c r="X753" s="3486"/>
      <c r="Y753" s="3943"/>
    </row>
    <row r="754" spans="1:25" s="3492" customFormat="1">
      <c r="A754" s="3485"/>
      <c r="B754" s="3486"/>
      <c r="C754" s="3486"/>
      <c r="D754" s="3486"/>
      <c r="E754" s="3486"/>
      <c r="F754" s="3486"/>
      <c r="G754" s="3486"/>
      <c r="H754" s="3486"/>
      <c r="I754" s="3486"/>
      <c r="J754" s="3486"/>
      <c r="K754" s="3486"/>
      <c r="L754" s="3486"/>
      <c r="M754" s="3486"/>
      <c r="N754" s="3486"/>
      <c r="O754" s="3486"/>
      <c r="P754" s="3486"/>
      <c r="Q754" s="3486"/>
      <c r="R754" s="3486"/>
      <c r="S754" s="3486"/>
      <c r="T754" s="3486"/>
      <c r="U754" s="3486"/>
      <c r="V754" s="3486"/>
      <c r="W754" s="3486"/>
      <c r="X754" s="3486"/>
      <c r="Y754" s="3943"/>
    </row>
    <row r="755" spans="1:25" s="3492" customFormat="1">
      <c r="A755" s="3485"/>
      <c r="B755" s="3486"/>
      <c r="C755" s="3486"/>
      <c r="D755" s="3486"/>
      <c r="E755" s="3486"/>
      <c r="F755" s="3486"/>
      <c r="G755" s="3486"/>
      <c r="H755" s="3486"/>
      <c r="I755" s="3486"/>
      <c r="J755" s="3486"/>
      <c r="K755" s="3486"/>
      <c r="L755" s="3486"/>
      <c r="M755" s="3486"/>
      <c r="N755" s="3486"/>
      <c r="O755" s="3486"/>
      <c r="P755" s="3486"/>
      <c r="Q755" s="3486"/>
      <c r="R755" s="3486"/>
      <c r="S755" s="3486"/>
      <c r="T755" s="3486"/>
      <c r="U755" s="3486"/>
      <c r="V755" s="3486"/>
      <c r="W755" s="3486"/>
      <c r="X755" s="3486"/>
      <c r="Y755" s="3943"/>
    </row>
    <row r="756" spans="1:25" s="3492" customFormat="1">
      <c r="A756" s="3485"/>
      <c r="B756" s="3486"/>
      <c r="C756" s="3486"/>
      <c r="D756" s="3486"/>
      <c r="E756" s="3486"/>
      <c r="F756" s="3486"/>
      <c r="G756" s="3486"/>
      <c r="H756" s="3486"/>
      <c r="I756" s="3486"/>
      <c r="J756" s="3486"/>
      <c r="K756" s="3486"/>
      <c r="L756" s="3486"/>
      <c r="M756" s="3486"/>
      <c r="N756" s="3486"/>
      <c r="O756" s="3486"/>
      <c r="P756" s="3486"/>
      <c r="Q756" s="3486"/>
      <c r="R756" s="3486"/>
      <c r="S756" s="3486"/>
      <c r="T756" s="3486"/>
      <c r="U756" s="3486"/>
      <c r="V756" s="3486"/>
      <c r="W756" s="3486"/>
      <c r="X756" s="3486"/>
      <c r="Y756" s="3943"/>
    </row>
    <row r="757" spans="1:25" s="3492" customFormat="1">
      <c r="A757" s="3485"/>
      <c r="B757" s="3486"/>
      <c r="C757" s="3486"/>
      <c r="D757" s="3486"/>
      <c r="E757" s="3486"/>
      <c r="F757" s="3486"/>
      <c r="G757" s="3486"/>
      <c r="H757" s="3486"/>
      <c r="I757" s="3486"/>
      <c r="J757" s="3486"/>
      <c r="K757" s="3486"/>
      <c r="L757" s="3486"/>
      <c r="M757" s="3486"/>
      <c r="N757" s="3486"/>
      <c r="O757" s="3486"/>
      <c r="P757" s="3486"/>
      <c r="Q757" s="3486"/>
      <c r="R757" s="3486"/>
      <c r="S757" s="3486"/>
      <c r="T757" s="3486"/>
      <c r="U757" s="3486"/>
      <c r="V757" s="3486"/>
      <c r="W757" s="3486"/>
      <c r="X757" s="3486"/>
      <c r="Y757" s="3943"/>
    </row>
    <row r="758" spans="1:25" s="3492" customFormat="1">
      <c r="A758" s="3485"/>
      <c r="B758" s="3486"/>
      <c r="C758" s="3486"/>
      <c r="D758" s="3486"/>
      <c r="E758" s="3486"/>
      <c r="F758" s="3486"/>
      <c r="G758" s="3486"/>
      <c r="H758" s="3486"/>
      <c r="I758" s="3486"/>
      <c r="J758" s="3486"/>
      <c r="K758" s="3486"/>
      <c r="L758" s="3486"/>
      <c r="M758" s="3486"/>
      <c r="N758" s="3486"/>
      <c r="O758" s="3486"/>
      <c r="P758" s="3486"/>
      <c r="Q758" s="3486"/>
      <c r="R758" s="3486"/>
      <c r="S758" s="3486"/>
      <c r="T758" s="3486"/>
      <c r="U758" s="3486"/>
      <c r="V758" s="3486"/>
      <c r="W758" s="3486"/>
      <c r="X758" s="3486"/>
      <c r="Y758" s="3943"/>
    </row>
    <row r="759" spans="1:25" s="3492" customFormat="1">
      <c r="A759" s="3485"/>
      <c r="B759" s="3486"/>
      <c r="C759" s="3486"/>
      <c r="D759" s="3486"/>
      <c r="E759" s="3486"/>
      <c r="F759" s="3486"/>
      <c r="G759" s="3486"/>
      <c r="H759" s="3486"/>
      <c r="I759" s="3486"/>
      <c r="J759" s="3486"/>
      <c r="K759" s="3486"/>
      <c r="L759" s="3486"/>
      <c r="M759" s="3486"/>
      <c r="N759" s="3486"/>
      <c r="O759" s="3486"/>
      <c r="P759" s="3486"/>
      <c r="Q759" s="3486"/>
      <c r="R759" s="3486"/>
      <c r="S759" s="3486"/>
      <c r="T759" s="3486"/>
      <c r="U759" s="3486"/>
      <c r="V759" s="3486"/>
      <c r="W759" s="3486"/>
      <c r="X759" s="3486"/>
      <c r="Y759" s="3943"/>
    </row>
    <row r="760" spans="1:25" s="3492" customFormat="1">
      <c r="A760" s="3485"/>
      <c r="B760" s="3486"/>
      <c r="C760" s="3486"/>
      <c r="D760" s="3486"/>
      <c r="E760" s="3486"/>
      <c r="F760" s="3486"/>
      <c r="G760" s="3486"/>
      <c r="H760" s="3486"/>
      <c r="I760" s="3486"/>
      <c r="J760" s="3486"/>
      <c r="K760" s="3486"/>
      <c r="L760" s="3486"/>
      <c r="M760" s="3486"/>
      <c r="N760" s="3486"/>
      <c r="O760" s="3486"/>
      <c r="P760" s="3486"/>
      <c r="Q760" s="3486"/>
      <c r="R760" s="3486"/>
      <c r="S760" s="3486"/>
      <c r="T760" s="3486"/>
      <c r="U760" s="3486"/>
      <c r="V760" s="3486"/>
      <c r="W760" s="3486"/>
      <c r="X760" s="3486"/>
      <c r="Y760" s="3943"/>
    </row>
    <row r="761" spans="1:25" s="3492" customFormat="1">
      <c r="A761" s="3485"/>
      <c r="B761" s="3486"/>
      <c r="C761" s="3486"/>
      <c r="D761" s="3486"/>
      <c r="E761" s="3486"/>
      <c r="F761" s="3486"/>
      <c r="G761" s="3486"/>
      <c r="H761" s="3486"/>
      <c r="I761" s="3486"/>
      <c r="J761" s="3486"/>
      <c r="K761" s="3486"/>
      <c r="L761" s="3486"/>
      <c r="M761" s="3486"/>
      <c r="N761" s="3486"/>
      <c r="O761" s="3486"/>
      <c r="P761" s="3486"/>
      <c r="Q761" s="3486"/>
      <c r="R761" s="3486"/>
      <c r="S761" s="3486"/>
      <c r="T761" s="3486"/>
      <c r="U761" s="3486"/>
      <c r="V761" s="3486"/>
      <c r="W761" s="3486"/>
      <c r="X761" s="3486"/>
      <c r="Y761" s="3943"/>
    </row>
    <row r="762" spans="1:25" s="3492" customFormat="1">
      <c r="A762" s="3485"/>
      <c r="B762" s="3486"/>
      <c r="C762" s="3486"/>
      <c r="D762" s="3486"/>
      <c r="E762" s="3486"/>
      <c r="F762" s="3486"/>
      <c r="G762" s="3486"/>
      <c r="H762" s="3486"/>
      <c r="I762" s="3486"/>
      <c r="J762" s="3486"/>
      <c r="K762" s="3486"/>
      <c r="L762" s="3486"/>
      <c r="M762" s="3486"/>
      <c r="N762" s="3486"/>
      <c r="O762" s="3486"/>
      <c r="P762" s="3486"/>
      <c r="Q762" s="3486"/>
      <c r="R762" s="3486"/>
      <c r="S762" s="3486"/>
      <c r="T762" s="3486"/>
      <c r="U762" s="3486"/>
      <c r="V762" s="3486"/>
      <c r="W762" s="3486"/>
      <c r="X762" s="3486"/>
      <c r="Y762" s="3943"/>
    </row>
    <row r="763" spans="1:25" s="3492" customFormat="1">
      <c r="A763" s="3485"/>
      <c r="B763" s="3486"/>
      <c r="C763" s="3486"/>
      <c r="D763" s="3486"/>
      <c r="E763" s="3486"/>
      <c r="F763" s="3486"/>
      <c r="G763" s="3486"/>
      <c r="H763" s="3486"/>
      <c r="I763" s="3486"/>
      <c r="J763" s="3486"/>
      <c r="K763" s="3486"/>
      <c r="L763" s="3486"/>
      <c r="M763" s="3486"/>
      <c r="N763" s="3486"/>
      <c r="O763" s="3486"/>
      <c r="P763" s="3486"/>
      <c r="Q763" s="3486"/>
      <c r="R763" s="3486"/>
      <c r="S763" s="3486"/>
      <c r="T763" s="3486"/>
      <c r="U763" s="3486"/>
      <c r="V763" s="3486"/>
      <c r="W763" s="3486"/>
      <c r="X763" s="3486"/>
      <c r="Y763" s="3943"/>
    </row>
    <row r="764" spans="1:25" s="3492" customFormat="1">
      <c r="A764" s="3485"/>
      <c r="B764" s="3486"/>
      <c r="C764" s="3486"/>
      <c r="D764" s="3486"/>
      <c r="E764" s="3486"/>
      <c r="F764" s="3486"/>
      <c r="G764" s="3486"/>
      <c r="H764" s="3486"/>
      <c r="I764" s="3486"/>
      <c r="J764" s="3486"/>
      <c r="K764" s="3486"/>
      <c r="L764" s="3486"/>
      <c r="M764" s="3486"/>
      <c r="N764" s="3486"/>
      <c r="O764" s="3486"/>
      <c r="P764" s="3486"/>
      <c r="Q764" s="3486"/>
      <c r="R764" s="3486"/>
      <c r="S764" s="3486"/>
      <c r="T764" s="3486"/>
      <c r="U764" s="3486"/>
      <c r="V764" s="3486"/>
      <c r="W764" s="3486"/>
      <c r="X764" s="3486"/>
      <c r="Y764" s="3943"/>
    </row>
    <row r="765" spans="1:25" s="3492" customFormat="1">
      <c r="A765" s="3485"/>
      <c r="B765" s="3486"/>
      <c r="C765" s="3486"/>
      <c r="D765" s="3486"/>
      <c r="E765" s="3486"/>
      <c r="F765" s="3486"/>
      <c r="G765" s="3486"/>
      <c r="H765" s="3486"/>
      <c r="I765" s="3486"/>
      <c r="J765" s="3486"/>
      <c r="K765" s="3486"/>
      <c r="L765" s="3486"/>
      <c r="M765" s="3486"/>
      <c r="N765" s="3486"/>
      <c r="O765" s="3486"/>
      <c r="P765" s="3486"/>
      <c r="Q765" s="3486"/>
      <c r="R765" s="3486"/>
      <c r="S765" s="3486"/>
      <c r="T765" s="3486"/>
      <c r="U765" s="3486"/>
      <c r="V765" s="3486"/>
      <c r="W765" s="3486"/>
      <c r="X765" s="3486"/>
      <c r="Y765" s="3943"/>
    </row>
    <row r="766" spans="1:25" s="3492" customFormat="1">
      <c r="A766" s="3485"/>
      <c r="B766" s="3486"/>
      <c r="C766" s="3486"/>
      <c r="D766" s="3486"/>
      <c r="E766" s="3486"/>
      <c r="F766" s="3486"/>
      <c r="G766" s="3486"/>
      <c r="H766" s="3486"/>
      <c r="I766" s="3486"/>
      <c r="J766" s="3486"/>
      <c r="K766" s="3486"/>
      <c r="L766" s="3486"/>
      <c r="M766" s="3486"/>
      <c r="N766" s="3486"/>
      <c r="O766" s="3486"/>
      <c r="P766" s="3486"/>
      <c r="Q766" s="3486"/>
      <c r="R766" s="3486"/>
      <c r="S766" s="3486"/>
      <c r="T766" s="3486"/>
      <c r="U766" s="3486"/>
      <c r="V766" s="3486"/>
      <c r="W766" s="3486"/>
      <c r="X766" s="3486"/>
      <c r="Y766" s="3943"/>
    </row>
    <row r="767" spans="1:25" s="3492" customFormat="1">
      <c r="A767" s="3485"/>
      <c r="B767" s="3486"/>
      <c r="C767" s="3486"/>
      <c r="D767" s="3486"/>
      <c r="E767" s="3486"/>
      <c r="F767" s="3486"/>
      <c r="G767" s="3486"/>
      <c r="H767" s="3486"/>
      <c r="I767" s="3486"/>
      <c r="J767" s="3486"/>
      <c r="K767" s="3486"/>
      <c r="L767" s="3486"/>
      <c r="M767" s="3486"/>
      <c r="N767" s="3486"/>
      <c r="O767" s="3486"/>
      <c r="P767" s="3486"/>
      <c r="Q767" s="3486"/>
      <c r="R767" s="3486"/>
      <c r="S767" s="3486"/>
      <c r="T767" s="3486"/>
      <c r="U767" s="3486"/>
      <c r="V767" s="3486"/>
      <c r="W767" s="3486"/>
      <c r="X767" s="3486"/>
      <c r="Y767" s="3943"/>
    </row>
    <row r="768" spans="1:25" s="3492" customFormat="1">
      <c r="A768" s="3485"/>
      <c r="B768" s="3486"/>
      <c r="C768" s="3486"/>
      <c r="D768" s="3486"/>
      <c r="E768" s="3486"/>
      <c r="F768" s="3486"/>
      <c r="G768" s="3486"/>
      <c r="H768" s="3486"/>
      <c r="I768" s="3486"/>
      <c r="J768" s="3486"/>
      <c r="K768" s="3486"/>
      <c r="L768" s="3486"/>
      <c r="M768" s="3486"/>
      <c r="N768" s="3486"/>
      <c r="O768" s="3486"/>
      <c r="P768" s="3486"/>
      <c r="Q768" s="3486"/>
      <c r="R768" s="3486"/>
      <c r="S768" s="3486"/>
      <c r="T768" s="3486"/>
      <c r="U768" s="3486"/>
      <c r="V768" s="3486"/>
      <c r="W768" s="3486"/>
      <c r="X768" s="3486"/>
      <c r="Y768" s="3943"/>
    </row>
    <row r="769" spans="1:25" s="3492" customFormat="1">
      <c r="A769" s="3485"/>
      <c r="B769" s="3486"/>
      <c r="C769" s="3486"/>
      <c r="D769" s="3486"/>
      <c r="E769" s="3486"/>
      <c r="F769" s="3486"/>
      <c r="G769" s="3486"/>
      <c r="H769" s="3486"/>
      <c r="I769" s="3486"/>
      <c r="J769" s="3486"/>
      <c r="K769" s="3486"/>
      <c r="L769" s="3486"/>
      <c r="M769" s="3486"/>
      <c r="N769" s="3486"/>
      <c r="O769" s="3486"/>
      <c r="P769" s="3486"/>
      <c r="Q769" s="3486"/>
      <c r="R769" s="3486"/>
      <c r="S769" s="3486"/>
      <c r="T769" s="3486"/>
      <c r="U769" s="3486"/>
      <c r="V769" s="3486"/>
      <c r="W769" s="3486"/>
      <c r="X769" s="3486"/>
      <c r="Y769" s="3943"/>
    </row>
    <row r="770" spans="1:25" s="3492" customFormat="1">
      <c r="A770" s="3485"/>
      <c r="B770" s="3486"/>
      <c r="C770" s="3486"/>
      <c r="D770" s="3486"/>
      <c r="E770" s="3486"/>
      <c r="F770" s="3486"/>
      <c r="G770" s="3486"/>
      <c r="H770" s="3486"/>
      <c r="I770" s="3486"/>
      <c r="J770" s="3486"/>
      <c r="K770" s="3486"/>
      <c r="L770" s="3486"/>
      <c r="M770" s="3486"/>
      <c r="N770" s="3486"/>
      <c r="O770" s="3486"/>
      <c r="P770" s="3486"/>
      <c r="Q770" s="3486"/>
      <c r="R770" s="3486"/>
      <c r="S770" s="3486"/>
      <c r="T770" s="3486"/>
      <c r="U770" s="3486"/>
      <c r="V770" s="3486"/>
      <c r="W770" s="3486"/>
      <c r="X770" s="3486"/>
      <c r="Y770" s="3943"/>
    </row>
    <row r="771" spans="1:25" s="3492" customFormat="1">
      <c r="A771" s="3485"/>
      <c r="B771" s="3486"/>
      <c r="C771" s="3486"/>
      <c r="D771" s="3486"/>
      <c r="E771" s="3486"/>
      <c r="F771" s="3486"/>
      <c r="G771" s="3486"/>
      <c r="H771" s="3486"/>
      <c r="I771" s="3486"/>
      <c r="J771" s="3486"/>
      <c r="K771" s="3486"/>
      <c r="L771" s="3486"/>
      <c r="M771" s="3486"/>
      <c r="N771" s="3486"/>
      <c r="O771" s="3486"/>
      <c r="P771" s="3486"/>
      <c r="Q771" s="3486"/>
      <c r="R771" s="3486"/>
      <c r="S771" s="3486"/>
      <c r="T771" s="3486"/>
      <c r="U771" s="3486"/>
      <c r="V771" s="3486"/>
      <c r="W771" s="3486"/>
      <c r="X771" s="3486"/>
      <c r="Y771" s="3943"/>
    </row>
    <row r="772" spans="1:25" s="3492" customFormat="1">
      <c r="A772" s="3485"/>
      <c r="B772" s="3486"/>
      <c r="C772" s="3486"/>
      <c r="D772" s="3486"/>
      <c r="E772" s="3486"/>
      <c r="F772" s="3486"/>
      <c r="G772" s="3486"/>
      <c r="H772" s="3486"/>
      <c r="I772" s="3486"/>
      <c r="J772" s="3486"/>
      <c r="K772" s="3486"/>
      <c r="L772" s="3486"/>
      <c r="M772" s="3486"/>
      <c r="N772" s="3486"/>
      <c r="O772" s="3486"/>
      <c r="P772" s="3486"/>
      <c r="Q772" s="3486"/>
      <c r="R772" s="3486"/>
      <c r="S772" s="3486"/>
      <c r="T772" s="3486"/>
      <c r="U772" s="3486"/>
      <c r="V772" s="3486"/>
      <c r="W772" s="3486"/>
      <c r="X772" s="3486"/>
      <c r="Y772" s="3943"/>
    </row>
    <row r="773" spans="1:25" s="3492" customFormat="1">
      <c r="A773" s="3485"/>
      <c r="B773" s="3486"/>
      <c r="C773" s="3486"/>
      <c r="D773" s="3486"/>
      <c r="E773" s="3486"/>
      <c r="F773" s="3486"/>
      <c r="G773" s="3486"/>
      <c r="H773" s="3486"/>
      <c r="I773" s="3486"/>
      <c r="J773" s="3486"/>
      <c r="K773" s="3486"/>
      <c r="L773" s="3486"/>
      <c r="M773" s="3486"/>
      <c r="N773" s="3486"/>
      <c r="O773" s="3486"/>
      <c r="P773" s="3486"/>
      <c r="Q773" s="3486"/>
      <c r="R773" s="3486"/>
      <c r="S773" s="3486"/>
      <c r="T773" s="3486"/>
      <c r="U773" s="3486"/>
      <c r="V773" s="3486"/>
      <c r="W773" s="3486"/>
      <c r="X773" s="3486"/>
      <c r="Y773" s="3943"/>
    </row>
    <row r="774" spans="1:25" s="3492" customFormat="1">
      <c r="A774" s="3485"/>
      <c r="B774" s="3486"/>
      <c r="C774" s="3486"/>
      <c r="D774" s="3486"/>
      <c r="E774" s="3486"/>
      <c r="F774" s="3486"/>
      <c r="G774" s="3486"/>
      <c r="H774" s="3486"/>
      <c r="I774" s="3486"/>
      <c r="J774" s="3486"/>
      <c r="K774" s="3486"/>
      <c r="L774" s="3486"/>
      <c r="M774" s="3486"/>
      <c r="N774" s="3486"/>
      <c r="O774" s="3486"/>
      <c r="P774" s="3486"/>
      <c r="Q774" s="3486"/>
      <c r="R774" s="3486"/>
      <c r="S774" s="3486"/>
      <c r="T774" s="3486"/>
      <c r="U774" s="3486"/>
      <c r="V774" s="3486"/>
      <c r="W774" s="3486"/>
      <c r="X774" s="3486"/>
      <c r="Y774" s="3943"/>
    </row>
    <row r="775" spans="1:25" s="3492" customFormat="1">
      <c r="A775" s="3485"/>
      <c r="B775" s="3486"/>
      <c r="C775" s="3486"/>
      <c r="D775" s="3486"/>
      <c r="E775" s="3486"/>
      <c r="F775" s="3486"/>
      <c r="G775" s="3486"/>
      <c r="H775" s="3486"/>
      <c r="I775" s="3486"/>
      <c r="J775" s="3486"/>
      <c r="K775" s="3486"/>
      <c r="L775" s="3486"/>
      <c r="M775" s="3486"/>
      <c r="N775" s="3486"/>
      <c r="O775" s="3486"/>
      <c r="P775" s="3486"/>
      <c r="Q775" s="3486"/>
      <c r="R775" s="3486"/>
      <c r="S775" s="3486"/>
      <c r="T775" s="3486"/>
      <c r="U775" s="3486"/>
      <c r="V775" s="3486"/>
      <c r="W775" s="3486"/>
      <c r="X775" s="3486"/>
      <c r="Y775" s="3943"/>
    </row>
    <row r="776" spans="1:25" s="3492" customFormat="1">
      <c r="A776" s="3485"/>
      <c r="B776" s="3486"/>
      <c r="C776" s="3486"/>
      <c r="D776" s="3486"/>
      <c r="E776" s="3486"/>
      <c r="F776" s="3486"/>
      <c r="G776" s="3486"/>
      <c r="H776" s="3486"/>
      <c r="I776" s="3486"/>
      <c r="J776" s="3486"/>
      <c r="K776" s="3486"/>
      <c r="L776" s="3486"/>
      <c r="M776" s="3486"/>
      <c r="N776" s="3486"/>
      <c r="O776" s="3486"/>
      <c r="P776" s="3486"/>
      <c r="Q776" s="3486"/>
      <c r="R776" s="3486"/>
      <c r="S776" s="3486"/>
      <c r="T776" s="3486"/>
      <c r="U776" s="3486"/>
      <c r="V776" s="3486"/>
      <c r="W776" s="3486"/>
      <c r="X776" s="3486"/>
      <c r="Y776" s="3943"/>
    </row>
    <row r="777" spans="1:25" s="3492" customFormat="1">
      <c r="A777" s="3485"/>
      <c r="B777" s="3486"/>
      <c r="C777" s="3486"/>
      <c r="D777" s="3486"/>
      <c r="E777" s="3486"/>
      <c r="F777" s="3486"/>
      <c r="G777" s="3486"/>
      <c r="H777" s="3486"/>
      <c r="I777" s="3486"/>
      <c r="J777" s="3486"/>
      <c r="K777" s="3486"/>
      <c r="L777" s="3486"/>
      <c r="M777" s="3486"/>
      <c r="N777" s="3486"/>
      <c r="O777" s="3486"/>
      <c r="P777" s="3486"/>
      <c r="Q777" s="3486"/>
      <c r="R777" s="3486"/>
      <c r="S777" s="3486"/>
      <c r="T777" s="3486"/>
      <c r="U777" s="3486"/>
      <c r="V777" s="3486"/>
      <c r="W777" s="3486"/>
      <c r="X777" s="3486"/>
      <c r="Y777" s="3943"/>
    </row>
    <row r="778" spans="1:25" s="3492" customFormat="1">
      <c r="A778" s="3485"/>
      <c r="B778" s="3486"/>
      <c r="C778" s="3486"/>
      <c r="D778" s="3486"/>
      <c r="E778" s="3486"/>
      <c r="F778" s="3486"/>
      <c r="G778" s="3486"/>
      <c r="H778" s="3486"/>
      <c r="I778" s="3486"/>
      <c r="J778" s="3486"/>
      <c r="K778" s="3486"/>
      <c r="L778" s="3486"/>
      <c r="M778" s="3486"/>
      <c r="N778" s="3486"/>
      <c r="O778" s="3486"/>
      <c r="P778" s="3486"/>
      <c r="Q778" s="3486"/>
      <c r="R778" s="3486"/>
      <c r="S778" s="3486"/>
      <c r="T778" s="3486"/>
      <c r="U778" s="3486"/>
      <c r="V778" s="3486"/>
      <c r="W778" s="3486"/>
      <c r="X778" s="3486"/>
      <c r="Y778" s="3943"/>
    </row>
    <row r="779" spans="1:25" s="3492" customFormat="1">
      <c r="A779" s="3485"/>
      <c r="B779" s="3486"/>
      <c r="C779" s="3486"/>
      <c r="D779" s="3486"/>
      <c r="E779" s="3486"/>
      <c r="F779" s="3486"/>
      <c r="G779" s="3486"/>
      <c r="H779" s="3486"/>
      <c r="I779" s="3486"/>
      <c r="J779" s="3486"/>
      <c r="K779" s="3486"/>
      <c r="L779" s="3486"/>
      <c r="M779" s="3486"/>
      <c r="N779" s="3486"/>
      <c r="O779" s="3486"/>
      <c r="P779" s="3486"/>
      <c r="Q779" s="3486"/>
      <c r="R779" s="3486"/>
      <c r="S779" s="3486"/>
      <c r="T779" s="3486"/>
      <c r="U779" s="3486"/>
      <c r="V779" s="3486"/>
      <c r="W779" s="3486"/>
      <c r="X779" s="3486"/>
      <c r="Y779" s="3943"/>
    </row>
    <row r="780" spans="1:25" s="3492" customFormat="1">
      <c r="A780" s="3485"/>
      <c r="B780" s="3486"/>
      <c r="C780" s="3486"/>
      <c r="D780" s="3486"/>
      <c r="E780" s="3486"/>
      <c r="F780" s="3486"/>
      <c r="G780" s="3486"/>
      <c r="H780" s="3486"/>
      <c r="I780" s="3486"/>
      <c r="J780" s="3486"/>
      <c r="K780" s="3486"/>
      <c r="L780" s="3486"/>
      <c r="M780" s="3486"/>
      <c r="N780" s="3486"/>
      <c r="O780" s="3486"/>
      <c r="P780" s="3486"/>
      <c r="Q780" s="3486"/>
      <c r="R780" s="3486"/>
      <c r="S780" s="3486"/>
      <c r="T780" s="3486"/>
      <c r="U780" s="3486"/>
      <c r="V780" s="3486"/>
      <c r="W780" s="3486"/>
      <c r="X780" s="3486"/>
      <c r="Y780" s="3943"/>
    </row>
    <row r="781" spans="1:25" s="3492" customFormat="1">
      <c r="A781" s="3485"/>
      <c r="B781" s="3486"/>
      <c r="C781" s="3486"/>
      <c r="D781" s="3486"/>
      <c r="E781" s="3486"/>
      <c r="F781" s="3486"/>
      <c r="G781" s="3486"/>
      <c r="H781" s="3486"/>
      <c r="I781" s="3486"/>
      <c r="J781" s="3486"/>
      <c r="K781" s="3486"/>
      <c r="L781" s="3486"/>
      <c r="M781" s="3486"/>
      <c r="N781" s="3486"/>
      <c r="O781" s="3486"/>
      <c r="P781" s="3486"/>
      <c r="Q781" s="3486"/>
      <c r="R781" s="3486"/>
      <c r="S781" s="3486"/>
      <c r="T781" s="3486"/>
      <c r="U781" s="3486"/>
      <c r="V781" s="3486"/>
      <c r="W781" s="3486"/>
      <c r="X781" s="3486"/>
      <c r="Y781" s="3943"/>
    </row>
    <row r="782" spans="1:25" s="3492" customFormat="1">
      <c r="A782" s="3485"/>
      <c r="B782" s="3486"/>
      <c r="C782" s="3486"/>
      <c r="D782" s="3486"/>
      <c r="E782" s="3486"/>
      <c r="F782" s="3486"/>
      <c r="G782" s="3486"/>
      <c r="H782" s="3486"/>
      <c r="I782" s="3486"/>
      <c r="J782" s="3486"/>
      <c r="K782" s="3486"/>
      <c r="L782" s="3486"/>
      <c r="M782" s="3486"/>
      <c r="N782" s="3486"/>
      <c r="O782" s="3486"/>
      <c r="P782" s="3486"/>
      <c r="Q782" s="3486"/>
      <c r="R782" s="3486"/>
      <c r="S782" s="3486"/>
      <c r="T782" s="3486"/>
      <c r="U782" s="3486"/>
      <c r="V782" s="3486"/>
      <c r="W782" s="3486"/>
      <c r="X782" s="3486"/>
      <c r="Y782" s="3943"/>
    </row>
    <row r="783" spans="1:25" s="3492" customFormat="1">
      <c r="A783" s="3485"/>
      <c r="B783" s="3486"/>
      <c r="C783" s="3486"/>
      <c r="D783" s="3486"/>
      <c r="E783" s="3486"/>
      <c r="F783" s="3486"/>
      <c r="G783" s="3486"/>
      <c r="H783" s="3486"/>
      <c r="I783" s="3486"/>
      <c r="J783" s="3486"/>
      <c r="K783" s="3486"/>
      <c r="L783" s="3486"/>
      <c r="M783" s="3486"/>
      <c r="N783" s="3486"/>
      <c r="O783" s="3486"/>
      <c r="P783" s="3486"/>
      <c r="Q783" s="3486"/>
      <c r="R783" s="3486"/>
      <c r="S783" s="3486"/>
      <c r="T783" s="3486"/>
      <c r="U783" s="3486"/>
      <c r="V783" s="3486"/>
      <c r="W783" s="3486"/>
      <c r="X783" s="3486"/>
      <c r="Y783" s="3943"/>
    </row>
    <row r="784" spans="1:25" s="3492" customFormat="1">
      <c r="A784" s="3485"/>
      <c r="B784" s="3486"/>
      <c r="C784" s="3486"/>
      <c r="D784" s="3486"/>
      <c r="E784" s="3486"/>
      <c r="F784" s="3486"/>
      <c r="G784" s="3486"/>
      <c r="H784" s="3486"/>
      <c r="I784" s="3486"/>
      <c r="J784" s="3486"/>
      <c r="K784" s="3486"/>
      <c r="L784" s="3486"/>
      <c r="M784" s="3486"/>
      <c r="N784" s="3486"/>
      <c r="O784" s="3486"/>
      <c r="P784" s="3486"/>
      <c r="Q784" s="3486"/>
      <c r="R784" s="3486"/>
      <c r="S784" s="3486"/>
      <c r="T784" s="3486"/>
      <c r="U784" s="3486"/>
      <c r="V784" s="3486"/>
      <c r="W784" s="3486"/>
      <c r="X784" s="3486"/>
      <c r="Y784" s="3943"/>
    </row>
    <row r="785" spans="1:25" s="3492" customFormat="1">
      <c r="A785" s="3485"/>
      <c r="B785" s="3486"/>
      <c r="C785" s="3486"/>
      <c r="D785" s="3486"/>
      <c r="E785" s="3486"/>
      <c r="F785" s="3486"/>
      <c r="G785" s="3486"/>
      <c r="H785" s="3486"/>
      <c r="I785" s="3486"/>
      <c r="J785" s="3486"/>
      <c r="K785" s="3486"/>
      <c r="L785" s="3486"/>
      <c r="M785" s="3486"/>
      <c r="N785" s="3486"/>
      <c r="O785" s="3486"/>
      <c r="P785" s="3486"/>
      <c r="Q785" s="3486"/>
      <c r="R785" s="3486"/>
      <c r="S785" s="3486"/>
      <c r="T785" s="3486"/>
      <c r="U785" s="3486"/>
      <c r="V785" s="3486"/>
      <c r="W785" s="3486"/>
      <c r="X785" s="3486"/>
      <c r="Y785" s="3943"/>
    </row>
    <row r="786" spans="1:25" s="3492" customFormat="1">
      <c r="A786" s="3485"/>
      <c r="B786" s="3486"/>
      <c r="C786" s="3486"/>
      <c r="D786" s="3486"/>
      <c r="E786" s="3486"/>
      <c r="F786" s="3486"/>
      <c r="G786" s="3486"/>
      <c r="H786" s="3486"/>
      <c r="I786" s="3486"/>
      <c r="J786" s="3486"/>
      <c r="K786" s="3486"/>
      <c r="L786" s="3486"/>
      <c r="M786" s="3486"/>
      <c r="N786" s="3486"/>
      <c r="O786" s="3486"/>
      <c r="P786" s="3486"/>
      <c r="Q786" s="3486"/>
      <c r="R786" s="3486"/>
      <c r="S786" s="3486"/>
      <c r="T786" s="3486"/>
      <c r="U786" s="3486"/>
      <c r="V786" s="3486"/>
      <c r="W786" s="3486"/>
      <c r="X786" s="3486"/>
      <c r="Y786" s="3943"/>
    </row>
    <row r="787" spans="1:25" s="3492" customFormat="1">
      <c r="A787" s="3485"/>
      <c r="B787" s="3486"/>
      <c r="C787" s="3486"/>
      <c r="D787" s="3486"/>
      <c r="E787" s="3486"/>
      <c r="F787" s="3486"/>
      <c r="G787" s="3486"/>
      <c r="H787" s="3486"/>
      <c r="I787" s="3486"/>
      <c r="J787" s="3486"/>
      <c r="K787" s="3486"/>
      <c r="L787" s="3486"/>
      <c r="M787" s="3486"/>
      <c r="N787" s="3486"/>
      <c r="O787" s="3486"/>
      <c r="P787" s="3486"/>
      <c r="Q787" s="3486"/>
      <c r="R787" s="3486"/>
      <c r="S787" s="3486"/>
      <c r="T787" s="3486"/>
      <c r="U787" s="3486"/>
      <c r="V787" s="3486"/>
      <c r="W787" s="3486"/>
      <c r="X787" s="3486"/>
      <c r="Y787" s="3943"/>
    </row>
    <row r="788" spans="1:25" s="3492" customFormat="1">
      <c r="A788" s="3485"/>
      <c r="B788" s="3486"/>
      <c r="C788" s="3486"/>
      <c r="D788" s="3486"/>
      <c r="E788" s="3486"/>
      <c r="F788" s="3486"/>
      <c r="G788" s="3486"/>
      <c r="H788" s="3486"/>
      <c r="I788" s="3486"/>
      <c r="J788" s="3486"/>
      <c r="K788" s="3486"/>
      <c r="L788" s="3486"/>
      <c r="M788" s="3486"/>
      <c r="N788" s="3486"/>
      <c r="O788" s="3486"/>
      <c r="P788" s="3486"/>
      <c r="Q788" s="3486"/>
      <c r="R788" s="3486"/>
      <c r="S788" s="3486"/>
      <c r="T788" s="3486"/>
      <c r="U788" s="3486"/>
      <c r="V788" s="3486"/>
      <c r="W788" s="3486"/>
      <c r="X788" s="3486"/>
      <c r="Y788" s="3943"/>
    </row>
    <row r="789" spans="1:25" s="3492" customFormat="1">
      <c r="A789" s="3485"/>
      <c r="B789" s="3486"/>
      <c r="C789" s="3486"/>
      <c r="D789" s="3486"/>
      <c r="E789" s="3486"/>
      <c r="F789" s="3486"/>
      <c r="G789" s="3486"/>
      <c r="H789" s="3486"/>
      <c r="I789" s="3486"/>
      <c r="J789" s="3486"/>
      <c r="K789" s="3486"/>
      <c r="L789" s="3486"/>
      <c r="M789" s="3486"/>
      <c r="N789" s="3486"/>
      <c r="O789" s="3486"/>
      <c r="P789" s="3486"/>
      <c r="Q789" s="3486"/>
      <c r="R789" s="3486"/>
      <c r="S789" s="3486"/>
      <c r="T789" s="3486"/>
      <c r="U789" s="3486"/>
      <c r="V789" s="3486"/>
      <c r="W789" s="3486"/>
      <c r="X789" s="3486"/>
      <c r="Y789" s="3943"/>
    </row>
    <row r="790" spans="1:25" s="3492" customFormat="1">
      <c r="A790" s="3485"/>
      <c r="B790" s="3486"/>
      <c r="C790" s="3486"/>
      <c r="D790" s="3486"/>
      <c r="E790" s="3486"/>
      <c r="F790" s="3486"/>
      <c r="G790" s="3486"/>
      <c r="H790" s="3486"/>
      <c r="I790" s="3486"/>
      <c r="J790" s="3486"/>
      <c r="K790" s="3486"/>
      <c r="L790" s="3486"/>
      <c r="M790" s="3486"/>
      <c r="N790" s="3486"/>
      <c r="O790" s="3486"/>
      <c r="P790" s="3486"/>
      <c r="Q790" s="3486"/>
      <c r="R790" s="3486"/>
      <c r="S790" s="3486"/>
      <c r="T790" s="3486"/>
      <c r="U790" s="3486"/>
      <c r="V790" s="3486"/>
      <c r="W790" s="3486"/>
      <c r="X790" s="3486"/>
      <c r="Y790" s="3943"/>
    </row>
    <row r="791" spans="1:25" s="3492" customFormat="1">
      <c r="A791" s="3485"/>
      <c r="B791" s="3486"/>
      <c r="C791" s="3486"/>
      <c r="D791" s="3486"/>
      <c r="E791" s="3486"/>
      <c r="F791" s="3486"/>
      <c r="G791" s="3486"/>
      <c r="H791" s="3486"/>
      <c r="I791" s="3486"/>
      <c r="J791" s="3486"/>
      <c r="K791" s="3486"/>
      <c r="L791" s="3486"/>
      <c r="M791" s="3486"/>
      <c r="N791" s="3486"/>
      <c r="O791" s="3486"/>
      <c r="P791" s="3486"/>
      <c r="Q791" s="3486"/>
      <c r="R791" s="3486"/>
      <c r="S791" s="3486"/>
      <c r="T791" s="3486"/>
      <c r="U791" s="3486"/>
      <c r="V791" s="3486"/>
      <c r="W791" s="3486"/>
      <c r="X791" s="3486"/>
      <c r="Y791" s="3943"/>
    </row>
    <row r="792" spans="1:25" s="3492" customFormat="1">
      <c r="A792" s="3485"/>
      <c r="B792" s="3486"/>
      <c r="C792" s="3486"/>
      <c r="D792" s="3486"/>
      <c r="E792" s="3486"/>
      <c r="F792" s="3486"/>
      <c r="G792" s="3486"/>
      <c r="H792" s="3486"/>
      <c r="I792" s="3486"/>
      <c r="J792" s="3486"/>
      <c r="K792" s="3486"/>
      <c r="L792" s="3486"/>
      <c r="M792" s="3486"/>
      <c r="N792" s="3486"/>
      <c r="O792" s="3486"/>
      <c r="P792" s="3486"/>
      <c r="Q792" s="3486"/>
      <c r="R792" s="3486"/>
      <c r="S792" s="3486"/>
      <c r="T792" s="3486"/>
      <c r="U792" s="3486"/>
      <c r="V792" s="3486"/>
      <c r="W792" s="3486"/>
      <c r="X792" s="3486"/>
      <c r="Y792" s="3943"/>
    </row>
    <row r="793" spans="1:25" s="3492" customFormat="1">
      <c r="A793" s="3485"/>
      <c r="B793" s="3486"/>
      <c r="C793" s="3486"/>
      <c r="D793" s="3486"/>
      <c r="E793" s="3486"/>
      <c r="F793" s="3486"/>
      <c r="G793" s="3486"/>
      <c r="H793" s="3486"/>
      <c r="I793" s="3486"/>
      <c r="J793" s="3486"/>
      <c r="K793" s="3486"/>
      <c r="L793" s="3486"/>
      <c r="M793" s="3486"/>
      <c r="N793" s="3486"/>
      <c r="O793" s="3486"/>
      <c r="P793" s="3486"/>
      <c r="Q793" s="3486"/>
      <c r="R793" s="3486"/>
      <c r="S793" s="3486"/>
      <c r="T793" s="3486"/>
      <c r="U793" s="3486"/>
      <c r="V793" s="3486"/>
      <c r="W793" s="3486"/>
      <c r="X793" s="3486"/>
      <c r="Y793" s="3943"/>
    </row>
    <row r="794" spans="1:25" s="3492" customFormat="1">
      <c r="A794" s="3485"/>
      <c r="B794" s="3486"/>
      <c r="C794" s="3486"/>
      <c r="D794" s="3486"/>
      <c r="E794" s="3486"/>
      <c r="F794" s="3486"/>
      <c r="G794" s="3486"/>
      <c r="H794" s="3486"/>
      <c r="I794" s="3486"/>
      <c r="J794" s="3486"/>
      <c r="K794" s="3486"/>
      <c r="L794" s="3486"/>
      <c r="M794" s="3486"/>
      <c r="N794" s="3486"/>
      <c r="O794" s="3486"/>
      <c r="P794" s="3486"/>
      <c r="Q794" s="3486"/>
      <c r="R794" s="3486"/>
      <c r="S794" s="3486"/>
      <c r="T794" s="3486"/>
      <c r="U794" s="3486"/>
      <c r="V794" s="3486"/>
      <c r="W794" s="3486"/>
      <c r="X794" s="3486"/>
      <c r="Y794" s="3943"/>
    </row>
    <row r="795" spans="1:25" s="3492" customFormat="1">
      <c r="A795" s="3485"/>
      <c r="B795" s="3486"/>
      <c r="C795" s="3486"/>
      <c r="D795" s="3486"/>
      <c r="E795" s="3486"/>
      <c r="F795" s="3486"/>
      <c r="G795" s="3486"/>
      <c r="H795" s="3486"/>
      <c r="I795" s="3486"/>
      <c r="J795" s="3486"/>
      <c r="K795" s="3486"/>
      <c r="L795" s="3486"/>
      <c r="M795" s="3486"/>
      <c r="N795" s="3486"/>
      <c r="O795" s="3486"/>
      <c r="P795" s="3486"/>
      <c r="Q795" s="3486"/>
      <c r="R795" s="3486"/>
      <c r="S795" s="3486"/>
      <c r="T795" s="3486"/>
      <c r="U795" s="3486"/>
      <c r="V795" s="3486"/>
      <c r="W795" s="3486"/>
      <c r="X795" s="3486"/>
      <c r="Y795" s="3943"/>
    </row>
    <row r="796" spans="1:25" s="3492" customFormat="1">
      <c r="A796" s="3485"/>
      <c r="B796" s="3486"/>
      <c r="C796" s="3486"/>
      <c r="D796" s="3486"/>
      <c r="E796" s="3486"/>
      <c r="F796" s="3486"/>
      <c r="G796" s="3486"/>
      <c r="H796" s="3486"/>
      <c r="I796" s="3486"/>
      <c r="J796" s="3486"/>
      <c r="K796" s="3486"/>
      <c r="L796" s="3486"/>
      <c r="M796" s="3486"/>
      <c r="N796" s="3486"/>
      <c r="O796" s="3486"/>
      <c r="P796" s="3486"/>
      <c r="Q796" s="3486"/>
      <c r="R796" s="3486"/>
      <c r="S796" s="3486"/>
      <c r="T796" s="3486"/>
      <c r="U796" s="3486"/>
      <c r="V796" s="3486"/>
      <c r="W796" s="3486"/>
      <c r="X796" s="3486"/>
      <c r="Y796" s="3943"/>
    </row>
    <row r="797" spans="1:25" s="3492" customFormat="1">
      <c r="A797" s="3485"/>
      <c r="B797" s="3486"/>
      <c r="C797" s="3486"/>
      <c r="D797" s="3486"/>
      <c r="E797" s="3486"/>
      <c r="F797" s="3486"/>
      <c r="G797" s="3486"/>
      <c r="H797" s="3486"/>
      <c r="I797" s="3486"/>
      <c r="J797" s="3486"/>
      <c r="K797" s="3486"/>
      <c r="L797" s="3486"/>
      <c r="M797" s="3486"/>
      <c r="N797" s="3486"/>
      <c r="O797" s="3486"/>
      <c r="P797" s="3486"/>
      <c r="Q797" s="3486"/>
      <c r="R797" s="3486"/>
      <c r="S797" s="3486"/>
      <c r="T797" s="3486"/>
      <c r="U797" s="3486"/>
      <c r="V797" s="3486"/>
      <c r="W797" s="3486"/>
      <c r="X797" s="3486"/>
      <c r="Y797" s="3943"/>
    </row>
    <row r="798" spans="1:25" s="3492" customFormat="1">
      <c r="A798" s="3485"/>
      <c r="B798" s="3486"/>
      <c r="C798" s="3486"/>
      <c r="D798" s="3486"/>
      <c r="E798" s="3486"/>
      <c r="F798" s="3486"/>
      <c r="G798" s="3486"/>
      <c r="H798" s="3486"/>
      <c r="I798" s="3486"/>
      <c r="J798" s="3486"/>
      <c r="K798" s="3486"/>
      <c r="L798" s="3486"/>
      <c r="M798" s="3486"/>
      <c r="N798" s="3486"/>
      <c r="O798" s="3486"/>
      <c r="P798" s="3486"/>
      <c r="Q798" s="3486"/>
      <c r="R798" s="3486"/>
      <c r="S798" s="3486"/>
      <c r="T798" s="3486"/>
      <c r="U798" s="3486"/>
      <c r="V798" s="3486"/>
      <c r="W798" s="3486"/>
      <c r="X798" s="3486"/>
      <c r="Y798" s="3943"/>
    </row>
    <row r="799" spans="1:25" s="3492" customFormat="1">
      <c r="A799" s="3485"/>
      <c r="B799" s="3486"/>
      <c r="C799" s="3486"/>
      <c r="D799" s="3486"/>
      <c r="E799" s="3486"/>
      <c r="F799" s="3486"/>
      <c r="G799" s="3486"/>
      <c r="H799" s="3486"/>
      <c r="I799" s="3486"/>
      <c r="J799" s="3486"/>
      <c r="K799" s="3486"/>
      <c r="L799" s="3486"/>
      <c r="M799" s="3486"/>
      <c r="N799" s="3486"/>
      <c r="O799" s="3486"/>
      <c r="P799" s="3486"/>
      <c r="Q799" s="3486"/>
      <c r="R799" s="3486"/>
      <c r="S799" s="3486"/>
      <c r="T799" s="3486"/>
      <c r="U799" s="3486"/>
      <c r="V799" s="3486"/>
      <c r="W799" s="3486"/>
      <c r="X799" s="3486"/>
      <c r="Y799" s="3943"/>
    </row>
    <row r="800" spans="1:25" s="3492" customFormat="1">
      <c r="A800" s="3485"/>
      <c r="B800" s="3486"/>
      <c r="C800" s="3486"/>
      <c r="D800" s="3486"/>
      <c r="E800" s="3486"/>
      <c r="F800" s="3486"/>
      <c r="G800" s="3486"/>
      <c r="H800" s="3486"/>
      <c r="I800" s="3486"/>
      <c r="J800" s="3486"/>
      <c r="K800" s="3486"/>
      <c r="L800" s="3486"/>
      <c r="M800" s="3486"/>
      <c r="N800" s="3486"/>
      <c r="O800" s="3486"/>
      <c r="P800" s="3486"/>
      <c r="Q800" s="3486"/>
      <c r="R800" s="3486"/>
      <c r="S800" s="3486"/>
      <c r="T800" s="3486"/>
      <c r="U800" s="3486"/>
      <c r="V800" s="3486"/>
      <c r="W800" s="3486"/>
      <c r="X800" s="3486"/>
      <c r="Y800" s="3943"/>
    </row>
    <row r="801" spans="1:25" s="3492" customFormat="1">
      <c r="A801" s="3485"/>
      <c r="B801" s="3486"/>
      <c r="C801" s="3486"/>
      <c r="D801" s="3486"/>
      <c r="E801" s="3486"/>
      <c r="F801" s="3486"/>
      <c r="G801" s="3486"/>
      <c r="H801" s="3486"/>
      <c r="I801" s="3486"/>
      <c r="J801" s="3486"/>
      <c r="K801" s="3486"/>
      <c r="L801" s="3486"/>
      <c r="M801" s="3486"/>
      <c r="N801" s="3486"/>
      <c r="O801" s="3486"/>
      <c r="P801" s="3486"/>
      <c r="Q801" s="3486"/>
      <c r="R801" s="3486"/>
      <c r="S801" s="3486"/>
      <c r="T801" s="3486"/>
      <c r="U801" s="3486"/>
      <c r="V801" s="3486"/>
      <c r="W801" s="3486"/>
      <c r="X801" s="3486"/>
      <c r="Y801" s="3943"/>
    </row>
    <row r="802" spans="1:25" s="3492" customFormat="1">
      <c r="A802" s="3485"/>
      <c r="B802" s="3486"/>
      <c r="C802" s="3486"/>
      <c r="D802" s="3486"/>
      <c r="E802" s="3486"/>
      <c r="F802" s="3486"/>
      <c r="G802" s="3486"/>
      <c r="H802" s="3486"/>
      <c r="I802" s="3486"/>
      <c r="J802" s="3486"/>
      <c r="K802" s="3486"/>
      <c r="L802" s="3486"/>
      <c r="M802" s="3486"/>
      <c r="N802" s="3486"/>
      <c r="O802" s="3486"/>
      <c r="P802" s="3486"/>
      <c r="Q802" s="3486"/>
      <c r="R802" s="3486"/>
      <c r="S802" s="3486"/>
      <c r="T802" s="3486"/>
      <c r="U802" s="3486"/>
      <c r="V802" s="3486"/>
      <c r="W802" s="3486"/>
      <c r="X802" s="3486"/>
      <c r="Y802" s="3943"/>
    </row>
    <row r="803" spans="1:25" s="3492" customFormat="1">
      <c r="A803" s="3485"/>
      <c r="B803" s="3486"/>
      <c r="C803" s="3486"/>
      <c r="D803" s="3486"/>
      <c r="E803" s="3486"/>
      <c r="F803" s="3486"/>
      <c r="G803" s="3486"/>
      <c r="H803" s="3486"/>
      <c r="I803" s="3486"/>
      <c r="J803" s="3486"/>
      <c r="K803" s="3486"/>
      <c r="L803" s="3486"/>
      <c r="M803" s="3486"/>
      <c r="N803" s="3486"/>
      <c r="O803" s="3486"/>
      <c r="P803" s="3486"/>
      <c r="Q803" s="3486"/>
      <c r="R803" s="3486"/>
      <c r="S803" s="3486"/>
      <c r="T803" s="3486"/>
      <c r="U803" s="3486"/>
      <c r="V803" s="3486"/>
      <c r="W803" s="3486"/>
      <c r="X803" s="3486"/>
      <c r="Y803" s="3943"/>
    </row>
    <row r="804" spans="1:25" s="3492" customFormat="1">
      <c r="A804" s="3485"/>
      <c r="B804" s="3486"/>
      <c r="C804" s="3486"/>
      <c r="D804" s="3486"/>
      <c r="E804" s="3486"/>
      <c r="F804" s="3486"/>
      <c r="G804" s="3486"/>
      <c r="H804" s="3486"/>
      <c r="I804" s="3486"/>
      <c r="J804" s="3486"/>
      <c r="K804" s="3486"/>
      <c r="L804" s="3486"/>
      <c r="M804" s="3486"/>
      <c r="N804" s="3486"/>
      <c r="O804" s="3486"/>
      <c r="P804" s="3486"/>
      <c r="Q804" s="3486"/>
      <c r="R804" s="3486"/>
      <c r="S804" s="3486"/>
      <c r="T804" s="3486"/>
      <c r="U804" s="3486"/>
      <c r="V804" s="3486"/>
      <c r="W804" s="3486"/>
      <c r="X804" s="3486"/>
      <c r="Y804" s="3943"/>
    </row>
    <row r="805" spans="1:25" s="3492" customFormat="1">
      <c r="A805" s="3485"/>
      <c r="B805" s="3486"/>
      <c r="C805" s="3486"/>
      <c r="D805" s="3486"/>
      <c r="E805" s="3486"/>
      <c r="F805" s="3486"/>
      <c r="G805" s="3486"/>
      <c r="H805" s="3486"/>
      <c r="I805" s="3486"/>
      <c r="J805" s="3486"/>
      <c r="K805" s="3486"/>
      <c r="L805" s="3486"/>
      <c r="M805" s="3486"/>
      <c r="N805" s="3486"/>
      <c r="O805" s="3486"/>
      <c r="P805" s="3486"/>
      <c r="Q805" s="3486"/>
      <c r="R805" s="3486"/>
      <c r="S805" s="3486"/>
      <c r="T805" s="3486"/>
      <c r="U805" s="3486"/>
      <c r="V805" s="3486"/>
      <c r="W805" s="3486"/>
      <c r="X805" s="3486"/>
      <c r="Y805" s="3943"/>
    </row>
    <row r="806" spans="1:25" s="3492" customFormat="1">
      <c r="A806" s="3485"/>
      <c r="B806" s="3486"/>
      <c r="C806" s="3486"/>
      <c r="D806" s="3486"/>
      <c r="E806" s="3486"/>
      <c r="F806" s="3486"/>
      <c r="G806" s="3486"/>
      <c r="H806" s="3486"/>
      <c r="I806" s="3486"/>
      <c r="J806" s="3486"/>
      <c r="K806" s="3486"/>
      <c r="L806" s="3486"/>
      <c r="M806" s="3486"/>
      <c r="N806" s="3486"/>
      <c r="O806" s="3486"/>
      <c r="P806" s="3486"/>
      <c r="Q806" s="3486"/>
      <c r="R806" s="3486"/>
      <c r="S806" s="3486"/>
      <c r="T806" s="3486"/>
      <c r="U806" s="3486"/>
      <c r="V806" s="3486"/>
      <c r="W806" s="3486"/>
      <c r="X806" s="3486"/>
      <c r="Y806" s="3943"/>
    </row>
    <row r="807" spans="1:25" s="3492" customFormat="1">
      <c r="A807" s="3485"/>
      <c r="B807" s="3486"/>
      <c r="C807" s="3486"/>
      <c r="D807" s="3486"/>
      <c r="E807" s="3486"/>
      <c r="F807" s="3486"/>
      <c r="G807" s="3486"/>
      <c r="H807" s="3486"/>
      <c r="I807" s="3486"/>
      <c r="J807" s="3486"/>
      <c r="K807" s="3486"/>
      <c r="L807" s="3486"/>
      <c r="M807" s="3486"/>
      <c r="N807" s="3486"/>
      <c r="O807" s="3486"/>
      <c r="P807" s="3486"/>
      <c r="Q807" s="3486"/>
      <c r="R807" s="3486"/>
      <c r="S807" s="3486"/>
      <c r="T807" s="3486"/>
      <c r="U807" s="3486"/>
      <c r="V807" s="3486"/>
      <c r="W807" s="3486"/>
      <c r="X807" s="3486"/>
      <c r="Y807" s="3943"/>
    </row>
    <row r="808" spans="1:25" s="3492" customFormat="1">
      <c r="A808" s="3485"/>
      <c r="B808" s="3486"/>
      <c r="C808" s="3486"/>
      <c r="D808" s="3486"/>
      <c r="E808" s="3486"/>
      <c r="F808" s="3486"/>
      <c r="G808" s="3486"/>
      <c r="H808" s="3486"/>
      <c r="I808" s="3486"/>
      <c r="J808" s="3486"/>
      <c r="K808" s="3486"/>
      <c r="L808" s="3486"/>
      <c r="M808" s="3486"/>
      <c r="N808" s="3486"/>
      <c r="O808" s="3486"/>
      <c r="P808" s="3486"/>
      <c r="Q808" s="3486"/>
      <c r="R808" s="3486"/>
      <c r="S808" s="3486"/>
      <c r="T808" s="3486"/>
      <c r="U808" s="3486"/>
      <c r="V808" s="3486"/>
      <c r="W808" s="3486"/>
      <c r="X808" s="3486"/>
      <c r="Y808" s="3943"/>
    </row>
    <row r="809" spans="1:25" s="3492" customFormat="1">
      <c r="A809" s="3485"/>
      <c r="B809" s="3486"/>
      <c r="C809" s="3486"/>
      <c r="D809" s="3486"/>
      <c r="E809" s="3486"/>
      <c r="F809" s="3486"/>
      <c r="G809" s="3486"/>
      <c r="H809" s="3486"/>
      <c r="I809" s="3486"/>
      <c r="J809" s="3486"/>
      <c r="K809" s="3486"/>
      <c r="L809" s="3486"/>
      <c r="M809" s="3486"/>
      <c r="N809" s="3486"/>
      <c r="O809" s="3486"/>
      <c r="P809" s="3486"/>
      <c r="Q809" s="3486"/>
      <c r="R809" s="3486"/>
      <c r="S809" s="3486"/>
      <c r="T809" s="3486"/>
      <c r="U809" s="3486"/>
      <c r="V809" s="3486"/>
      <c r="W809" s="3486"/>
      <c r="X809" s="3486"/>
      <c r="Y809" s="3943"/>
    </row>
    <row r="810" spans="1:25" s="3492" customFormat="1">
      <c r="A810" s="3485"/>
      <c r="B810" s="3486"/>
      <c r="C810" s="3486"/>
      <c r="D810" s="3486"/>
      <c r="E810" s="3486"/>
      <c r="F810" s="3486"/>
      <c r="G810" s="3486"/>
      <c r="H810" s="3486"/>
      <c r="I810" s="3486"/>
      <c r="J810" s="3486"/>
      <c r="K810" s="3486"/>
      <c r="L810" s="3486"/>
      <c r="M810" s="3486"/>
      <c r="N810" s="3486"/>
      <c r="O810" s="3486"/>
      <c r="P810" s="3486"/>
      <c r="Q810" s="3486"/>
      <c r="R810" s="3486"/>
      <c r="S810" s="3486"/>
      <c r="T810" s="3486"/>
      <c r="U810" s="3486"/>
      <c r="V810" s="3486"/>
      <c r="W810" s="3486"/>
      <c r="X810" s="3486"/>
      <c r="Y810" s="3943"/>
    </row>
    <row r="811" spans="1:25" s="3492" customFormat="1">
      <c r="A811" s="3485"/>
      <c r="B811" s="3486"/>
      <c r="C811" s="3486"/>
      <c r="D811" s="3486"/>
      <c r="E811" s="3486"/>
      <c r="F811" s="3486"/>
      <c r="G811" s="3486"/>
      <c r="H811" s="3486"/>
      <c r="I811" s="3486"/>
      <c r="J811" s="3486"/>
      <c r="K811" s="3486"/>
      <c r="L811" s="3486"/>
      <c r="M811" s="3486"/>
      <c r="N811" s="3486"/>
      <c r="O811" s="3486"/>
      <c r="P811" s="3486"/>
      <c r="Q811" s="3486"/>
      <c r="R811" s="3486"/>
      <c r="S811" s="3486"/>
      <c r="T811" s="3486"/>
      <c r="U811" s="3486"/>
      <c r="V811" s="3486"/>
      <c r="W811" s="3486"/>
      <c r="X811" s="3486"/>
      <c r="Y811" s="3943"/>
    </row>
    <row r="812" spans="1:25" s="3492" customFormat="1">
      <c r="A812" s="3485"/>
      <c r="B812" s="3486"/>
      <c r="C812" s="3486"/>
      <c r="D812" s="3486"/>
      <c r="E812" s="3486"/>
      <c r="F812" s="3486"/>
      <c r="G812" s="3486"/>
      <c r="H812" s="3486"/>
      <c r="I812" s="3486"/>
      <c r="J812" s="3486"/>
      <c r="K812" s="3486"/>
      <c r="L812" s="3486"/>
      <c r="M812" s="3486"/>
      <c r="N812" s="3486"/>
      <c r="O812" s="3486"/>
      <c r="P812" s="3486"/>
      <c r="Q812" s="3486"/>
      <c r="R812" s="3486"/>
      <c r="S812" s="3486"/>
      <c r="T812" s="3486"/>
      <c r="U812" s="3486"/>
      <c r="V812" s="3486"/>
      <c r="W812" s="3486"/>
      <c r="X812" s="3486"/>
      <c r="Y812" s="3943"/>
    </row>
    <row r="813" spans="1:25" s="3492" customFormat="1">
      <c r="A813" s="3485"/>
      <c r="B813" s="3486"/>
      <c r="C813" s="3486"/>
      <c r="D813" s="3486"/>
      <c r="E813" s="3486"/>
      <c r="F813" s="3486"/>
      <c r="G813" s="3486"/>
      <c r="H813" s="3486"/>
      <c r="I813" s="3486"/>
      <c r="J813" s="3486"/>
      <c r="K813" s="3486"/>
      <c r="L813" s="3486"/>
      <c r="M813" s="3486"/>
      <c r="N813" s="3486"/>
      <c r="O813" s="3486"/>
      <c r="P813" s="3486"/>
      <c r="Q813" s="3486"/>
      <c r="R813" s="3486"/>
      <c r="S813" s="3486"/>
      <c r="T813" s="3486"/>
      <c r="U813" s="3486"/>
      <c r="V813" s="3486"/>
      <c r="W813" s="3486"/>
      <c r="X813" s="3486"/>
      <c r="Y813" s="3943"/>
    </row>
    <row r="814" spans="1:25" s="3492" customFormat="1">
      <c r="A814" s="3485"/>
      <c r="B814" s="3486"/>
      <c r="C814" s="3486"/>
      <c r="D814" s="3486"/>
      <c r="E814" s="3486"/>
      <c r="F814" s="3486"/>
      <c r="G814" s="3486"/>
      <c r="H814" s="3486"/>
      <c r="I814" s="3486"/>
      <c r="J814" s="3486"/>
      <c r="K814" s="3486"/>
      <c r="L814" s="3486"/>
      <c r="M814" s="3486"/>
      <c r="N814" s="3486"/>
      <c r="O814" s="3486"/>
      <c r="P814" s="3486"/>
      <c r="Q814" s="3486"/>
      <c r="R814" s="3486"/>
      <c r="S814" s="3486"/>
      <c r="T814" s="3486"/>
      <c r="U814" s="3486"/>
      <c r="V814" s="3486"/>
      <c r="W814" s="3486"/>
      <c r="X814" s="3486"/>
      <c r="Y814" s="3943"/>
    </row>
    <row r="815" spans="1:25" s="3492" customFormat="1">
      <c r="A815" s="3485"/>
      <c r="B815" s="3486"/>
      <c r="C815" s="3486"/>
      <c r="D815" s="3486"/>
      <c r="E815" s="3486"/>
      <c r="F815" s="3486"/>
      <c r="G815" s="3486"/>
      <c r="H815" s="3486"/>
      <c r="I815" s="3486"/>
      <c r="J815" s="3486"/>
      <c r="K815" s="3486"/>
      <c r="L815" s="3486"/>
      <c r="M815" s="3486"/>
      <c r="N815" s="3486"/>
      <c r="O815" s="3486"/>
      <c r="P815" s="3486"/>
      <c r="Q815" s="3486"/>
      <c r="R815" s="3486"/>
      <c r="S815" s="3486"/>
      <c r="T815" s="3486"/>
      <c r="U815" s="3486"/>
      <c r="V815" s="3486"/>
      <c r="W815" s="3486"/>
      <c r="X815" s="3486"/>
      <c r="Y815" s="3943"/>
    </row>
    <row r="816" spans="1:25" s="3492" customFormat="1">
      <c r="A816" s="3485"/>
      <c r="B816" s="3486"/>
      <c r="C816" s="3486"/>
      <c r="D816" s="3486"/>
      <c r="E816" s="3486"/>
      <c r="F816" s="3486"/>
      <c r="G816" s="3486"/>
      <c r="H816" s="3486"/>
      <c r="I816" s="3486"/>
      <c r="J816" s="3486"/>
      <c r="K816" s="3486"/>
      <c r="L816" s="3486"/>
      <c r="M816" s="3486"/>
      <c r="N816" s="3486"/>
      <c r="O816" s="3486"/>
      <c r="P816" s="3486"/>
      <c r="Q816" s="3486"/>
      <c r="R816" s="3486"/>
      <c r="S816" s="3486"/>
      <c r="T816" s="3486"/>
      <c r="U816" s="3486"/>
      <c r="V816" s="3486"/>
      <c r="W816" s="3486"/>
      <c r="X816" s="3486"/>
      <c r="Y816" s="3943"/>
    </row>
    <row r="817" spans="1:25" s="3492" customFormat="1">
      <c r="A817" s="3485"/>
      <c r="B817" s="3486"/>
      <c r="C817" s="3486"/>
      <c r="D817" s="3486"/>
      <c r="E817" s="3486"/>
      <c r="F817" s="3486"/>
      <c r="G817" s="3486"/>
      <c r="H817" s="3486"/>
      <c r="I817" s="3486"/>
      <c r="J817" s="3486"/>
      <c r="K817" s="3486"/>
      <c r="L817" s="3486"/>
      <c r="M817" s="3486"/>
      <c r="N817" s="3486"/>
      <c r="O817" s="3486"/>
      <c r="P817" s="3486"/>
      <c r="Q817" s="3486"/>
      <c r="R817" s="3486"/>
      <c r="S817" s="3486"/>
      <c r="T817" s="3486"/>
      <c r="U817" s="3486"/>
      <c r="V817" s="3486"/>
      <c r="W817" s="3486"/>
      <c r="X817" s="3486"/>
      <c r="Y817" s="3943"/>
    </row>
    <row r="818" spans="1:25" s="3492" customFormat="1">
      <c r="A818" s="3485"/>
      <c r="B818" s="3486"/>
      <c r="C818" s="3486"/>
      <c r="D818" s="3486"/>
      <c r="E818" s="3486"/>
      <c r="F818" s="3486"/>
      <c r="G818" s="3486"/>
      <c r="H818" s="3486"/>
      <c r="I818" s="3486"/>
      <c r="J818" s="3486"/>
      <c r="K818" s="3486"/>
      <c r="L818" s="3486"/>
      <c r="M818" s="3486"/>
      <c r="N818" s="3486"/>
      <c r="O818" s="3486"/>
      <c r="P818" s="3486"/>
      <c r="Q818" s="3486"/>
      <c r="R818" s="3486"/>
      <c r="S818" s="3486"/>
      <c r="T818" s="3486"/>
      <c r="U818" s="3486"/>
      <c r="V818" s="3486"/>
      <c r="W818" s="3486"/>
      <c r="X818" s="3486"/>
      <c r="Y818" s="3943"/>
    </row>
    <row r="819" spans="1:25" s="3492" customFormat="1">
      <c r="A819" s="3485"/>
      <c r="B819" s="3486"/>
      <c r="C819" s="3486"/>
      <c r="D819" s="3486"/>
      <c r="E819" s="3486"/>
      <c r="F819" s="3486"/>
      <c r="G819" s="3486"/>
      <c r="H819" s="3486"/>
      <c r="I819" s="3486"/>
      <c r="J819" s="3486"/>
      <c r="K819" s="3486"/>
      <c r="L819" s="3486"/>
      <c r="M819" s="3486"/>
      <c r="N819" s="3486"/>
      <c r="O819" s="3486"/>
      <c r="P819" s="3486"/>
      <c r="Q819" s="3486"/>
      <c r="R819" s="3486"/>
      <c r="S819" s="3486"/>
      <c r="T819" s="3486"/>
      <c r="U819" s="3486"/>
      <c r="V819" s="3486"/>
      <c r="W819" s="3486"/>
      <c r="X819" s="3486"/>
      <c r="Y819" s="3943"/>
    </row>
    <row r="820" spans="1:25" s="3492" customFormat="1">
      <c r="A820" s="3485"/>
      <c r="B820" s="3486"/>
      <c r="C820" s="3486"/>
      <c r="D820" s="3486"/>
      <c r="E820" s="3486"/>
      <c r="F820" s="3486"/>
      <c r="G820" s="3486"/>
      <c r="H820" s="3486"/>
      <c r="I820" s="3486"/>
      <c r="J820" s="3486"/>
      <c r="K820" s="3486"/>
      <c r="L820" s="3486"/>
      <c r="M820" s="3486"/>
      <c r="N820" s="3486"/>
      <c r="O820" s="3486"/>
      <c r="P820" s="3486"/>
      <c r="Q820" s="3486"/>
      <c r="R820" s="3486"/>
      <c r="S820" s="3486"/>
      <c r="T820" s="3486"/>
      <c r="U820" s="3486"/>
      <c r="V820" s="3486"/>
      <c r="W820" s="3486"/>
      <c r="X820" s="3486"/>
      <c r="Y820" s="3943"/>
    </row>
    <row r="821" spans="1:25" s="3492" customFormat="1">
      <c r="A821" s="3485"/>
      <c r="B821" s="3486"/>
      <c r="C821" s="3486"/>
      <c r="D821" s="3486"/>
      <c r="E821" s="3486"/>
      <c r="F821" s="3486"/>
      <c r="G821" s="3486"/>
      <c r="H821" s="3486"/>
      <c r="I821" s="3486"/>
      <c r="J821" s="3486"/>
      <c r="K821" s="3486"/>
      <c r="L821" s="3486"/>
      <c r="M821" s="3486"/>
      <c r="N821" s="3486"/>
      <c r="O821" s="3486"/>
      <c r="P821" s="3486"/>
      <c r="Q821" s="3486"/>
      <c r="R821" s="3486"/>
      <c r="S821" s="3486"/>
      <c r="T821" s="3486"/>
      <c r="U821" s="3486"/>
      <c r="V821" s="3486"/>
      <c r="W821" s="3486"/>
      <c r="X821" s="3486"/>
      <c r="Y821" s="3943"/>
    </row>
    <row r="822" spans="1:25" s="3492" customFormat="1">
      <c r="A822" s="3485"/>
      <c r="B822" s="3486"/>
      <c r="C822" s="3486"/>
      <c r="D822" s="3486"/>
      <c r="E822" s="3486"/>
      <c r="F822" s="3486"/>
      <c r="G822" s="3486"/>
      <c r="H822" s="3486"/>
      <c r="I822" s="3486"/>
      <c r="J822" s="3486"/>
      <c r="K822" s="3486"/>
      <c r="L822" s="3486"/>
      <c r="M822" s="3486"/>
      <c r="N822" s="3486"/>
      <c r="O822" s="3486"/>
      <c r="P822" s="3486"/>
      <c r="Q822" s="3486"/>
      <c r="R822" s="3486"/>
      <c r="S822" s="3486"/>
      <c r="T822" s="3486"/>
      <c r="U822" s="3486"/>
      <c r="V822" s="3486"/>
      <c r="W822" s="3486"/>
      <c r="X822" s="3486"/>
      <c r="Y822" s="3943"/>
    </row>
    <row r="823" spans="1:25" s="3492" customFormat="1">
      <c r="A823" s="3485"/>
      <c r="B823" s="3486"/>
      <c r="C823" s="3486"/>
      <c r="D823" s="3486"/>
      <c r="E823" s="3486"/>
      <c r="F823" s="3486"/>
      <c r="G823" s="3486"/>
      <c r="H823" s="3486"/>
      <c r="I823" s="3486"/>
      <c r="J823" s="3486"/>
      <c r="K823" s="3486"/>
      <c r="L823" s="3486"/>
      <c r="M823" s="3486"/>
      <c r="N823" s="3486"/>
      <c r="O823" s="3486"/>
      <c r="P823" s="3486"/>
      <c r="Q823" s="3486"/>
      <c r="R823" s="3486"/>
      <c r="S823" s="3486"/>
      <c r="T823" s="3486"/>
      <c r="U823" s="3486"/>
      <c r="V823" s="3486"/>
      <c r="W823" s="3486"/>
      <c r="X823" s="3486"/>
      <c r="Y823" s="3943"/>
    </row>
    <row r="824" spans="1:25" s="3492" customFormat="1">
      <c r="A824" s="3485"/>
      <c r="B824" s="3486"/>
      <c r="C824" s="3486"/>
      <c r="D824" s="3486"/>
      <c r="E824" s="3486"/>
      <c r="F824" s="3486"/>
      <c r="G824" s="3486"/>
      <c r="H824" s="3486"/>
      <c r="I824" s="3486"/>
      <c r="J824" s="3486"/>
      <c r="K824" s="3486"/>
      <c r="L824" s="3486"/>
      <c r="M824" s="3486"/>
      <c r="N824" s="3486"/>
      <c r="O824" s="3486"/>
      <c r="P824" s="3486"/>
      <c r="Q824" s="3486"/>
      <c r="R824" s="3486"/>
      <c r="S824" s="3486"/>
      <c r="T824" s="3486"/>
      <c r="U824" s="3486"/>
      <c r="V824" s="3486"/>
      <c r="W824" s="3486"/>
      <c r="X824" s="3486"/>
      <c r="Y824" s="3943"/>
    </row>
    <row r="825" spans="1:25" s="3492" customFormat="1">
      <c r="A825" s="3485"/>
      <c r="B825" s="3486"/>
      <c r="C825" s="3486"/>
      <c r="D825" s="3486"/>
      <c r="E825" s="3486"/>
      <c r="F825" s="3486"/>
      <c r="G825" s="3486"/>
      <c r="H825" s="3486"/>
      <c r="I825" s="3486"/>
      <c r="J825" s="3486"/>
      <c r="K825" s="3486"/>
      <c r="L825" s="3486"/>
      <c r="M825" s="3486"/>
      <c r="N825" s="3486"/>
      <c r="O825" s="3486"/>
      <c r="P825" s="3486"/>
      <c r="Q825" s="3486"/>
      <c r="R825" s="3486"/>
      <c r="S825" s="3486"/>
      <c r="T825" s="3486"/>
      <c r="U825" s="3486"/>
      <c r="V825" s="3486"/>
      <c r="W825" s="3486"/>
      <c r="X825" s="3486"/>
      <c r="Y825" s="3943"/>
    </row>
    <row r="826" spans="1:25" s="3492" customFormat="1">
      <c r="A826" s="3485"/>
      <c r="B826" s="3486"/>
      <c r="C826" s="3486"/>
      <c r="D826" s="3486"/>
      <c r="E826" s="3486"/>
      <c r="F826" s="3486"/>
      <c r="G826" s="3486"/>
      <c r="H826" s="3486"/>
      <c r="I826" s="3486"/>
      <c r="J826" s="3486"/>
      <c r="K826" s="3486"/>
      <c r="L826" s="3486"/>
      <c r="M826" s="3486"/>
      <c r="N826" s="3486"/>
      <c r="O826" s="3486"/>
      <c r="P826" s="3486"/>
      <c r="Q826" s="3486"/>
      <c r="R826" s="3486"/>
      <c r="S826" s="3486"/>
      <c r="T826" s="3486"/>
      <c r="U826" s="3486"/>
      <c r="V826" s="3486"/>
      <c r="W826" s="3486"/>
      <c r="X826" s="3486"/>
      <c r="Y826" s="3943"/>
    </row>
    <row r="827" spans="1:25" s="3492" customFormat="1">
      <c r="A827" s="3485"/>
      <c r="B827" s="3486"/>
      <c r="C827" s="3486"/>
      <c r="D827" s="3486"/>
      <c r="E827" s="3486"/>
      <c r="F827" s="3486"/>
      <c r="G827" s="3486"/>
      <c r="H827" s="3486"/>
      <c r="I827" s="3486"/>
      <c r="J827" s="3486"/>
      <c r="K827" s="3486"/>
      <c r="L827" s="3486"/>
      <c r="M827" s="3486"/>
      <c r="N827" s="3486"/>
      <c r="O827" s="3486"/>
      <c r="P827" s="3486"/>
      <c r="Q827" s="3486"/>
      <c r="R827" s="3486"/>
      <c r="S827" s="3486"/>
      <c r="T827" s="3486"/>
      <c r="U827" s="3486"/>
      <c r="V827" s="3486"/>
      <c r="W827" s="3486"/>
      <c r="X827" s="3486"/>
      <c r="Y827" s="3943"/>
    </row>
    <row r="828" spans="1:25" s="3492" customFormat="1">
      <c r="A828" s="3485"/>
      <c r="B828" s="3486"/>
      <c r="C828" s="3486"/>
      <c r="D828" s="3486"/>
      <c r="E828" s="3486"/>
      <c r="F828" s="3486"/>
      <c r="G828" s="3486"/>
      <c r="H828" s="3486"/>
      <c r="I828" s="3486"/>
      <c r="J828" s="3486"/>
      <c r="K828" s="3486"/>
      <c r="L828" s="3486"/>
      <c r="M828" s="3486"/>
      <c r="N828" s="3486"/>
      <c r="O828" s="3486"/>
      <c r="P828" s="3486"/>
      <c r="Q828" s="3486"/>
      <c r="R828" s="3486"/>
      <c r="S828" s="3486"/>
      <c r="T828" s="3486"/>
      <c r="U828" s="3486"/>
      <c r="V828" s="3486"/>
      <c r="W828" s="3486"/>
      <c r="X828" s="3486"/>
      <c r="Y828" s="3943"/>
    </row>
    <row r="829" spans="1:25" s="3492" customFormat="1">
      <c r="A829" s="3485"/>
      <c r="B829" s="3486"/>
      <c r="C829" s="3486"/>
      <c r="D829" s="3486"/>
      <c r="E829" s="3486"/>
      <c r="F829" s="3486"/>
      <c r="G829" s="3486"/>
      <c r="H829" s="3486"/>
      <c r="I829" s="3486"/>
      <c r="J829" s="3486"/>
      <c r="K829" s="3486"/>
      <c r="L829" s="3486"/>
      <c r="M829" s="3486"/>
      <c r="N829" s="3486"/>
      <c r="O829" s="3486"/>
      <c r="P829" s="3486"/>
      <c r="Q829" s="3486"/>
      <c r="R829" s="3486"/>
      <c r="S829" s="3486"/>
      <c r="T829" s="3486"/>
      <c r="U829" s="3486"/>
      <c r="V829" s="3486"/>
      <c r="W829" s="3486"/>
      <c r="X829" s="3486"/>
      <c r="Y829" s="3943"/>
    </row>
    <row r="830" spans="1:25" s="3492" customFormat="1">
      <c r="A830" s="3485"/>
      <c r="B830" s="3486"/>
      <c r="C830" s="3486"/>
      <c r="D830" s="3486"/>
      <c r="E830" s="3486"/>
      <c r="F830" s="3486"/>
      <c r="G830" s="3486"/>
      <c r="H830" s="3486"/>
      <c r="I830" s="3486"/>
      <c r="J830" s="3486"/>
      <c r="K830" s="3486"/>
      <c r="L830" s="3486"/>
      <c r="M830" s="3486"/>
      <c r="N830" s="3486"/>
      <c r="O830" s="3486"/>
      <c r="P830" s="3486"/>
      <c r="Q830" s="3486"/>
      <c r="R830" s="3486"/>
      <c r="S830" s="3486"/>
      <c r="T830" s="3486"/>
      <c r="U830" s="3486"/>
      <c r="V830" s="3486"/>
      <c r="W830" s="3486"/>
      <c r="X830" s="3486"/>
      <c r="Y830" s="3943"/>
    </row>
    <row r="831" spans="1:25" s="3492" customFormat="1">
      <c r="A831" s="3485"/>
      <c r="B831" s="3486"/>
      <c r="C831" s="3486"/>
      <c r="D831" s="3486"/>
      <c r="E831" s="3486"/>
      <c r="F831" s="3486"/>
      <c r="G831" s="3486"/>
      <c r="H831" s="3486"/>
      <c r="I831" s="3486"/>
      <c r="J831" s="3486"/>
      <c r="K831" s="3486"/>
      <c r="L831" s="3486"/>
      <c r="M831" s="3486"/>
      <c r="N831" s="3486"/>
      <c r="O831" s="3486"/>
      <c r="P831" s="3486"/>
      <c r="Q831" s="3486"/>
      <c r="R831" s="3486"/>
      <c r="S831" s="3486"/>
      <c r="T831" s="3486"/>
      <c r="U831" s="3486"/>
      <c r="V831" s="3486"/>
      <c r="W831" s="3486"/>
      <c r="X831" s="3486"/>
      <c r="Y831" s="3943"/>
    </row>
    <row r="832" spans="1:25" s="3492" customFormat="1">
      <c r="A832" s="3485"/>
      <c r="B832" s="3486"/>
      <c r="C832" s="3486"/>
      <c r="D832" s="3486"/>
      <c r="E832" s="3486"/>
      <c r="F832" s="3486"/>
      <c r="G832" s="3486"/>
      <c r="H832" s="3486"/>
      <c r="I832" s="3486"/>
      <c r="J832" s="3486"/>
      <c r="K832" s="3486"/>
      <c r="L832" s="3486"/>
      <c r="M832" s="3486"/>
      <c r="N832" s="3486"/>
      <c r="O832" s="3486"/>
      <c r="P832" s="3486"/>
      <c r="Q832" s="3486"/>
      <c r="R832" s="3486"/>
      <c r="S832" s="3486"/>
      <c r="T832" s="3486"/>
      <c r="U832" s="3486"/>
      <c r="V832" s="3486"/>
      <c r="W832" s="3486"/>
      <c r="X832" s="3486"/>
      <c r="Y832" s="3943"/>
    </row>
    <row r="833" spans="1:25" s="3492" customFormat="1">
      <c r="A833" s="3485"/>
      <c r="B833" s="3486"/>
      <c r="C833" s="3486"/>
      <c r="D833" s="3486"/>
      <c r="E833" s="3486"/>
      <c r="F833" s="3486"/>
      <c r="G833" s="3486"/>
      <c r="H833" s="3486"/>
      <c r="I833" s="3486"/>
      <c r="J833" s="3486"/>
      <c r="K833" s="3486"/>
      <c r="L833" s="3486"/>
      <c r="M833" s="3486"/>
      <c r="N833" s="3486"/>
      <c r="O833" s="3486"/>
      <c r="P833" s="3486"/>
      <c r="Q833" s="3486"/>
      <c r="R833" s="3486"/>
      <c r="S833" s="3486"/>
      <c r="T833" s="3486"/>
      <c r="U833" s="3486"/>
      <c r="V833" s="3486"/>
      <c r="W833" s="3486"/>
      <c r="X833" s="3486"/>
      <c r="Y833" s="3943"/>
    </row>
    <row r="834" spans="1:25" s="3492" customFormat="1">
      <c r="A834" s="3485"/>
      <c r="B834" s="3486"/>
      <c r="C834" s="3486"/>
      <c r="D834" s="3486"/>
      <c r="E834" s="3486"/>
      <c r="F834" s="3486"/>
      <c r="G834" s="3486"/>
      <c r="H834" s="3486"/>
      <c r="I834" s="3486"/>
      <c r="J834" s="3486"/>
      <c r="K834" s="3486"/>
      <c r="L834" s="3486"/>
      <c r="M834" s="3486"/>
      <c r="N834" s="3486"/>
      <c r="O834" s="3486"/>
      <c r="P834" s="3486"/>
      <c r="Q834" s="3486"/>
      <c r="R834" s="3486"/>
      <c r="S834" s="3486"/>
      <c r="T834" s="3486"/>
      <c r="U834" s="3486"/>
      <c r="V834" s="3486"/>
      <c r="W834" s="3486"/>
      <c r="X834" s="3486"/>
      <c r="Y834" s="3943"/>
    </row>
    <row r="835" spans="1:25" s="3492" customFormat="1">
      <c r="A835" s="3485"/>
      <c r="B835" s="3486"/>
      <c r="C835" s="3486"/>
      <c r="D835" s="3486"/>
      <c r="E835" s="3486"/>
      <c r="F835" s="3486"/>
      <c r="G835" s="3486"/>
      <c r="H835" s="3486"/>
      <c r="I835" s="3486"/>
      <c r="J835" s="3486"/>
      <c r="K835" s="3486"/>
      <c r="L835" s="3486"/>
      <c r="M835" s="3486"/>
      <c r="N835" s="3486"/>
      <c r="O835" s="3486"/>
      <c r="P835" s="3486"/>
      <c r="Q835" s="3486"/>
      <c r="R835" s="3486"/>
      <c r="S835" s="3486"/>
      <c r="T835" s="3486"/>
      <c r="U835" s="3486"/>
      <c r="V835" s="3486"/>
      <c r="W835" s="3486"/>
      <c r="X835" s="3486"/>
      <c r="Y835" s="3943"/>
    </row>
    <row r="836" spans="1:25" s="3492" customFormat="1">
      <c r="A836" s="3485"/>
      <c r="B836" s="3486"/>
      <c r="C836" s="3486"/>
      <c r="D836" s="3486"/>
      <c r="E836" s="3486"/>
      <c r="F836" s="3486"/>
      <c r="G836" s="3486"/>
      <c r="H836" s="3486"/>
      <c r="I836" s="3486"/>
      <c r="J836" s="3486"/>
      <c r="K836" s="3486"/>
      <c r="L836" s="3486"/>
      <c r="M836" s="3486"/>
      <c r="N836" s="3486"/>
      <c r="O836" s="3486"/>
      <c r="P836" s="3486"/>
      <c r="Q836" s="3486"/>
      <c r="R836" s="3486"/>
      <c r="S836" s="3486"/>
      <c r="T836" s="3486"/>
      <c r="U836" s="3486"/>
      <c r="V836" s="3486"/>
      <c r="W836" s="3486"/>
      <c r="X836" s="3486"/>
      <c r="Y836" s="3943"/>
    </row>
    <row r="837" spans="1:25" s="3492" customFormat="1">
      <c r="A837" s="3485"/>
      <c r="B837" s="3486"/>
      <c r="C837" s="3486"/>
      <c r="D837" s="3486"/>
      <c r="E837" s="3486"/>
      <c r="F837" s="3486"/>
      <c r="G837" s="3486"/>
      <c r="H837" s="3486"/>
      <c r="I837" s="3486"/>
      <c r="J837" s="3486"/>
      <c r="K837" s="3486"/>
      <c r="L837" s="3486"/>
      <c r="M837" s="3486"/>
      <c r="N837" s="3486"/>
      <c r="O837" s="3486"/>
      <c r="P837" s="3486"/>
      <c r="Q837" s="3486"/>
      <c r="R837" s="3486"/>
      <c r="S837" s="3486"/>
      <c r="T837" s="3486"/>
      <c r="U837" s="3486"/>
      <c r="V837" s="3486"/>
      <c r="W837" s="3486"/>
      <c r="X837" s="3486"/>
      <c r="Y837" s="3943"/>
    </row>
    <row r="838" spans="1:25" s="3492" customFormat="1">
      <c r="A838" s="3485"/>
      <c r="B838" s="3486"/>
      <c r="C838" s="3486"/>
      <c r="D838" s="3486"/>
      <c r="E838" s="3486"/>
      <c r="F838" s="3486"/>
      <c r="G838" s="3486"/>
      <c r="H838" s="3486"/>
      <c r="I838" s="3486"/>
      <c r="J838" s="3486"/>
      <c r="K838" s="3486"/>
      <c r="L838" s="3486"/>
      <c r="M838" s="3486"/>
      <c r="N838" s="3486"/>
      <c r="O838" s="3486"/>
      <c r="P838" s="3486"/>
      <c r="Q838" s="3486"/>
      <c r="R838" s="3486"/>
      <c r="S838" s="3486"/>
      <c r="T838" s="3486"/>
      <c r="U838" s="3486"/>
      <c r="V838" s="3486"/>
      <c r="W838" s="3486"/>
      <c r="X838" s="3486"/>
      <c r="Y838" s="3943"/>
    </row>
    <row r="839" spans="1:25" s="3492" customFormat="1">
      <c r="A839" s="3485"/>
      <c r="B839" s="3486"/>
      <c r="C839" s="3486"/>
      <c r="D839" s="3486"/>
      <c r="E839" s="3486"/>
      <c r="F839" s="3486"/>
      <c r="G839" s="3486"/>
      <c r="H839" s="3486"/>
      <c r="I839" s="3486"/>
      <c r="J839" s="3486"/>
      <c r="K839" s="3486"/>
      <c r="L839" s="3486"/>
      <c r="M839" s="3486"/>
      <c r="N839" s="3486"/>
      <c r="O839" s="3486"/>
      <c r="P839" s="3486"/>
      <c r="Q839" s="3486"/>
      <c r="R839" s="3486"/>
      <c r="S839" s="3486"/>
      <c r="T839" s="3486"/>
      <c r="U839" s="3486"/>
      <c r="V839" s="3486"/>
      <c r="W839" s="3486"/>
      <c r="X839" s="3486"/>
      <c r="Y839" s="3943"/>
    </row>
    <row r="840" spans="1:25" s="3492" customFormat="1">
      <c r="A840" s="3485"/>
      <c r="B840" s="3486"/>
      <c r="C840" s="3486"/>
      <c r="D840" s="3486"/>
      <c r="E840" s="3486"/>
      <c r="F840" s="3486"/>
      <c r="G840" s="3486"/>
      <c r="H840" s="3486"/>
      <c r="I840" s="3486"/>
      <c r="J840" s="3486"/>
      <c r="K840" s="3486"/>
      <c r="L840" s="3486"/>
      <c r="M840" s="3486"/>
      <c r="N840" s="3486"/>
      <c r="O840" s="3486"/>
      <c r="P840" s="3486"/>
      <c r="Q840" s="3486"/>
      <c r="R840" s="3486"/>
      <c r="S840" s="3486"/>
      <c r="T840" s="3486"/>
      <c r="U840" s="3486"/>
      <c r="V840" s="3486"/>
      <c r="W840" s="3486"/>
      <c r="X840" s="3486"/>
      <c r="Y840" s="3943"/>
    </row>
    <row r="841" spans="1:25" s="3492" customFormat="1">
      <c r="A841" s="3485"/>
      <c r="B841" s="3486"/>
      <c r="C841" s="3486"/>
      <c r="D841" s="3486"/>
      <c r="E841" s="3486"/>
      <c r="F841" s="3486"/>
      <c r="G841" s="3486"/>
      <c r="H841" s="3486"/>
      <c r="I841" s="3486"/>
      <c r="J841" s="3486"/>
      <c r="K841" s="3486"/>
      <c r="L841" s="3486"/>
      <c r="M841" s="3486"/>
      <c r="N841" s="3486"/>
      <c r="O841" s="3486"/>
      <c r="P841" s="3486"/>
      <c r="Q841" s="3486"/>
      <c r="R841" s="3486"/>
      <c r="S841" s="3486"/>
      <c r="T841" s="3486"/>
      <c r="U841" s="3486"/>
      <c r="V841" s="3486"/>
      <c r="W841" s="3486"/>
      <c r="X841" s="3486"/>
      <c r="Y841" s="3943"/>
    </row>
    <row r="842" spans="1:25" s="3492" customFormat="1">
      <c r="A842" s="3485"/>
      <c r="B842" s="3486"/>
      <c r="C842" s="3486"/>
      <c r="D842" s="3486"/>
      <c r="E842" s="3486"/>
      <c r="F842" s="3486"/>
      <c r="G842" s="3486"/>
      <c r="H842" s="3486"/>
      <c r="I842" s="3486"/>
      <c r="J842" s="3486"/>
      <c r="K842" s="3486"/>
      <c r="L842" s="3486"/>
      <c r="M842" s="3486"/>
      <c r="N842" s="3486"/>
      <c r="O842" s="3486"/>
      <c r="P842" s="3486"/>
      <c r="Q842" s="3486"/>
      <c r="R842" s="3486"/>
      <c r="S842" s="3486"/>
      <c r="T842" s="3486"/>
      <c r="U842" s="3486"/>
      <c r="V842" s="3486"/>
      <c r="W842" s="3486"/>
      <c r="X842" s="3486"/>
      <c r="Y842" s="3943"/>
    </row>
    <row r="843" spans="1:25" s="3492" customFormat="1">
      <c r="A843" s="3485"/>
      <c r="B843" s="3486"/>
      <c r="C843" s="3486"/>
      <c r="D843" s="3486"/>
      <c r="E843" s="3486"/>
      <c r="F843" s="3486"/>
      <c r="G843" s="3486"/>
      <c r="H843" s="3486"/>
      <c r="I843" s="3486"/>
      <c r="J843" s="3486"/>
      <c r="K843" s="3486"/>
      <c r="L843" s="3486"/>
      <c r="M843" s="3486"/>
      <c r="N843" s="3486"/>
      <c r="O843" s="3486"/>
      <c r="P843" s="3486"/>
      <c r="Q843" s="3486"/>
      <c r="R843" s="3486"/>
      <c r="S843" s="3486"/>
      <c r="T843" s="3486"/>
      <c r="U843" s="3486"/>
      <c r="V843" s="3486"/>
      <c r="W843" s="3486"/>
      <c r="X843" s="3486"/>
      <c r="Y843" s="3943"/>
    </row>
    <row r="844" spans="1:25" s="3492" customFormat="1">
      <c r="A844" s="3485"/>
      <c r="B844" s="3486"/>
      <c r="C844" s="3486"/>
      <c r="D844" s="3486"/>
      <c r="E844" s="3486"/>
      <c r="F844" s="3486"/>
      <c r="G844" s="3486"/>
      <c r="H844" s="3486"/>
      <c r="I844" s="3486"/>
      <c r="J844" s="3486"/>
      <c r="K844" s="3486"/>
      <c r="L844" s="3486"/>
      <c r="M844" s="3486"/>
      <c r="N844" s="3486"/>
      <c r="O844" s="3486"/>
      <c r="P844" s="3486"/>
      <c r="Q844" s="3486"/>
      <c r="R844" s="3486"/>
      <c r="S844" s="3486"/>
      <c r="T844" s="3486"/>
      <c r="U844" s="3486"/>
      <c r="V844" s="3486"/>
      <c r="W844" s="3486"/>
      <c r="X844" s="3486"/>
      <c r="Y844" s="3943"/>
    </row>
    <row r="845" spans="1:25" s="3492" customFormat="1">
      <c r="A845" s="3485"/>
      <c r="B845" s="3486"/>
      <c r="C845" s="3486"/>
      <c r="D845" s="3486"/>
      <c r="E845" s="3486"/>
      <c r="F845" s="3486"/>
      <c r="G845" s="3486"/>
      <c r="H845" s="3486"/>
      <c r="I845" s="3486"/>
      <c r="J845" s="3486"/>
      <c r="K845" s="3486"/>
      <c r="L845" s="3486"/>
      <c r="M845" s="3486"/>
      <c r="N845" s="3486"/>
      <c r="O845" s="3486"/>
      <c r="P845" s="3486"/>
      <c r="Q845" s="3486"/>
      <c r="R845" s="3486"/>
      <c r="S845" s="3486"/>
      <c r="T845" s="3486"/>
      <c r="U845" s="3486"/>
      <c r="V845" s="3486"/>
      <c r="W845" s="3486"/>
      <c r="X845" s="3486"/>
      <c r="Y845" s="3943"/>
    </row>
    <row r="846" spans="1:25" s="3492" customFormat="1">
      <c r="A846" s="3485"/>
      <c r="B846" s="3486"/>
      <c r="C846" s="3486"/>
      <c r="D846" s="3486"/>
      <c r="E846" s="3486"/>
      <c r="F846" s="3486"/>
      <c r="G846" s="3486"/>
      <c r="H846" s="3486"/>
      <c r="I846" s="3486"/>
      <c r="J846" s="3486"/>
      <c r="K846" s="3486"/>
      <c r="L846" s="3486"/>
      <c r="M846" s="3486"/>
      <c r="N846" s="3486"/>
      <c r="O846" s="3486"/>
      <c r="P846" s="3486"/>
      <c r="Q846" s="3486"/>
      <c r="R846" s="3486"/>
      <c r="S846" s="3486"/>
      <c r="T846" s="3486"/>
      <c r="U846" s="3486"/>
      <c r="V846" s="3486"/>
      <c r="W846" s="3486"/>
      <c r="X846" s="3486"/>
      <c r="Y846" s="3943"/>
    </row>
    <row r="847" spans="1:25" s="3492" customFormat="1">
      <c r="A847" s="3485"/>
      <c r="B847" s="3486"/>
      <c r="C847" s="3486"/>
      <c r="D847" s="3486"/>
      <c r="E847" s="3486"/>
      <c r="F847" s="3486"/>
      <c r="G847" s="3486"/>
      <c r="H847" s="3486"/>
      <c r="I847" s="3486"/>
      <c r="J847" s="3486"/>
      <c r="K847" s="3486"/>
      <c r="L847" s="3486"/>
      <c r="M847" s="3486"/>
      <c r="N847" s="3486"/>
      <c r="O847" s="3486"/>
      <c r="P847" s="3486"/>
      <c r="Q847" s="3486"/>
      <c r="R847" s="3486"/>
      <c r="S847" s="3486"/>
      <c r="T847" s="3486"/>
      <c r="U847" s="3486"/>
      <c r="V847" s="3486"/>
      <c r="W847" s="3486"/>
      <c r="X847" s="3486"/>
      <c r="Y847" s="3943"/>
    </row>
    <row r="848" spans="1:25" s="3492" customFormat="1">
      <c r="A848" s="3485"/>
      <c r="B848" s="3486"/>
      <c r="C848" s="3486"/>
      <c r="D848" s="3486"/>
      <c r="E848" s="3486"/>
      <c r="F848" s="3486"/>
      <c r="G848" s="3486"/>
      <c r="H848" s="3486"/>
      <c r="I848" s="3486"/>
      <c r="J848" s="3486"/>
      <c r="K848" s="3486"/>
      <c r="L848" s="3486"/>
      <c r="M848" s="3486"/>
      <c r="N848" s="3486"/>
      <c r="O848" s="3486"/>
      <c r="P848" s="3486"/>
      <c r="Q848" s="3486"/>
      <c r="R848" s="3486"/>
      <c r="S848" s="3486"/>
      <c r="T848" s="3486"/>
      <c r="U848" s="3486"/>
      <c r="V848" s="3486"/>
      <c r="W848" s="3486"/>
      <c r="X848" s="3486"/>
      <c r="Y848" s="3943"/>
    </row>
    <row r="849" spans="1:25" s="3492" customFormat="1">
      <c r="A849" s="3485"/>
      <c r="B849" s="3486"/>
      <c r="C849" s="3486"/>
      <c r="D849" s="3486"/>
      <c r="E849" s="3486"/>
      <c r="F849" s="3486"/>
      <c r="G849" s="3486"/>
      <c r="H849" s="3486"/>
      <c r="I849" s="3486"/>
      <c r="J849" s="3486"/>
      <c r="K849" s="3486"/>
      <c r="L849" s="3486"/>
      <c r="M849" s="3486"/>
      <c r="N849" s="3486"/>
      <c r="O849" s="3486"/>
      <c r="P849" s="3486"/>
      <c r="Q849" s="3486"/>
      <c r="R849" s="3486"/>
      <c r="S849" s="3486"/>
      <c r="T849" s="3486"/>
      <c r="U849" s="3486"/>
      <c r="V849" s="3486"/>
      <c r="W849" s="3486"/>
      <c r="X849" s="3486"/>
      <c r="Y849" s="3943"/>
    </row>
    <row r="850" spans="1:25" s="3492" customFormat="1">
      <c r="A850" s="3485"/>
      <c r="B850" s="3486"/>
      <c r="C850" s="3486"/>
      <c r="D850" s="3486"/>
      <c r="E850" s="3486"/>
      <c r="F850" s="3486"/>
      <c r="G850" s="3486"/>
      <c r="H850" s="3486"/>
      <c r="I850" s="3486"/>
      <c r="J850" s="3486"/>
      <c r="K850" s="3486"/>
      <c r="L850" s="3486"/>
      <c r="M850" s="3486"/>
      <c r="N850" s="3486"/>
      <c r="O850" s="3486"/>
      <c r="P850" s="3486"/>
      <c r="Q850" s="3486"/>
      <c r="R850" s="3486"/>
      <c r="S850" s="3486"/>
      <c r="T850" s="3486"/>
      <c r="U850" s="3486"/>
      <c r="V850" s="3486"/>
      <c r="W850" s="3486"/>
      <c r="X850" s="3486"/>
      <c r="Y850" s="3943"/>
    </row>
    <row r="851" spans="1:25" s="3492" customFormat="1">
      <c r="A851" s="3485"/>
      <c r="B851" s="3486"/>
      <c r="C851" s="3486"/>
      <c r="D851" s="3486"/>
      <c r="E851" s="3486"/>
      <c r="F851" s="3486"/>
      <c r="G851" s="3486"/>
      <c r="H851" s="3486"/>
      <c r="I851" s="3486"/>
      <c r="J851" s="3486"/>
      <c r="K851" s="3486"/>
      <c r="L851" s="3486"/>
      <c r="M851" s="3486"/>
      <c r="N851" s="3486"/>
      <c r="O851" s="3486"/>
      <c r="P851" s="3486"/>
      <c r="Q851" s="3486"/>
      <c r="R851" s="3486"/>
      <c r="S851" s="3486"/>
      <c r="T851" s="3486"/>
      <c r="U851" s="3486"/>
      <c r="V851" s="3486"/>
      <c r="W851" s="3486"/>
      <c r="X851" s="3486"/>
      <c r="Y851" s="3943"/>
    </row>
    <row r="852" spans="1:25" s="3492" customFormat="1">
      <c r="A852" s="3485"/>
      <c r="B852" s="3486"/>
      <c r="C852" s="3486"/>
      <c r="D852" s="3486"/>
      <c r="E852" s="3486"/>
      <c r="F852" s="3486"/>
      <c r="G852" s="3486"/>
      <c r="H852" s="3486"/>
      <c r="I852" s="3486"/>
      <c r="J852" s="3486"/>
      <c r="K852" s="3486"/>
      <c r="L852" s="3486"/>
      <c r="M852" s="3486"/>
      <c r="N852" s="3486"/>
      <c r="O852" s="3486"/>
      <c r="P852" s="3486"/>
      <c r="Q852" s="3486"/>
      <c r="R852" s="3486"/>
      <c r="S852" s="3486"/>
      <c r="T852" s="3486"/>
      <c r="U852" s="3486"/>
      <c r="V852" s="3486"/>
      <c r="W852" s="3486"/>
      <c r="X852" s="3486"/>
      <c r="Y852" s="3943"/>
    </row>
    <row r="853" spans="1:25" s="3492" customFormat="1">
      <c r="A853" s="3485"/>
      <c r="B853" s="3486"/>
      <c r="C853" s="3486"/>
      <c r="D853" s="3486"/>
      <c r="E853" s="3486"/>
      <c r="F853" s="3486"/>
      <c r="G853" s="3486"/>
      <c r="H853" s="3486"/>
      <c r="I853" s="3486"/>
      <c r="J853" s="3486"/>
      <c r="K853" s="3486"/>
      <c r="L853" s="3486"/>
      <c r="M853" s="3486"/>
      <c r="N853" s="3486"/>
      <c r="O853" s="3486"/>
      <c r="P853" s="3486"/>
      <c r="Q853" s="3486"/>
      <c r="R853" s="3486"/>
      <c r="S853" s="3486"/>
      <c r="T853" s="3486"/>
      <c r="U853" s="3486"/>
      <c r="V853" s="3486"/>
      <c r="W853" s="3486"/>
      <c r="X853" s="3486"/>
      <c r="Y853" s="3943"/>
    </row>
    <row r="854" spans="1:25" s="3492" customFormat="1">
      <c r="A854" s="3485"/>
      <c r="B854" s="3486"/>
      <c r="C854" s="3486"/>
      <c r="D854" s="3486"/>
      <c r="E854" s="3486"/>
      <c r="F854" s="3486"/>
      <c r="G854" s="3486"/>
      <c r="H854" s="3486"/>
      <c r="I854" s="3486"/>
      <c r="J854" s="3486"/>
      <c r="K854" s="3486"/>
      <c r="L854" s="3486"/>
      <c r="M854" s="3486"/>
      <c r="N854" s="3486"/>
      <c r="O854" s="3486"/>
      <c r="P854" s="3486"/>
      <c r="Q854" s="3486"/>
      <c r="R854" s="3486"/>
      <c r="S854" s="3486"/>
      <c r="T854" s="3486"/>
      <c r="U854" s="3486"/>
      <c r="V854" s="3486"/>
      <c r="W854" s="3486"/>
      <c r="X854" s="3486"/>
      <c r="Y854" s="3943"/>
    </row>
    <row r="855" spans="1:25" s="3492" customFormat="1">
      <c r="A855" s="3485"/>
      <c r="B855" s="3486"/>
      <c r="C855" s="3486"/>
      <c r="D855" s="3486"/>
      <c r="E855" s="3486"/>
      <c r="F855" s="3486"/>
      <c r="G855" s="3486"/>
      <c r="H855" s="3486"/>
      <c r="I855" s="3486"/>
      <c r="J855" s="3486"/>
      <c r="K855" s="3486"/>
      <c r="L855" s="3486"/>
      <c r="M855" s="3486"/>
      <c r="N855" s="3486"/>
      <c r="O855" s="3486"/>
      <c r="P855" s="3486"/>
      <c r="Q855" s="3486"/>
      <c r="R855" s="3486"/>
      <c r="S855" s="3486"/>
      <c r="T855" s="3486"/>
      <c r="U855" s="3486"/>
      <c r="V855" s="3486"/>
      <c r="W855" s="3486"/>
      <c r="X855" s="3486"/>
      <c r="Y855" s="3943"/>
    </row>
    <row r="856" spans="1:25" s="3492" customFormat="1">
      <c r="A856" s="3485"/>
      <c r="B856" s="3486"/>
      <c r="C856" s="3486"/>
      <c r="D856" s="3486"/>
      <c r="E856" s="3486"/>
      <c r="F856" s="3486"/>
      <c r="G856" s="3486"/>
      <c r="H856" s="3486"/>
      <c r="I856" s="3486"/>
      <c r="J856" s="3486"/>
      <c r="K856" s="3486"/>
      <c r="L856" s="3486"/>
      <c r="M856" s="3486"/>
      <c r="N856" s="3486"/>
      <c r="O856" s="3486"/>
      <c r="P856" s="3486"/>
      <c r="Q856" s="3486"/>
      <c r="R856" s="3486"/>
      <c r="S856" s="3486"/>
      <c r="T856" s="3486"/>
      <c r="U856" s="3486"/>
      <c r="V856" s="3486"/>
      <c r="W856" s="3486"/>
      <c r="X856" s="3486"/>
      <c r="Y856" s="3943"/>
    </row>
    <row r="857" spans="1:25" s="3492" customFormat="1">
      <c r="A857" s="3485"/>
      <c r="B857" s="3486"/>
      <c r="C857" s="3486"/>
      <c r="D857" s="3486"/>
      <c r="E857" s="3486"/>
      <c r="F857" s="3486"/>
      <c r="G857" s="3486"/>
      <c r="H857" s="3486"/>
      <c r="I857" s="3486"/>
      <c r="J857" s="3486"/>
      <c r="K857" s="3486"/>
      <c r="L857" s="3486"/>
      <c r="M857" s="3486"/>
      <c r="N857" s="3486"/>
      <c r="O857" s="3486"/>
      <c r="P857" s="3486"/>
      <c r="Q857" s="3486"/>
      <c r="R857" s="3486"/>
      <c r="S857" s="3486"/>
      <c r="T857" s="3486"/>
      <c r="U857" s="3486"/>
      <c r="V857" s="3486"/>
      <c r="W857" s="3486"/>
      <c r="X857" s="3486"/>
      <c r="Y857" s="3943"/>
    </row>
    <row r="858" spans="1:25" s="3492" customFormat="1">
      <c r="A858" s="3485"/>
      <c r="B858" s="3486"/>
      <c r="C858" s="3486"/>
      <c r="D858" s="3486"/>
      <c r="E858" s="3486"/>
      <c r="F858" s="3486"/>
      <c r="G858" s="3486"/>
      <c r="H858" s="3486"/>
      <c r="I858" s="3486"/>
      <c r="J858" s="3486"/>
      <c r="K858" s="3486"/>
      <c r="L858" s="3486"/>
      <c r="M858" s="3486"/>
      <c r="N858" s="3486"/>
      <c r="O858" s="3486"/>
      <c r="P858" s="3486"/>
      <c r="Q858" s="3486"/>
      <c r="R858" s="3486"/>
      <c r="S858" s="3486"/>
      <c r="T858" s="3486"/>
      <c r="U858" s="3486"/>
      <c r="V858" s="3486"/>
      <c r="W858" s="3486"/>
      <c r="X858" s="3486"/>
      <c r="Y858" s="3943"/>
    </row>
    <row r="859" spans="1:25" s="3492" customFormat="1">
      <c r="A859" s="3485"/>
      <c r="B859" s="3486"/>
      <c r="C859" s="3486"/>
      <c r="D859" s="3486"/>
      <c r="E859" s="3486"/>
      <c r="F859" s="3486"/>
      <c r="G859" s="3486"/>
      <c r="H859" s="3486"/>
      <c r="I859" s="3486"/>
      <c r="J859" s="3486"/>
      <c r="K859" s="3486"/>
      <c r="L859" s="3486"/>
      <c r="M859" s="3486"/>
      <c r="N859" s="3486"/>
      <c r="O859" s="3486"/>
      <c r="P859" s="3486"/>
      <c r="Q859" s="3486"/>
      <c r="R859" s="3486"/>
      <c r="S859" s="3486"/>
      <c r="T859" s="3486"/>
      <c r="U859" s="3486"/>
      <c r="V859" s="3486"/>
      <c r="W859" s="3486"/>
      <c r="X859" s="3486"/>
      <c r="Y859" s="3943"/>
    </row>
    <row r="860" spans="1:25" s="3492" customFormat="1">
      <c r="A860" s="3485"/>
      <c r="B860" s="3486"/>
      <c r="C860" s="3486"/>
      <c r="D860" s="3486"/>
      <c r="E860" s="3486"/>
      <c r="F860" s="3486"/>
      <c r="G860" s="3486"/>
      <c r="H860" s="3486"/>
      <c r="I860" s="3486"/>
      <c r="J860" s="3486"/>
      <c r="K860" s="3486"/>
      <c r="L860" s="3486"/>
      <c r="M860" s="3486"/>
      <c r="N860" s="3486"/>
      <c r="O860" s="3486"/>
      <c r="P860" s="3486"/>
      <c r="Q860" s="3486"/>
      <c r="R860" s="3486"/>
      <c r="S860" s="3486"/>
      <c r="T860" s="3486"/>
      <c r="U860" s="3486"/>
      <c r="V860" s="3486"/>
      <c r="W860" s="3486"/>
      <c r="X860" s="3486"/>
      <c r="Y860" s="3943"/>
    </row>
    <row r="861" spans="1:25" s="3492" customFormat="1">
      <c r="A861" s="3485"/>
      <c r="B861" s="3486"/>
      <c r="C861" s="3486"/>
      <c r="D861" s="3486"/>
      <c r="E861" s="3486"/>
      <c r="F861" s="3486"/>
      <c r="G861" s="3486"/>
      <c r="H861" s="3486"/>
      <c r="I861" s="3486"/>
      <c r="J861" s="3486"/>
      <c r="K861" s="3486"/>
      <c r="L861" s="3486"/>
      <c r="M861" s="3486"/>
      <c r="N861" s="3486"/>
      <c r="O861" s="3486"/>
      <c r="P861" s="3486"/>
      <c r="Q861" s="3486"/>
      <c r="R861" s="3486"/>
      <c r="S861" s="3486"/>
      <c r="T861" s="3486"/>
      <c r="U861" s="3486"/>
      <c r="V861" s="3486"/>
      <c r="W861" s="3486"/>
      <c r="X861" s="3486"/>
      <c r="Y861" s="3943"/>
    </row>
    <row r="862" spans="1:25" s="3492" customFormat="1">
      <c r="A862" s="3485"/>
      <c r="B862" s="3486"/>
      <c r="C862" s="3486"/>
      <c r="D862" s="3486"/>
      <c r="E862" s="3486"/>
      <c r="F862" s="3486"/>
      <c r="G862" s="3486"/>
      <c r="H862" s="3486"/>
      <c r="I862" s="3486"/>
      <c r="J862" s="3486"/>
      <c r="K862" s="3486"/>
      <c r="L862" s="3486"/>
      <c r="M862" s="3486"/>
      <c r="N862" s="3486"/>
      <c r="O862" s="3486"/>
      <c r="P862" s="3486"/>
      <c r="Q862" s="3486"/>
      <c r="R862" s="3486"/>
      <c r="S862" s="3486"/>
      <c r="T862" s="3486"/>
      <c r="U862" s="3486"/>
      <c r="V862" s="3486"/>
      <c r="W862" s="3486"/>
      <c r="X862" s="3486"/>
      <c r="Y862" s="3943"/>
    </row>
    <row r="863" spans="1:25" s="3492" customFormat="1">
      <c r="A863" s="3485"/>
      <c r="B863" s="3486"/>
      <c r="C863" s="3486"/>
      <c r="D863" s="3486"/>
      <c r="E863" s="3486"/>
      <c r="F863" s="3486"/>
      <c r="G863" s="3486"/>
      <c r="H863" s="3486"/>
      <c r="I863" s="3486"/>
      <c r="J863" s="3486"/>
      <c r="K863" s="3486"/>
      <c r="L863" s="3486"/>
      <c r="M863" s="3486"/>
      <c r="N863" s="3486"/>
      <c r="O863" s="3486"/>
      <c r="P863" s="3486"/>
      <c r="Q863" s="3486"/>
      <c r="R863" s="3486"/>
      <c r="S863" s="3486"/>
      <c r="T863" s="3486"/>
      <c r="U863" s="3486"/>
      <c r="V863" s="3486"/>
      <c r="W863" s="3486"/>
      <c r="X863" s="3486"/>
      <c r="Y863" s="3943"/>
    </row>
    <row r="864" spans="1:25" s="3492" customFormat="1">
      <c r="A864" s="3485"/>
      <c r="B864" s="3486"/>
      <c r="C864" s="3486"/>
      <c r="D864" s="3486"/>
      <c r="E864" s="3486"/>
      <c r="F864" s="3486"/>
      <c r="G864" s="3486"/>
      <c r="H864" s="3486"/>
      <c r="I864" s="3486"/>
      <c r="J864" s="3486"/>
      <c r="K864" s="3486"/>
      <c r="L864" s="3486"/>
      <c r="M864" s="3486"/>
      <c r="N864" s="3486"/>
      <c r="O864" s="3486"/>
      <c r="P864" s="3486"/>
      <c r="Q864" s="3486"/>
      <c r="R864" s="3486"/>
      <c r="S864" s="3486"/>
      <c r="T864" s="3486"/>
      <c r="U864" s="3486"/>
      <c r="V864" s="3486"/>
      <c r="W864" s="3486"/>
      <c r="X864" s="3486"/>
      <c r="Y864" s="3943"/>
    </row>
    <row r="865" spans="1:25" s="3492" customFormat="1">
      <c r="A865" s="3485"/>
      <c r="B865" s="3486"/>
      <c r="C865" s="3486"/>
      <c r="D865" s="3486"/>
      <c r="E865" s="3486"/>
      <c r="F865" s="3486"/>
      <c r="G865" s="3486"/>
      <c r="H865" s="3486"/>
      <c r="I865" s="3486"/>
      <c r="J865" s="3486"/>
      <c r="K865" s="3486"/>
      <c r="L865" s="3486"/>
      <c r="M865" s="3486"/>
      <c r="N865" s="3486"/>
      <c r="O865" s="3486"/>
      <c r="P865" s="3486"/>
      <c r="Q865" s="3486"/>
      <c r="R865" s="3486"/>
      <c r="S865" s="3486"/>
      <c r="T865" s="3486"/>
      <c r="U865" s="3486"/>
      <c r="V865" s="3486"/>
      <c r="W865" s="3486"/>
      <c r="X865" s="3486"/>
      <c r="Y865" s="3943"/>
    </row>
    <row r="866" spans="1:25" s="3492" customFormat="1">
      <c r="A866" s="3485"/>
      <c r="B866" s="3486"/>
      <c r="C866" s="3486"/>
      <c r="D866" s="3486"/>
      <c r="E866" s="3486"/>
      <c r="F866" s="3486"/>
      <c r="G866" s="3486"/>
      <c r="H866" s="3486"/>
      <c r="I866" s="3486"/>
      <c r="J866" s="3486"/>
      <c r="K866" s="3486"/>
      <c r="L866" s="3486"/>
      <c r="M866" s="3486"/>
      <c r="N866" s="3486"/>
      <c r="O866" s="3486"/>
      <c r="P866" s="3486"/>
      <c r="Q866" s="3486"/>
      <c r="R866" s="3486"/>
      <c r="S866" s="3486"/>
      <c r="T866" s="3486"/>
      <c r="U866" s="3486"/>
      <c r="V866" s="3486"/>
      <c r="W866" s="3486"/>
      <c r="X866" s="3486"/>
      <c r="Y866" s="3943"/>
    </row>
    <row r="867" spans="1:25" s="3492" customFormat="1">
      <c r="A867" s="3485"/>
      <c r="B867" s="3486"/>
      <c r="C867" s="3486"/>
      <c r="D867" s="3486"/>
      <c r="E867" s="3486"/>
      <c r="F867" s="3486"/>
      <c r="G867" s="3486"/>
      <c r="H867" s="3486"/>
      <c r="I867" s="3486"/>
      <c r="J867" s="3486"/>
      <c r="K867" s="3486"/>
      <c r="L867" s="3486"/>
      <c r="M867" s="3486"/>
      <c r="N867" s="3486"/>
      <c r="O867" s="3486"/>
      <c r="P867" s="3486"/>
      <c r="Q867" s="3486"/>
      <c r="R867" s="3486"/>
      <c r="S867" s="3486"/>
      <c r="T867" s="3486"/>
      <c r="U867" s="3486"/>
      <c r="V867" s="3486"/>
      <c r="W867" s="3486"/>
      <c r="X867" s="3486"/>
      <c r="Y867" s="3943"/>
    </row>
    <row r="868" spans="1:25" s="3492" customFormat="1">
      <c r="A868" s="3485"/>
      <c r="B868" s="3486"/>
      <c r="C868" s="3486"/>
      <c r="D868" s="3486"/>
      <c r="E868" s="3486"/>
      <c r="F868" s="3486"/>
      <c r="G868" s="3486"/>
      <c r="H868" s="3486"/>
      <c r="I868" s="3486"/>
      <c r="J868" s="3486"/>
      <c r="K868" s="3486"/>
      <c r="L868" s="3486"/>
      <c r="M868" s="3486"/>
      <c r="N868" s="3486"/>
      <c r="O868" s="3486"/>
      <c r="P868" s="3486"/>
      <c r="Q868" s="3486"/>
      <c r="R868" s="3486"/>
      <c r="S868" s="3486"/>
      <c r="T868" s="3486"/>
      <c r="U868" s="3486"/>
      <c r="V868" s="3486"/>
      <c r="W868" s="3486"/>
      <c r="X868" s="3486"/>
      <c r="Y868" s="3943"/>
    </row>
    <row r="869" spans="1:25" s="3492" customFormat="1">
      <c r="A869" s="3485"/>
      <c r="B869" s="3486"/>
      <c r="C869" s="3486"/>
      <c r="D869" s="3486"/>
      <c r="E869" s="3486"/>
      <c r="F869" s="3486"/>
      <c r="G869" s="3486"/>
      <c r="H869" s="3486"/>
      <c r="I869" s="3486"/>
      <c r="J869" s="3486"/>
      <c r="K869" s="3486"/>
      <c r="L869" s="3486"/>
      <c r="M869" s="3486"/>
      <c r="N869" s="3486"/>
      <c r="O869" s="3486"/>
      <c r="P869" s="3486"/>
      <c r="Q869" s="3486"/>
      <c r="R869" s="3486"/>
      <c r="S869" s="3486"/>
      <c r="T869" s="3486"/>
      <c r="U869" s="3486"/>
      <c r="V869" s="3486"/>
      <c r="W869" s="3486"/>
      <c r="X869" s="3486"/>
      <c r="Y869" s="3943"/>
    </row>
    <row r="870" spans="1:25" s="3492" customFormat="1">
      <c r="A870" s="3485"/>
      <c r="B870" s="3486"/>
      <c r="C870" s="3486"/>
      <c r="D870" s="3486"/>
      <c r="E870" s="3486"/>
      <c r="F870" s="3486"/>
      <c r="G870" s="3486"/>
      <c r="H870" s="3486"/>
      <c r="I870" s="3486"/>
      <c r="J870" s="3486"/>
      <c r="K870" s="3486"/>
      <c r="L870" s="3486"/>
      <c r="M870" s="3486"/>
      <c r="N870" s="3486"/>
      <c r="O870" s="3486"/>
      <c r="P870" s="3486"/>
      <c r="Q870" s="3486"/>
      <c r="R870" s="3486"/>
      <c r="S870" s="3486"/>
      <c r="T870" s="3486"/>
      <c r="U870" s="3486"/>
      <c r="V870" s="3486"/>
      <c r="W870" s="3486"/>
      <c r="X870" s="3486"/>
      <c r="Y870" s="3943"/>
    </row>
    <row r="871" spans="1:25" s="3492" customFormat="1">
      <c r="A871" s="3485"/>
      <c r="B871" s="3486"/>
      <c r="C871" s="3486"/>
      <c r="D871" s="3486"/>
      <c r="E871" s="3486"/>
      <c r="F871" s="3486"/>
      <c r="G871" s="3486"/>
      <c r="H871" s="3486"/>
      <c r="I871" s="3486"/>
      <c r="J871" s="3486"/>
      <c r="K871" s="3486"/>
      <c r="L871" s="3486"/>
      <c r="M871" s="3486"/>
      <c r="N871" s="3486"/>
      <c r="O871" s="3486"/>
      <c r="P871" s="3486"/>
      <c r="Q871" s="3486"/>
      <c r="R871" s="3486"/>
      <c r="S871" s="3486"/>
      <c r="T871" s="3486"/>
      <c r="U871" s="3486"/>
      <c r="V871" s="3486"/>
      <c r="W871" s="3486"/>
      <c r="X871" s="3486"/>
      <c r="Y871" s="3943"/>
    </row>
    <row r="872" spans="1:25" s="3492" customFormat="1">
      <c r="A872" s="3485"/>
      <c r="B872" s="3486"/>
      <c r="C872" s="3486"/>
      <c r="D872" s="3486"/>
      <c r="E872" s="3486"/>
      <c r="F872" s="3486"/>
      <c r="G872" s="3486"/>
      <c r="H872" s="3486"/>
      <c r="I872" s="3486"/>
      <c r="J872" s="3486"/>
      <c r="K872" s="3486"/>
      <c r="L872" s="3486"/>
      <c r="M872" s="3486"/>
      <c r="N872" s="3486"/>
      <c r="O872" s="3486"/>
      <c r="P872" s="3486"/>
      <c r="Q872" s="3486"/>
      <c r="R872" s="3486"/>
      <c r="S872" s="3486"/>
      <c r="T872" s="3486"/>
      <c r="U872" s="3486"/>
      <c r="V872" s="3486"/>
      <c r="W872" s="3486"/>
      <c r="X872" s="3486"/>
      <c r="Y872" s="3943"/>
    </row>
    <row r="873" spans="1:25" s="3492" customFormat="1">
      <c r="A873" s="3485"/>
      <c r="B873" s="3486"/>
      <c r="C873" s="3486"/>
      <c r="D873" s="3486"/>
      <c r="E873" s="3486"/>
      <c r="F873" s="3486"/>
      <c r="G873" s="3486"/>
      <c r="H873" s="3486"/>
      <c r="I873" s="3486"/>
      <c r="J873" s="3486"/>
      <c r="K873" s="3486"/>
      <c r="L873" s="3486"/>
      <c r="M873" s="3486"/>
      <c r="N873" s="3486"/>
      <c r="O873" s="3486"/>
      <c r="P873" s="3486"/>
      <c r="Q873" s="3486"/>
      <c r="R873" s="3486"/>
      <c r="S873" s="3486"/>
      <c r="T873" s="3486"/>
      <c r="U873" s="3486"/>
      <c r="V873" s="3486"/>
      <c r="W873" s="3486"/>
      <c r="X873" s="3486"/>
      <c r="Y873" s="3943"/>
    </row>
    <row r="874" spans="1:25" s="3492" customFormat="1">
      <c r="A874" s="3485"/>
      <c r="B874" s="3486"/>
      <c r="C874" s="3486"/>
      <c r="D874" s="3486"/>
      <c r="E874" s="3486"/>
      <c r="F874" s="3486"/>
      <c r="G874" s="3486"/>
      <c r="H874" s="3486"/>
      <c r="I874" s="3486"/>
      <c r="J874" s="3486"/>
      <c r="K874" s="3486"/>
      <c r="L874" s="3486"/>
      <c r="M874" s="3486"/>
      <c r="N874" s="3486"/>
      <c r="O874" s="3486"/>
      <c r="P874" s="3486"/>
      <c r="Q874" s="3486"/>
      <c r="R874" s="3486"/>
      <c r="S874" s="3486"/>
      <c r="T874" s="3486"/>
      <c r="U874" s="3486"/>
      <c r="V874" s="3486"/>
      <c r="W874" s="3486"/>
      <c r="X874" s="3486"/>
      <c r="Y874" s="3943"/>
    </row>
    <row r="875" spans="1:25" s="3492" customFormat="1">
      <c r="A875" s="3485"/>
      <c r="B875" s="3486"/>
      <c r="C875" s="3486"/>
      <c r="D875" s="3486"/>
      <c r="E875" s="3486"/>
      <c r="F875" s="3486"/>
      <c r="G875" s="3486"/>
      <c r="H875" s="3486"/>
      <c r="I875" s="3486"/>
      <c r="J875" s="3486"/>
      <c r="K875" s="3486"/>
      <c r="L875" s="3486"/>
      <c r="M875" s="3486"/>
      <c r="N875" s="3486"/>
      <c r="O875" s="3486"/>
      <c r="P875" s="3486"/>
      <c r="Q875" s="3486"/>
      <c r="R875" s="3486"/>
      <c r="S875" s="3486"/>
      <c r="T875" s="3486"/>
      <c r="U875" s="3486"/>
      <c r="V875" s="3486"/>
      <c r="W875" s="3486"/>
      <c r="X875" s="3486"/>
      <c r="Y875" s="3943"/>
    </row>
    <row r="876" spans="1:25" s="3492" customFormat="1">
      <c r="A876" s="3485"/>
      <c r="B876" s="3486"/>
      <c r="C876" s="3486"/>
      <c r="D876" s="3486"/>
      <c r="E876" s="3486"/>
      <c r="F876" s="3486"/>
      <c r="G876" s="3486"/>
      <c r="H876" s="3486"/>
      <c r="I876" s="3486"/>
      <c r="J876" s="3486"/>
      <c r="K876" s="3486"/>
      <c r="L876" s="3486"/>
      <c r="M876" s="3486"/>
      <c r="N876" s="3486"/>
      <c r="O876" s="3486"/>
      <c r="P876" s="3486"/>
      <c r="Q876" s="3486"/>
      <c r="R876" s="3486"/>
      <c r="S876" s="3486"/>
      <c r="T876" s="3486"/>
      <c r="U876" s="3486"/>
      <c r="V876" s="3486"/>
      <c r="W876" s="3486"/>
      <c r="X876" s="3486"/>
      <c r="Y876" s="3943"/>
    </row>
    <row r="877" spans="1:25" s="3492" customFormat="1">
      <c r="A877" s="3485"/>
      <c r="B877" s="3486"/>
      <c r="C877" s="3486"/>
      <c r="D877" s="3486"/>
      <c r="E877" s="3486"/>
      <c r="F877" s="3486"/>
      <c r="G877" s="3486"/>
      <c r="H877" s="3486"/>
      <c r="I877" s="3486"/>
      <c r="J877" s="3486"/>
      <c r="K877" s="3486"/>
      <c r="L877" s="3486"/>
      <c r="M877" s="3486"/>
      <c r="N877" s="3486"/>
      <c r="O877" s="3486"/>
      <c r="P877" s="3486"/>
      <c r="Q877" s="3486"/>
      <c r="R877" s="3486"/>
      <c r="S877" s="3486"/>
      <c r="T877" s="3486"/>
      <c r="U877" s="3486"/>
      <c r="V877" s="3486"/>
      <c r="W877" s="3486"/>
      <c r="X877" s="3486"/>
      <c r="Y877" s="3943"/>
    </row>
    <row r="878" spans="1:25" s="3492" customFormat="1">
      <c r="A878" s="3485"/>
      <c r="B878" s="3486"/>
      <c r="C878" s="3486"/>
      <c r="D878" s="3486"/>
      <c r="E878" s="3486"/>
      <c r="F878" s="3486"/>
      <c r="G878" s="3486"/>
      <c r="H878" s="3486"/>
      <c r="I878" s="3486"/>
      <c r="J878" s="3486"/>
      <c r="K878" s="3486"/>
      <c r="L878" s="3486"/>
      <c r="M878" s="3486"/>
      <c r="N878" s="3486"/>
      <c r="O878" s="3486"/>
      <c r="P878" s="3486"/>
      <c r="Q878" s="3486"/>
      <c r="R878" s="3486"/>
      <c r="S878" s="3486"/>
      <c r="T878" s="3486"/>
      <c r="U878" s="3486"/>
      <c r="V878" s="3486"/>
      <c r="W878" s="3486"/>
      <c r="X878" s="3486"/>
      <c r="Y878" s="3943"/>
    </row>
    <row r="879" spans="1:25" s="3492" customFormat="1">
      <c r="A879" s="3485"/>
      <c r="B879" s="3486"/>
      <c r="C879" s="3486"/>
      <c r="D879" s="3486"/>
      <c r="E879" s="3486"/>
      <c r="F879" s="3486"/>
      <c r="G879" s="3486"/>
      <c r="H879" s="3486"/>
      <c r="I879" s="3486"/>
      <c r="J879" s="3486"/>
      <c r="K879" s="3486"/>
      <c r="L879" s="3486"/>
      <c r="M879" s="3486"/>
      <c r="N879" s="3486"/>
      <c r="O879" s="3486"/>
      <c r="P879" s="3486"/>
      <c r="Q879" s="3486"/>
      <c r="R879" s="3486"/>
      <c r="S879" s="3486"/>
      <c r="T879" s="3486"/>
      <c r="U879" s="3486"/>
      <c r="V879" s="3486"/>
      <c r="W879" s="3486"/>
      <c r="X879" s="3486"/>
      <c r="Y879" s="3943"/>
    </row>
    <row r="880" spans="1:25" s="3492" customFormat="1">
      <c r="A880" s="3485"/>
      <c r="B880" s="3486"/>
      <c r="C880" s="3486"/>
      <c r="D880" s="3486"/>
      <c r="E880" s="3486"/>
      <c r="F880" s="3486"/>
      <c r="G880" s="3486"/>
      <c r="H880" s="3486"/>
      <c r="I880" s="3486"/>
      <c r="J880" s="3486"/>
      <c r="K880" s="3486"/>
      <c r="L880" s="3486"/>
      <c r="M880" s="3486"/>
      <c r="N880" s="3486"/>
      <c r="O880" s="3486"/>
      <c r="P880" s="3486"/>
      <c r="Q880" s="3486"/>
      <c r="R880" s="3486"/>
      <c r="S880" s="3486"/>
      <c r="T880" s="3486"/>
      <c r="U880" s="3486"/>
      <c r="V880" s="3486"/>
      <c r="W880" s="3486"/>
      <c r="X880" s="3486"/>
      <c r="Y880" s="3943"/>
    </row>
    <row r="881" spans="1:25" s="3492" customFormat="1">
      <c r="A881" s="3485"/>
      <c r="B881" s="3486"/>
      <c r="C881" s="3486"/>
      <c r="D881" s="3486"/>
      <c r="E881" s="3486"/>
      <c r="F881" s="3486"/>
      <c r="G881" s="3486"/>
      <c r="H881" s="3486"/>
      <c r="I881" s="3486"/>
      <c r="J881" s="3486"/>
      <c r="K881" s="3486"/>
      <c r="L881" s="3486"/>
      <c r="M881" s="3486"/>
      <c r="N881" s="3486"/>
      <c r="O881" s="3486"/>
      <c r="P881" s="3486"/>
      <c r="Q881" s="3486"/>
      <c r="R881" s="3486"/>
      <c r="S881" s="3486"/>
      <c r="T881" s="3486"/>
      <c r="U881" s="3486"/>
      <c r="V881" s="3486"/>
      <c r="W881" s="3486"/>
      <c r="X881" s="3486"/>
      <c r="Y881" s="3943"/>
    </row>
    <row r="882" spans="1:25" s="3492" customFormat="1">
      <c r="A882" s="3485"/>
      <c r="B882" s="3486"/>
      <c r="C882" s="3486"/>
      <c r="D882" s="3486"/>
      <c r="E882" s="3486"/>
      <c r="F882" s="3486"/>
      <c r="G882" s="3486"/>
      <c r="H882" s="3486"/>
      <c r="I882" s="3486"/>
      <c r="J882" s="3486"/>
      <c r="K882" s="3486"/>
      <c r="L882" s="3486"/>
      <c r="M882" s="3486"/>
      <c r="N882" s="3486"/>
      <c r="O882" s="3486"/>
      <c r="P882" s="3486"/>
      <c r="Q882" s="3486"/>
      <c r="R882" s="3486"/>
      <c r="S882" s="3486"/>
      <c r="T882" s="3486"/>
      <c r="U882" s="3486"/>
      <c r="V882" s="3486"/>
      <c r="W882" s="3486"/>
      <c r="X882" s="3486"/>
      <c r="Y882" s="3943"/>
    </row>
    <row r="883" spans="1:25" s="3492" customFormat="1">
      <c r="A883" s="3485"/>
      <c r="B883" s="3486"/>
      <c r="C883" s="3486"/>
      <c r="D883" s="3486"/>
      <c r="E883" s="3486"/>
      <c r="F883" s="3486"/>
      <c r="G883" s="3486"/>
      <c r="H883" s="3486"/>
      <c r="I883" s="3486"/>
      <c r="J883" s="3486"/>
      <c r="K883" s="3486"/>
      <c r="L883" s="3486"/>
      <c r="M883" s="3486"/>
      <c r="N883" s="3486"/>
      <c r="O883" s="3486"/>
      <c r="P883" s="3486"/>
      <c r="Q883" s="3486"/>
      <c r="R883" s="3486"/>
      <c r="S883" s="3486"/>
      <c r="T883" s="3486"/>
      <c r="U883" s="3486"/>
      <c r="V883" s="3486"/>
      <c r="W883" s="3486"/>
      <c r="X883" s="3486"/>
      <c r="Y883" s="3943"/>
    </row>
    <row r="884" spans="1:25" s="3492" customFormat="1">
      <c r="A884" s="3485"/>
      <c r="B884" s="3486"/>
      <c r="C884" s="3486"/>
      <c r="D884" s="3486"/>
      <c r="E884" s="3486"/>
      <c r="F884" s="3486"/>
      <c r="G884" s="3486"/>
      <c r="H884" s="3486"/>
      <c r="I884" s="3486"/>
      <c r="J884" s="3486"/>
      <c r="K884" s="3486"/>
      <c r="L884" s="3486"/>
      <c r="M884" s="3486"/>
      <c r="N884" s="3486"/>
      <c r="O884" s="3486"/>
      <c r="P884" s="3486"/>
      <c r="Q884" s="3486"/>
      <c r="R884" s="3486"/>
      <c r="S884" s="3486"/>
      <c r="T884" s="3486"/>
      <c r="U884" s="3486"/>
      <c r="V884" s="3486"/>
      <c r="W884" s="3486"/>
      <c r="X884" s="3486"/>
      <c r="Y884" s="3943"/>
    </row>
    <row r="885" spans="1:25" s="3492" customFormat="1">
      <c r="A885" s="3485"/>
      <c r="B885" s="3486"/>
      <c r="C885" s="3486"/>
      <c r="D885" s="3486"/>
      <c r="E885" s="3486"/>
      <c r="F885" s="3486"/>
      <c r="G885" s="3486"/>
      <c r="H885" s="3486"/>
      <c r="I885" s="3486"/>
      <c r="J885" s="3486"/>
      <c r="K885" s="3486"/>
      <c r="L885" s="3486"/>
      <c r="M885" s="3486"/>
      <c r="N885" s="3486"/>
      <c r="O885" s="3486"/>
      <c r="P885" s="3486"/>
      <c r="Q885" s="3486"/>
      <c r="R885" s="3486"/>
      <c r="S885" s="3486"/>
      <c r="T885" s="3486"/>
      <c r="U885" s="3486"/>
      <c r="V885" s="3486"/>
      <c r="W885" s="3486"/>
      <c r="X885" s="3486"/>
      <c r="Y885" s="3943"/>
    </row>
    <row r="886" spans="1:25" s="3492" customFormat="1">
      <c r="A886" s="3485"/>
      <c r="B886" s="3486"/>
      <c r="C886" s="3486"/>
      <c r="D886" s="3486"/>
      <c r="E886" s="3486"/>
      <c r="F886" s="3486"/>
      <c r="G886" s="3486"/>
      <c r="H886" s="3486"/>
      <c r="I886" s="3486"/>
      <c r="J886" s="3486"/>
      <c r="K886" s="3486"/>
      <c r="L886" s="3486"/>
      <c r="M886" s="3486"/>
      <c r="N886" s="3486"/>
      <c r="O886" s="3486"/>
      <c r="P886" s="3486"/>
      <c r="Q886" s="3486"/>
      <c r="R886" s="3486"/>
      <c r="S886" s="3486"/>
      <c r="T886" s="3486"/>
      <c r="U886" s="3486"/>
      <c r="V886" s="3486"/>
      <c r="W886" s="3486"/>
      <c r="X886" s="3486"/>
      <c r="Y886" s="3943"/>
    </row>
    <row r="887" spans="1:25" s="3492" customFormat="1">
      <c r="A887" s="3485"/>
      <c r="B887" s="3486"/>
      <c r="C887" s="3486"/>
      <c r="D887" s="3486"/>
      <c r="E887" s="3486"/>
      <c r="F887" s="3486"/>
      <c r="G887" s="3486"/>
      <c r="H887" s="3486"/>
      <c r="I887" s="3486"/>
      <c r="J887" s="3486"/>
      <c r="K887" s="3486"/>
      <c r="L887" s="3486"/>
      <c r="M887" s="3486"/>
      <c r="N887" s="3486"/>
      <c r="O887" s="3486"/>
      <c r="P887" s="3486"/>
      <c r="Q887" s="3486"/>
      <c r="R887" s="3486"/>
      <c r="S887" s="3486"/>
      <c r="T887" s="3486"/>
      <c r="U887" s="3486"/>
      <c r="V887" s="3486"/>
      <c r="W887" s="3486"/>
      <c r="X887" s="3486"/>
      <c r="Y887" s="3943"/>
    </row>
    <row r="888" spans="1:25" s="3492" customFormat="1">
      <c r="A888" s="3485"/>
      <c r="B888" s="3486"/>
      <c r="C888" s="3486"/>
      <c r="D888" s="3486"/>
      <c r="E888" s="3486"/>
      <c r="F888" s="3486"/>
      <c r="G888" s="3486"/>
      <c r="H888" s="3486"/>
      <c r="I888" s="3486"/>
      <c r="J888" s="3486"/>
      <c r="K888" s="3486"/>
      <c r="L888" s="3486"/>
      <c r="M888" s="3486"/>
      <c r="N888" s="3486"/>
      <c r="O888" s="3486"/>
      <c r="P888" s="3486"/>
      <c r="Q888" s="3486"/>
      <c r="R888" s="3486"/>
      <c r="S888" s="3486"/>
      <c r="T888" s="3486"/>
      <c r="U888" s="3486"/>
      <c r="V888" s="3486"/>
      <c r="W888" s="3486"/>
      <c r="X888" s="3486"/>
      <c r="Y888" s="3943"/>
    </row>
    <row r="889" spans="1:25" s="3492" customFormat="1">
      <c r="A889" s="3485"/>
      <c r="B889" s="3486"/>
      <c r="C889" s="3486"/>
      <c r="D889" s="3486"/>
      <c r="E889" s="3486"/>
      <c r="F889" s="3486"/>
      <c r="G889" s="3486"/>
      <c r="H889" s="3486"/>
      <c r="I889" s="3486"/>
      <c r="J889" s="3486"/>
      <c r="K889" s="3486"/>
      <c r="L889" s="3486"/>
      <c r="M889" s="3486"/>
      <c r="N889" s="3486"/>
      <c r="O889" s="3486"/>
      <c r="P889" s="3486"/>
      <c r="Q889" s="3486"/>
      <c r="R889" s="3486"/>
      <c r="S889" s="3486"/>
      <c r="T889" s="3486"/>
      <c r="U889" s="3486"/>
      <c r="V889" s="3486"/>
      <c r="W889" s="3486"/>
      <c r="X889" s="3486"/>
      <c r="Y889" s="3943"/>
    </row>
    <row r="890" spans="1:25" s="3492" customFormat="1">
      <c r="A890" s="3485"/>
      <c r="B890" s="3486"/>
      <c r="C890" s="3486"/>
      <c r="D890" s="3486"/>
      <c r="E890" s="3486"/>
      <c r="F890" s="3486"/>
      <c r="G890" s="3486"/>
      <c r="H890" s="3486"/>
      <c r="I890" s="3486"/>
      <c r="J890" s="3486"/>
      <c r="K890" s="3486"/>
      <c r="L890" s="3486"/>
      <c r="M890" s="3486"/>
      <c r="N890" s="3486"/>
      <c r="O890" s="3486"/>
      <c r="P890" s="3486"/>
      <c r="Q890" s="3486"/>
      <c r="R890" s="3486"/>
      <c r="S890" s="3486"/>
      <c r="T890" s="3486"/>
      <c r="U890" s="3486"/>
      <c r="V890" s="3486"/>
      <c r="W890" s="3486"/>
      <c r="X890" s="3486"/>
      <c r="Y890" s="3943"/>
    </row>
    <row r="891" spans="1:25" s="3492" customFormat="1">
      <c r="A891" s="3485"/>
      <c r="B891" s="3486"/>
      <c r="C891" s="3486"/>
      <c r="D891" s="3486"/>
      <c r="E891" s="3486"/>
      <c r="F891" s="3486"/>
      <c r="G891" s="3486"/>
      <c r="H891" s="3486"/>
      <c r="I891" s="3486"/>
      <c r="J891" s="3486"/>
      <c r="K891" s="3486"/>
      <c r="L891" s="3486"/>
      <c r="M891" s="3486"/>
      <c r="N891" s="3486"/>
      <c r="O891" s="3486"/>
      <c r="P891" s="3486"/>
      <c r="Q891" s="3486"/>
      <c r="R891" s="3486"/>
      <c r="S891" s="3486"/>
      <c r="T891" s="3486"/>
      <c r="U891" s="3486"/>
      <c r="V891" s="3486"/>
      <c r="W891" s="3486"/>
      <c r="X891" s="3486"/>
      <c r="Y891" s="3943"/>
    </row>
    <row r="892" spans="1:25" s="3492" customFormat="1">
      <c r="A892" s="3485"/>
      <c r="B892" s="3486"/>
      <c r="C892" s="3486"/>
      <c r="D892" s="3486"/>
      <c r="E892" s="3486"/>
      <c r="F892" s="3486"/>
      <c r="G892" s="3486"/>
      <c r="H892" s="3486"/>
      <c r="I892" s="3486"/>
      <c r="J892" s="3486"/>
      <c r="K892" s="3486"/>
      <c r="L892" s="3486"/>
      <c r="M892" s="3486"/>
      <c r="N892" s="3486"/>
      <c r="O892" s="3486"/>
      <c r="P892" s="3486"/>
      <c r="Q892" s="3486"/>
      <c r="R892" s="3486"/>
      <c r="S892" s="3486"/>
      <c r="T892" s="3486"/>
      <c r="U892" s="3486"/>
      <c r="V892" s="3486"/>
      <c r="W892" s="3486"/>
      <c r="X892" s="3486"/>
      <c r="Y892" s="3943"/>
    </row>
    <row r="893" spans="1:25" s="3492" customFormat="1">
      <c r="A893" s="3485"/>
      <c r="B893" s="3486"/>
      <c r="C893" s="3486"/>
      <c r="D893" s="3486"/>
      <c r="E893" s="3486"/>
      <c r="F893" s="3486"/>
      <c r="G893" s="3486"/>
      <c r="H893" s="3486"/>
      <c r="I893" s="3486"/>
      <c r="J893" s="3486"/>
      <c r="K893" s="3486"/>
      <c r="L893" s="3486"/>
      <c r="M893" s="3486"/>
      <c r="N893" s="3486"/>
      <c r="O893" s="3486"/>
      <c r="P893" s="3486"/>
      <c r="Q893" s="3486"/>
      <c r="R893" s="3486"/>
      <c r="S893" s="3486"/>
      <c r="T893" s="3486"/>
      <c r="U893" s="3486"/>
      <c r="V893" s="3486"/>
      <c r="W893" s="3486"/>
      <c r="X893" s="3486"/>
      <c r="Y893" s="3943"/>
    </row>
    <row r="894" spans="1:25" s="3492" customFormat="1">
      <c r="A894" s="3485"/>
      <c r="B894" s="3486"/>
      <c r="C894" s="3486"/>
      <c r="D894" s="3486"/>
      <c r="E894" s="3486"/>
      <c r="F894" s="3486"/>
      <c r="G894" s="3486"/>
      <c r="H894" s="3486"/>
      <c r="I894" s="3486"/>
      <c r="J894" s="3486"/>
      <c r="K894" s="3486"/>
      <c r="L894" s="3486"/>
      <c r="M894" s="3486"/>
      <c r="N894" s="3486"/>
      <c r="O894" s="3486"/>
      <c r="P894" s="3486"/>
      <c r="Q894" s="3486"/>
      <c r="R894" s="3486"/>
      <c r="S894" s="3486"/>
      <c r="T894" s="3486"/>
      <c r="U894" s="3486"/>
      <c r="V894" s="3486"/>
      <c r="W894" s="3486"/>
      <c r="X894" s="3486"/>
      <c r="Y894" s="3943"/>
    </row>
    <row r="895" spans="1:25" s="3492" customFormat="1">
      <c r="A895" s="3485"/>
      <c r="B895" s="3486"/>
      <c r="C895" s="3486"/>
      <c r="D895" s="3486"/>
      <c r="E895" s="3486"/>
      <c r="F895" s="3486"/>
      <c r="G895" s="3486"/>
      <c r="H895" s="3486"/>
      <c r="I895" s="3486"/>
      <c r="J895" s="3486"/>
      <c r="K895" s="3486"/>
      <c r="L895" s="3486"/>
      <c r="M895" s="3486"/>
      <c r="N895" s="3486"/>
      <c r="O895" s="3486"/>
      <c r="P895" s="3486"/>
      <c r="Q895" s="3486"/>
      <c r="R895" s="3486"/>
      <c r="S895" s="3486"/>
      <c r="T895" s="3486"/>
      <c r="U895" s="3486"/>
      <c r="V895" s="3486"/>
      <c r="W895" s="3486"/>
      <c r="X895" s="3486"/>
      <c r="Y895" s="3943"/>
    </row>
    <row r="896" spans="1:25" s="3492" customFormat="1">
      <c r="A896" s="3485"/>
      <c r="B896" s="3486"/>
      <c r="C896" s="3486"/>
      <c r="D896" s="3486"/>
      <c r="E896" s="3486"/>
      <c r="F896" s="3486"/>
      <c r="G896" s="3486"/>
      <c r="H896" s="3486"/>
      <c r="I896" s="3486"/>
      <c r="J896" s="3486"/>
      <c r="K896" s="3486"/>
      <c r="L896" s="3486"/>
      <c r="M896" s="3486"/>
      <c r="N896" s="3486"/>
      <c r="O896" s="3486"/>
      <c r="P896" s="3486"/>
      <c r="Q896" s="3486"/>
      <c r="R896" s="3486"/>
      <c r="S896" s="3486"/>
      <c r="T896" s="3486"/>
      <c r="U896" s="3486"/>
      <c r="V896" s="3486"/>
      <c r="W896" s="3486"/>
      <c r="X896" s="3486"/>
      <c r="Y896" s="3943"/>
    </row>
    <row r="897" spans="1:25" s="3492" customFormat="1">
      <c r="A897" s="3485"/>
      <c r="B897" s="3486"/>
      <c r="C897" s="3486"/>
      <c r="D897" s="3486"/>
      <c r="E897" s="3486"/>
      <c r="F897" s="3486"/>
      <c r="G897" s="3486"/>
      <c r="H897" s="3486"/>
      <c r="I897" s="3486"/>
      <c r="J897" s="3486"/>
      <c r="K897" s="3486"/>
      <c r="L897" s="3486"/>
      <c r="M897" s="3486"/>
      <c r="N897" s="3486"/>
      <c r="O897" s="3486"/>
      <c r="P897" s="3486"/>
      <c r="Q897" s="3486"/>
      <c r="R897" s="3486"/>
      <c r="S897" s="3486"/>
      <c r="T897" s="3486"/>
      <c r="U897" s="3486"/>
      <c r="V897" s="3486"/>
      <c r="W897" s="3486"/>
      <c r="X897" s="3486"/>
      <c r="Y897" s="3943"/>
    </row>
    <row r="898" spans="1:25" s="3492" customFormat="1">
      <c r="A898" s="3485"/>
      <c r="B898" s="3486"/>
      <c r="C898" s="3486"/>
      <c r="D898" s="3486"/>
      <c r="E898" s="3486"/>
      <c r="F898" s="3486"/>
      <c r="G898" s="3486"/>
      <c r="H898" s="3486"/>
      <c r="I898" s="3486"/>
      <c r="J898" s="3486"/>
      <c r="K898" s="3486"/>
      <c r="L898" s="3486"/>
      <c r="M898" s="3486"/>
      <c r="N898" s="3486"/>
      <c r="O898" s="3486"/>
      <c r="P898" s="3486"/>
      <c r="Q898" s="3486"/>
      <c r="R898" s="3486"/>
      <c r="S898" s="3486"/>
      <c r="T898" s="3486"/>
      <c r="U898" s="3486"/>
      <c r="V898" s="3486"/>
      <c r="W898" s="3486"/>
      <c r="X898" s="3486"/>
      <c r="Y898" s="3943"/>
    </row>
    <row r="899" spans="1:25" s="3492" customFormat="1">
      <c r="A899" s="3485"/>
      <c r="B899" s="3486"/>
      <c r="C899" s="3486"/>
      <c r="D899" s="3486"/>
      <c r="E899" s="3486"/>
      <c r="F899" s="3486"/>
      <c r="G899" s="3486"/>
      <c r="H899" s="3486"/>
      <c r="I899" s="3486"/>
      <c r="J899" s="3486"/>
      <c r="K899" s="3486"/>
      <c r="L899" s="3486"/>
      <c r="M899" s="3486"/>
      <c r="N899" s="3486"/>
      <c r="O899" s="3486"/>
      <c r="P899" s="3486"/>
      <c r="Q899" s="3486"/>
      <c r="R899" s="3486"/>
      <c r="S899" s="3486"/>
      <c r="T899" s="3486"/>
      <c r="U899" s="3486"/>
      <c r="V899" s="3486"/>
      <c r="W899" s="3486"/>
      <c r="X899" s="3486"/>
      <c r="Y899" s="3943"/>
    </row>
    <row r="900" spans="1:25" s="3492" customFormat="1">
      <c r="A900" s="3485"/>
      <c r="B900" s="3486"/>
      <c r="C900" s="3486"/>
      <c r="D900" s="3486"/>
      <c r="E900" s="3486"/>
      <c r="F900" s="3486"/>
      <c r="G900" s="3486"/>
      <c r="H900" s="3486"/>
      <c r="I900" s="3486"/>
      <c r="J900" s="3486"/>
      <c r="K900" s="3486"/>
      <c r="L900" s="3486"/>
      <c r="M900" s="3486"/>
      <c r="N900" s="3486"/>
      <c r="O900" s="3486"/>
      <c r="P900" s="3486"/>
      <c r="Q900" s="3486"/>
      <c r="R900" s="3486"/>
      <c r="S900" s="3486"/>
      <c r="T900" s="3486"/>
      <c r="U900" s="3486"/>
      <c r="V900" s="3486"/>
      <c r="W900" s="3486"/>
      <c r="X900" s="3486"/>
      <c r="Y900" s="3943"/>
    </row>
    <row r="901" spans="1:25" s="3492" customFormat="1">
      <c r="A901" s="3485"/>
      <c r="B901" s="3486"/>
      <c r="C901" s="3486"/>
      <c r="D901" s="3486"/>
      <c r="E901" s="3486"/>
      <c r="F901" s="3486"/>
      <c r="G901" s="3486"/>
      <c r="H901" s="3486"/>
      <c r="I901" s="3486"/>
      <c r="J901" s="3486"/>
      <c r="K901" s="3486"/>
      <c r="L901" s="3486"/>
      <c r="M901" s="3486"/>
      <c r="N901" s="3486"/>
      <c r="O901" s="3486"/>
      <c r="P901" s="3486"/>
      <c r="Q901" s="3486"/>
      <c r="R901" s="3486"/>
      <c r="S901" s="3486"/>
      <c r="T901" s="3486"/>
      <c r="U901" s="3486"/>
      <c r="V901" s="3486"/>
      <c r="W901" s="3486"/>
      <c r="X901" s="3486"/>
      <c r="Y901" s="3943"/>
    </row>
    <row r="902" spans="1:25" s="3492" customFormat="1">
      <c r="A902" s="3485"/>
      <c r="B902" s="3486"/>
      <c r="C902" s="3486"/>
      <c r="D902" s="3486"/>
      <c r="E902" s="3486"/>
      <c r="F902" s="3486"/>
      <c r="G902" s="3486"/>
      <c r="H902" s="3486"/>
      <c r="I902" s="3486"/>
      <c r="J902" s="3486"/>
      <c r="K902" s="3486"/>
      <c r="L902" s="3486"/>
      <c r="M902" s="3486"/>
      <c r="N902" s="3486"/>
      <c r="O902" s="3486"/>
      <c r="P902" s="3486"/>
      <c r="Q902" s="3486"/>
      <c r="R902" s="3486"/>
      <c r="S902" s="3486"/>
      <c r="T902" s="3486"/>
      <c r="U902" s="3486"/>
      <c r="V902" s="3486"/>
      <c r="W902" s="3486"/>
      <c r="X902" s="3486"/>
      <c r="Y902" s="3943"/>
    </row>
    <row r="903" spans="1:25" s="3492" customFormat="1">
      <c r="A903" s="3485"/>
      <c r="B903" s="3486"/>
      <c r="C903" s="3486"/>
      <c r="D903" s="3486"/>
      <c r="E903" s="3486"/>
      <c r="F903" s="3486"/>
      <c r="G903" s="3486"/>
      <c r="H903" s="3486"/>
      <c r="I903" s="3486"/>
      <c r="J903" s="3486"/>
      <c r="K903" s="3486"/>
      <c r="L903" s="3486"/>
      <c r="M903" s="3486"/>
      <c r="N903" s="3486"/>
      <c r="O903" s="3486"/>
      <c r="P903" s="3486"/>
      <c r="Q903" s="3486"/>
      <c r="R903" s="3486"/>
      <c r="S903" s="3486"/>
      <c r="T903" s="3486"/>
      <c r="U903" s="3486"/>
      <c r="V903" s="3486"/>
      <c r="W903" s="3486"/>
      <c r="X903" s="3486"/>
      <c r="Y903" s="3943"/>
    </row>
    <row r="904" spans="1:25" s="3492" customFormat="1">
      <c r="A904" s="3485"/>
      <c r="B904" s="3486"/>
      <c r="C904" s="3486"/>
      <c r="D904" s="3486"/>
      <c r="E904" s="3486"/>
      <c r="F904" s="3486"/>
      <c r="G904" s="3486"/>
      <c r="H904" s="3486"/>
      <c r="I904" s="3486"/>
      <c r="J904" s="3486"/>
      <c r="K904" s="3486"/>
      <c r="L904" s="3486"/>
      <c r="M904" s="3486"/>
      <c r="N904" s="3486"/>
      <c r="O904" s="3486"/>
      <c r="P904" s="3486"/>
      <c r="Q904" s="3486"/>
      <c r="R904" s="3486"/>
      <c r="S904" s="3486"/>
      <c r="T904" s="3486"/>
      <c r="U904" s="3486"/>
      <c r="V904" s="3486"/>
      <c r="W904" s="3486"/>
      <c r="X904" s="3486"/>
      <c r="Y904" s="3943"/>
    </row>
    <row r="905" spans="1:25" s="3492" customFormat="1">
      <c r="A905" s="3485"/>
      <c r="B905" s="3486"/>
      <c r="C905" s="3486"/>
      <c r="D905" s="3486"/>
      <c r="E905" s="3486"/>
      <c r="F905" s="3486"/>
      <c r="G905" s="3486"/>
      <c r="H905" s="3486"/>
      <c r="I905" s="3486"/>
      <c r="J905" s="3486"/>
      <c r="K905" s="3486"/>
      <c r="L905" s="3486"/>
      <c r="M905" s="3486"/>
      <c r="N905" s="3486"/>
      <c r="O905" s="3486"/>
      <c r="P905" s="3486"/>
      <c r="Q905" s="3486"/>
      <c r="R905" s="3486"/>
      <c r="S905" s="3486"/>
      <c r="T905" s="3486"/>
      <c r="U905" s="3486"/>
      <c r="V905" s="3486"/>
      <c r="W905" s="3486"/>
      <c r="X905" s="3486"/>
      <c r="Y905" s="3943"/>
    </row>
    <row r="906" spans="1:25" s="3492" customFormat="1">
      <c r="A906" s="3485"/>
      <c r="B906" s="3486"/>
      <c r="C906" s="3486"/>
      <c r="D906" s="3486"/>
      <c r="E906" s="3486"/>
      <c r="F906" s="3486"/>
      <c r="G906" s="3486"/>
      <c r="H906" s="3486"/>
      <c r="I906" s="3486"/>
      <c r="J906" s="3486"/>
      <c r="K906" s="3486"/>
      <c r="L906" s="3486"/>
      <c r="M906" s="3486"/>
      <c r="N906" s="3486"/>
      <c r="O906" s="3486"/>
      <c r="P906" s="3486"/>
      <c r="Q906" s="3486"/>
      <c r="R906" s="3486"/>
      <c r="S906" s="3486"/>
      <c r="T906" s="3486"/>
      <c r="U906" s="3486"/>
      <c r="V906" s="3486"/>
      <c r="W906" s="3486"/>
      <c r="X906" s="3486"/>
      <c r="Y906" s="3943"/>
    </row>
    <row r="907" spans="1:25" s="3492" customFormat="1">
      <c r="A907" s="3485"/>
      <c r="B907" s="3486"/>
      <c r="C907" s="3486"/>
      <c r="D907" s="3486"/>
      <c r="E907" s="3486"/>
      <c r="F907" s="3486"/>
      <c r="G907" s="3486"/>
      <c r="H907" s="3486"/>
      <c r="I907" s="3486"/>
      <c r="J907" s="3486"/>
      <c r="K907" s="3486"/>
      <c r="L907" s="3486"/>
      <c r="M907" s="3486"/>
      <c r="N907" s="3486"/>
      <c r="O907" s="3486"/>
      <c r="P907" s="3486"/>
      <c r="Q907" s="3486"/>
      <c r="R907" s="3486"/>
      <c r="S907" s="3486"/>
      <c r="T907" s="3486"/>
      <c r="U907" s="3486"/>
      <c r="V907" s="3486"/>
      <c r="W907" s="3486"/>
      <c r="X907" s="3486"/>
      <c r="Y907" s="3943"/>
    </row>
    <row r="908" spans="1:25" s="3492" customFormat="1">
      <c r="A908" s="3485"/>
      <c r="B908" s="3486"/>
      <c r="C908" s="3486"/>
      <c r="D908" s="3486"/>
      <c r="E908" s="3486"/>
      <c r="F908" s="3486"/>
      <c r="G908" s="3486"/>
      <c r="H908" s="3486"/>
      <c r="I908" s="3486"/>
      <c r="J908" s="3486"/>
      <c r="K908" s="3486"/>
      <c r="L908" s="3486"/>
      <c r="M908" s="3486"/>
      <c r="N908" s="3486"/>
      <c r="O908" s="3486"/>
      <c r="P908" s="3486"/>
      <c r="Q908" s="3486"/>
      <c r="R908" s="3486"/>
      <c r="S908" s="3486"/>
      <c r="T908" s="3486"/>
      <c r="U908" s="3486"/>
      <c r="V908" s="3486"/>
      <c r="W908" s="3486"/>
      <c r="X908" s="3486"/>
      <c r="Y908" s="3943"/>
    </row>
    <row r="909" spans="1:25" s="3492" customFormat="1">
      <c r="A909" s="3485"/>
      <c r="B909" s="3486"/>
      <c r="C909" s="3486"/>
      <c r="D909" s="3486"/>
      <c r="E909" s="3486"/>
      <c r="F909" s="3486"/>
      <c r="G909" s="3486"/>
      <c r="H909" s="3486"/>
      <c r="I909" s="3486"/>
      <c r="J909" s="3486"/>
      <c r="K909" s="3486"/>
      <c r="L909" s="3486"/>
      <c r="M909" s="3486"/>
      <c r="N909" s="3486"/>
      <c r="O909" s="3486"/>
      <c r="P909" s="3486"/>
      <c r="Q909" s="3486"/>
      <c r="R909" s="3486"/>
      <c r="S909" s="3486"/>
      <c r="T909" s="3486"/>
      <c r="U909" s="3486"/>
      <c r="V909" s="3486"/>
      <c r="W909" s="3486"/>
      <c r="X909" s="3486"/>
      <c r="Y909" s="3943"/>
    </row>
    <row r="910" spans="1:25" s="3492" customFormat="1">
      <c r="A910" s="3485"/>
      <c r="B910" s="3486"/>
      <c r="C910" s="3486"/>
      <c r="D910" s="3486"/>
      <c r="E910" s="3486"/>
      <c r="F910" s="3486"/>
      <c r="G910" s="3486"/>
      <c r="H910" s="3486"/>
      <c r="I910" s="3486"/>
      <c r="J910" s="3486"/>
      <c r="K910" s="3486"/>
      <c r="L910" s="3486"/>
      <c r="M910" s="3486"/>
      <c r="N910" s="3486"/>
      <c r="O910" s="3486"/>
      <c r="P910" s="3486"/>
      <c r="Q910" s="3486"/>
      <c r="R910" s="3486"/>
      <c r="S910" s="3486"/>
      <c r="T910" s="3486"/>
      <c r="U910" s="3486"/>
      <c r="V910" s="3486"/>
      <c r="W910" s="3486"/>
      <c r="X910" s="3486"/>
      <c r="Y910" s="3943"/>
    </row>
    <row r="911" spans="1:25" s="3492" customFormat="1">
      <c r="A911" s="3485"/>
      <c r="B911" s="3486"/>
      <c r="C911" s="3486"/>
      <c r="D911" s="3486"/>
      <c r="E911" s="3486"/>
      <c r="F911" s="3486"/>
      <c r="G911" s="3486"/>
      <c r="H911" s="3486"/>
      <c r="I911" s="3486"/>
      <c r="J911" s="3486"/>
      <c r="K911" s="3486"/>
      <c r="L911" s="3486"/>
      <c r="M911" s="3486"/>
      <c r="N911" s="3486"/>
      <c r="O911" s="3486"/>
      <c r="P911" s="3486"/>
      <c r="Q911" s="3486"/>
      <c r="R911" s="3486"/>
      <c r="S911" s="3486"/>
      <c r="T911" s="3486"/>
      <c r="U911" s="3486"/>
      <c r="V911" s="3486"/>
      <c r="W911" s="3486"/>
      <c r="X911" s="3486"/>
      <c r="Y911" s="3943"/>
    </row>
    <row r="912" spans="1:25" s="3492" customFormat="1">
      <c r="A912" s="3485"/>
      <c r="B912" s="3486"/>
      <c r="C912" s="3486"/>
      <c r="D912" s="3486"/>
      <c r="E912" s="3486"/>
      <c r="F912" s="3486"/>
      <c r="G912" s="3486"/>
      <c r="H912" s="3486"/>
      <c r="I912" s="3486"/>
      <c r="J912" s="3486"/>
      <c r="K912" s="3486"/>
      <c r="L912" s="3486"/>
      <c r="M912" s="3486"/>
      <c r="N912" s="3486"/>
      <c r="O912" s="3486"/>
      <c r="P912" s="3486"/>
      <c r="Q912" s="3486"/>
      <c r="R912" s="3486"/>
      <c r="S912" s="3486"/>
      <c r="T912" s="3486"/>
      <c r="U912" s="3486"/>
      <c r="V912" s="3486"/>
      <c r="W912" s="3486"/>
      <c r="X912" s="3486"/>
      <c r="Y912" s="3943"/>
    </row>
    <row r="913" spans="1:25" s="3492" customFormat="1">
      <c r="A913" s="3485"/>
      <c r="B913" s="3486"/>
      <c r="C913" s="3486"/>
      <c r="D913" s="3486"/>
      <c r="E913" s="3486"/>
      <c r="F913" s="3486"/>
      <c r="G913" s="3486"/>
      <c r="H913" s="3486"/>
      <c r="I913" s="3486"/>
      <c r="J913" s="3486"/>
      <c r="K913" s="3486"/>
      <c r="L913" s="3486"/>
      <c r="M913" s="3486"/>
      <c r="N913" s="3486"/>
      <c r="O913" s="3486"/>
      <c r="P913" s="3486"/>
      <c r="Q913" s="3486"/>
      <c r="R913" s="3486"/>
      <c r="S913" s="3486"/>
      <c r="T913" s="3486"/>
      <c r="U913" s="3486"/>
      <c r="V913" s="3486"/>
      <c r="W913" s="3486"/>
      <c r="X913" s="3486"/>
      <c r="Y913" s="3943"/>
    </row>
    <row r="914" spans="1:25" s="3492" customFormat="1">
      <c r="A914" s="3485"/>
      <c r="B914" s="3486"/>
      <c r="C914" s="3486"/>
      <c r="D914" s="3486"/>
      <c r="E914" s="3486"/>
      <c r="F914" s="3486"/>
      <c r="G914" s="3486"/>
      <c r="H914" s="3486"/>
      <c r="I914" s="3486"/>
      <c r="J914" s="3486"/>
      <c r="K914" s="3486"/>
      <c r="L914" s="3486"/>
      <c r="M914" s="3486"/>
      <c r="N914" s="3486"/>
      <c r="O914" s="3486"/>
      <c r="P914" s="3486"/>
      <c r="Q914" s="3486"/>
      <c r="R914" s="3486"/>
      <c r="S914" s="3486"/>
      <c r="T914" s="3486"/>
      <c r="U914" s="3486"/>
      <c r="V914" s="3486"/>
      <c r="W914" s="3486"/>
      <c r="X914" s="3486"/>
      <c r="Y914" s="3943"/>
    </row>
    <row r="915" spans="1:25" s="3492" customFormat="1">
      <c r="A915" s="3485"/>
      <c r="B915" s="3486"/>
      <c r="C915" s="3486"/>
      <c r="D915" s="3486"/>
      <c r="E915" s="3486"/>
      <c r="F915" s="3486"/>
      <c r="G915" s="3486"/>
      <c r="H915" s="3486"/>
      <c r="I915" s="3486"/>
      <c r="J915" s="3486"/>
      <c r="K915" s="3486"/>
      <c r="L915" s="3486"/>
      <c r="M915" s="3486"/>
      <c r="N915" s="3486"/>
      <c r="O915" s="3486"/>
      <c r="P915" s="3486"/>
      <c r="Q915" s="3486"/>
      <c r="R915" s="3486"/>
      <c r="S915" s="3486"/>
      <c r="T915" s="3486"/>
      <c r="U915" s="3486"/>
      <c r="V915" s="3486"/>
      <c r="W915" s="3486"/>
      <c r="X915" s="3486"/>
      <c r="Y915" s="3943"/>
    </row>
    <row r="916" spans="1:25" s="3492" customFormat="1">
      <c r="A916" s="3485"/>
      <c r="B916" s="3486"/>
      <c r="C916" s="3486"/>
      <c r="D916" s="3486"/>
      <c r="E916" s="3486"/>
      <c r="F916" s="3486"/>
      <c r="G916" s="3486"/>
      <c r="H916" s="3486"/>
      <c r="I916" s="3486"/>
      <c r="J916" s="3486"/>
      <c r="K916" s="3486"/>
      <c r="L916" s="3486"/>
      <c r="M916" s="3486"/>
      <c r="N916" s="3486"/>
      <c r="O916" s="3486"/>
      <c r="P916" s="3486"/>
      <c r="Q916" s="3486"/>
      <c r="R916" s="3486"/>
      <c r="S916" s="3486"/>
      <c r="T916" s="3486"/>
      <c r="U916" s="3486"/>
      <c r="V916" s="3486"/>
      <c r="W916" s="3486"/>
      <c r="X916" s="3486"/>
      <c r="Y916" s="3943"/>
    </row>
    <row r="917" spans="1:25" s="3492" customFormat="1">
      <c r="A917" s="3485"/>
      <c r="B917" s="3486"/>
      <c r="C917" s="3486"/>
      <c r="D917" s="3486"/>
      <c r="E917" s="3486"/>
      <c r="F917" s="3486"/>
      <c r="G917" s="3486"/>
      <c r="H917" s="3486"/>
      <c r="I917" s="3486"/>
      <c r="J917" s="3486"/>
      <c r="K917" s="3486"/>
      <c r="L917" s="3486"/>
      <c r="M917" s="3486"/>
      <c r="N917" s="3486"/>
      <c r="O917" s="3486"/>
      <c r="P917" s="3486"/>
      <c r="Q917" s="3486"/>
      <c r="R917" s="3486"/>
      <c r="S917" s="3486"/>
      <c r="T917" s="3486"/>
      <c r="U917" s="3486"/>
      <c r="V917" s="3486"/>
      <c r="W917" s="3486"/>
      <c r="X917" s="3486"/>
      <c r="Y917" s="3943"/>
    </row>
    <row r="918" spans="1:25" s="3492" customFormat="1">
      <c r="A918" s="3485"/>
      <c r="B918" s="3486"/>
      <c r="C918" s="3486"/>
      <c r="D918" s="3486"/>
      <c r="E918" s="3486"/>
      <c r="F918" s="3486"/>
      <c r="G918" s="3486"/>
      <c r="H918" s="3486"/>
      <c r="I918" s="3486"/>
      <c r="J918" s="3486"/>
      <c r="K918" s="3486"/>
      <c r="L918" s="3486"/>
      <c r="M918" s="3486"/>
      <c r="N918" s="3486"/>
      <c r="O918" s="3486"/>
      <c r="P918" s="3486"/>
      <c r="Q918" s="3486"/>
      <c r="R918" s="3486"/>
      <c r="S918" s="3486"/>
      <c r="T918" s="3486"/>
      <c r="U918" s="3486"/>
      <c r="V918" s="3486"/>
      <c r="W918" s="3486"/>
      <c r="X918" s="3486"/>
      <c r="Y918" s="3943"/>
    </row>
    <row r="919" spans="1:25" s="3492" customFormat="1">
      <c r="A919" s="3485"/>
      <c r="B919" s="3486"/>
      <c r="C919" s="3486"/>
      <c r="D919" s="3486"/>
      <c r="E919" s="3486"/>
      <c r="F919" s="3486"/>
      <c r="G919" s="3486"/>
      <c r="H919" s="3486"/>
      <c r="I919" s="3486"/>
      <c r="J919" s="3486"/>
      <c r="K919" s="3486"/>
      <c r="L919" s="3486"/>
      <c r="M919" s="3486"/>
      <c r="N919" s="3486"/>
      <c r="O919" s="3486"/>
      <c r="P919" s="3486"/>
      <c r="Q919" s="3486"/>
      <c r="R919" s="3486"/>
      <c r="S919" s="3486"/>
      <c r="T919" s="3486"/>
      <c r="U919" s="3486"/>
      <c r="V919" s="3486"/>
      <c r="W919" s="3486"/>
      <c r="X919" s="3486"/>
      <c r="Y919" s="3943"/>
    </row>
    <row r="920" spans="1:25" s="3492" customFormat="1">
      <c r="A920" s="3485"/>
      <c r="B920" s="3486"/>
      <c r="C920" s="3486"/>
      <c r="D920" s="3486"/>
      <c r="E920" s="3486"/>
      <c r="F920" s="3486"/>
      <c r="G920" s="3486"/>
      <c r="H920" s="3486"/>
      <c r="I920" s="3486"/>
      <c r="J920" s="3486"/>
      <c r="K920" s="3486"/>
      <c r="L920" s="3486"/>
      <c r="M920" s="3486"/>
      <c r="N920" s="3486"/>
      <c r="O920" s="3486"/>
      <c r="P920" s="3486"/>
      <c r="Q920" s="3486"/>
      <c r="R920" s="3486"/>
      <c r="S920" s="3486"/>
      <c r="T920" s="3486"/>
      <c r="U920" s="3486"/>
      <c r="V920" s="3486"/>
      <c r="W920" s="3486"/>
      <c r="X920" s="3486"/>
      <c r="Y920" s="3943"/>
    </row>
    <row r="921" spans="1:25" s="3492" customFormat="1">
      <c r="A921" s="3485"/>
      <c r="B921" s="3486"/>
      <c r="C921" s="3486"/>
      <c r="D921" s="3486"/>
      <c r="E921" s="3486"/>
      <c r="F921" s="3486"/>
      <c r="G921" s="3486"/>
      <c r="H921" s="3486"/>
      <c r="I921" s="3486"/>
      <c r="J921" s="3486"/>
      <c r="K921" s="3486"/>
      <c r="L921" s="3486"/>
      <c r="M921" s="3486"/>
      <c r="N921" s="3486"/>
      <c r="O921" s="3486"/>
      <c r="P921" s="3486"/>
      <c r="Q921" s="3486"/>
      <c r="R921" s="3486"/>
      <c r="S921" s="3486"/>
      <c r="T921" s="3486"/>
      <c r="U921" s="3486"/>
      <c r="V921" s="3486"/>
      <c r="W921" s="3486"/>
      <c r="X921" s="3486"/>
      <c r="Y921" s="3943"/>
    </row>
    <row r="922" spans="1:25" s="3492" customFormat="1">
      <c r="A922" s="3485"/>
      <c r="B922" s="3486"/>
      <c r="C922" s="3486"/>
      <c r="D922" s="3486"/>
      <c r="E922" s="3486"/>
      <c r="F922" s="3486"/>
      <c r="G922" s="3486"/>
      <c r="H922" s="3486"/>
      <c r="I922" s="3486"/>
      <c r="J922" s="3486"/>
      <c r="K922" s="3486"/>
      <c r="L922" s="3486"/>
      <c r="M922" s="3486"/>
      <c r="N922" s="3486"/>
      <c r="O922" s="3486"/>
      <c r="P922" s="3486"/>
      <c r="Q922" s="3486"/>
      <c r="R922" s="3486"/>
      <c r="S922" s="3486"/>
      <c r="T922" s="3486"/>
      <c r="U922" s="3486"/>
      <c r="V922" s="3486"/>
      <c r="W922" s="3486"/>
      <c r="X922" s="3486"/>
      <c r="Y922" s="3943"/>
    </row>
    <row r="923" spans="1:25" s="3492" customFormat="1">
      <c r="A923" s="3485"/>
      <c r="B923" s="3486"/>
      <c r="C923" s="3486"/>
      <c r="D923" s="3486"/>
      <c r="E923" s="3486"/>
      <c r="F923" s="3486"/>
      <c r="G923" s="3486"/>
      <c r="H923" s="3486"/>
      <c r="I923" s="3486"/>
      <c r="J923" s="3486"/>
      <c r="K923" s="3486"/>
      <c r="L923" s="3486"/>
      <c r="M923" s="3486"/>
      <c r="N923" s="3486"/>
      <c r="O923" s="3486"/>
      <c r="P923" s="3486"/>
      <c r="Q923" s="3486"/>
      <c r="R923" s="3486"/>
      <c r="S923" s="3486"/>
      <c r="T923" s="3486"/>
      <c r="U923" s="3486"/>
      <c r="V923" s="3486"/>
      <c r="W923" s="3486"/>
      <c r="X923" s="3486"/>
      <c r="Y923" s="3943"/>
    </row>
    <row r="924" spans="1:25" s="3492" customFormat="1">
      <c r="A924" s="3485"/>
      <c r="B924" s="3486"/>
      <c r="C924" s="3486"/>
      <c r="D924" s="3486"/>
      <c r="E924" s="3486"/>
      <c r="F924" s="3486"/>
      <c r="G924" s="3486"/>
      <c r="H924" s="3486"/>
      <c r="I924" s="3486"/>
      <c r="J924" s="3486"/>
      <c r="K924" s="3486"/>
      <c r="L924" s="3486"/>
      <c r="M924" s="3486"/>
      <c r="N924" s="3486"/>
      <c r="O924" s="3486"/>
      <c r="P924" s="3486"/>
      <c r="Q924" s="3486"/>
      <c r="R924" s="3486"/>
      <c r="S924" s="3486"/>
      <c r="T924" s="3486"/>
      <c r="U924" s="3486"/>
      <c r="V924" s="3486"/>
      <c r="W924" s="3486"/>
      <c r="X924" s="3486"/>
      <c r="Y924" s="3943"/>
    </row>
    <row r="925" spans="1:25" s="3492" customFormat="1">
      <c r="A925" s="3485"/>
      <c r="B925" s="3486"/>
      <c r="C925" s="3486"/>
      <c r="D925" s="3486"/>
      <c r="E925" s="3486"/>
      <c r="F925" s="3486"/>
      <c r="G925" s="3486"/>
      <c r="H925" s="3486"/>
      <c r="I925" s="3486"/>
      <c r="J925" s="3486"/>
      <c r="K925" s="3486"/>
      <c r="L925" s="3486"/>
      <c r="M925" s="3486"/>
      <c r="N925" s="3486"/>
      <c r="O925" s="3486"/>
      <c r="P925" s="3486"/>
      <c r="Q925" s="3486"/>
      <c r="R925" s="3486"/>
      <c r="S925" s="3486"/>
      <c r="T925" s="3486"/>
      <c r="U925" s="3486"/>
      <c r="V925" s="3486"/>
      <c r="W925" s="3486"/>
      <c r="X925" s="3486"/>
      <c r="Y925" s="3943"/>
    </row>
    <row r="926" spans="1:25" s="3492" customFormat="1">
      <c r="A926" s="3485"/>
      <c r="B926" s="3486"/>
      <c r="C926" s="3486"/>
      <c r="D926" s="3486"/>
      <c r="E926" s="3486"/>
      <c r="F926" s="3486"/>
      <c r="G926" s="3486"/>
      <c r="H926" s="3486"/>
      <c r="I926" s="3486"/>
      <c r="J926" s="3486"/>
      <c r="K926" s="3486"/>
      <c r="L926" s="3486"/>
      <c r="M926" s="3486"/>
      <c r="N926" s="3486"/>
      <c r="O926" s="3486"/>
      <c r="P926" s="3486"/>
      <c r="Q926" s="3486"/>
      <c r="R926" s="3486"/>
      <c r="S926" s="3486"/>
      <c r="T926" s="3486"/>
      <c r="U926" s="3486"/>
      <c r="V926" s="3486"/>
      <c r="W926" s="3486"/>
      <c r="X926" s="3486"/>
      <c r="Y926" s="3943"/>
    </row>
    <row r="927" spans="1:25" s="3492" customFormat="1">
      <c r="A927" s="3485"/>
      <c r="B927" s="3486"/>
      <c r="C927" s="3486"/>
      <c r="D927" s="3486"/>
      <c r="E927" s="3486"/>
      <c r="F927" s="3486"/>
      <c r="G927" s="3486"/>
      <c r="H927" s="3486"/>
      <c r="I927" s="3486"/>
      <c r="J927" s="3486"/>
      <c r="K927" s="3486"/>
      <c r="L927" s="3486"/>
      <c r="M927" s="3486"/>
      <c r="N927" s="3486"/>
      <c r="O927" s="3486"/>
      <c r="P927" s="3486"/>
      <c r="Q927" s="3486"/>
      <c r="R927" s="3486"/>
      <c r="S927" s="3486"/>
      <c r="T927" s="3486"/>
      <c r="U927" s="3486"/>
      <c r="V927" s="3486"/>
      <c r="W927" s="3486"/>
      <c r="X927" s="3486"/>
      <c r="Y927" s="3943"/>
    </row>
    <row r="928" spans="1:25" s="3492" customFormat="1">
      <c r="A928" s="3485"/>
      <c r="B928" s="3486"/>
      <c r="C928" s="3486"/>
      <c r="D928" s="3486"/>
      <c r="E928" s="3486"/>
      <c r="F928" s="3486"/>
      <c r="G928" s="3486"/>
      <c r="H928" s="3486"/>
      <c r="I928" s="3486"/>
      <c r="J928" s="3486"/>
      <c r="K928" s="3486"/>
      <c r="L928" s="3486"/>
      <c r="M928" s="3486"/>
      <c r="N928" s="3486"/>
      <c r="O928" s="3486"/>
      <c r="P928" s="3486"/>
      <c r="Q928" s="3486"/>
      <c r="R928" s="3486"/>
      <c r="S928" s="3486"/>
      <c r="T928" s="3486"/>
      <c r="U928" s="3486"/>
      <c r="V928" s="3486"/>
      <c r="W928" s="3486"/>
      <c r="X928" s="3486"/>
      <c r="Y928" s="3943"/>
    </row>
    <row r="929" spans="1:25" s="3492" customFormat="1">
      <c r="A929" s="3485"/>
      <c r="B929" s="3486"/>
      <c r="C929" s="3486"/>
      <c r="D929" s="3486"/>
      <c r="E929" s="3486"/>
      <c r="F929" s="3486"/>
      <c r="G929" s="3486"/>
      <c r="H929" s="3486"/>
      <c r="I929" s="3486"/>
      <c r="J929" s="3486"/>
      <c r="K929" s="3486"/>
      <c r="L929" s="3486"/>
      <c r="M929" s="3486"/>
      <c r="N929" s="3486"/>
      <c r="O929" s="3486"/>
      <c r="P929" s="3486"/>
      <c r="Q929" s="3486"/>
      <c r="R929" s="3486"/>
      <c r="S929" s="3486"/>
      <c r="T929" s="3486"/>
      <c r="U929" s="3486"/>
      <c r="V929" s="3486"/>
      <c r="W929" s="3486"/>
      <c r="X929" s="3486"/>
      <c r="Y929" s="3943"/>
    </row>
    <row r="930" spans="1:25" s="3492" customFormat="1">
      <c r="A930" s="3485"/>
      <c r="B930" s="3486"/>
      <c r="C930" s="3486"/>
      <c r="D930" s="3486"/>
      <c r="E930" s="3486"/>
      <c r="F930" s="3486"/>
      <c r="G930" s="3486"/>
      <c r="H930" s="3486"/>
      <c r="I930" s="3486"/>
      <c r="J930" s="3486"/>
      <c r="K930" s="3486"/>
      <c r="L930" s="3486"/>
      <c r="M930" s="3486"/>
      <c r="N930" s="3486"/>
      <c r="O930" s="3486"/>
      <c r="P930" s="3486"/>
      <c r="Q930" s="3486"/>
      <c r="R930" s="3486"/>
      <c r="S930" s="3486"/>
      <c r="T930" s="3486"/>
      <c r="U930" s="3486"/>
      <c r="V930" s="3486"/>
      <c r="W930" s="3486"/>
      <c r="X930" s="3486"/>
      <c r="Y930" s="3943"/>
    </row>
    <row r="931" spans="1:25" s="3492" customFormat="1">
      <c r="A931" s="3485"/>
      <c r="B931" s="3486"/>
      <c r="C931" s="3486"/>
      <c r="D931" s="3486"/>
      <c r="E931" s="3486"/>
      <c r="F931" s="3486"/>
      <c r="G931" s="3486"/>
      <c r="H931" s="3486"/>
      <c r="I931" s="3486"/>
      <c r="J931" s="3486"/>
      <c r="K931" s="3486"/>
      <c r="L931" s="3486"/>
      <c r="M931" s="3486"/>
      <c r="N931" s="3486"/>
      <c r="O931" s="3486"/>
      <c r="P931" s="3486"/>
      <c r="Q931" s="3486"/>
      <c r="R931" s="3486"/>
      <c r="S931" s="3486"/>
      <c r="T931" s="3486"/>
      <c r="U931" s="3486"/>
      <c r="V931" s="3486"/>
      <c r="W931" s="3486"/>
      <c r="X931" s="3486"/>
      <c r="Y931" s="3943"/>
    </row>
    <row r="932" spans="1:25" s="3492" customFormat="1">
      <c r="A932" s="3485"/>
      <c r="B932" s="3486"/>
      <c r="C932" s="3486"/>
      <c r="D932" s="3486"/>
      <c r="E932" s="3486"/>
      <c r="F932" s="3486"/>
      <c r="G932" s="3486"/>
      <c r="H932" s="3486"/>
      <c r="I932" s="3486"/>
      <c r="J932" s="3486"/>
      <c r="K932" s="3486"/>
      <c r="L932" s="3486"/>
      <c r="M932" s="3486"/>
      <c r="N932" s="3486"/>
      <c r="O932" s="3486"/>
      <c r="P932" s="3486"/>
      <c r="Q932" s="3486"/>
      <c r="R932" s="3486"/>
      <c r="S932" s="3486"/>
      <c r="T932" s="3486"/>
      <c r="U932" s="3486"/>
      <c r="V932" s="3486"/>
      <c r="W932" s="3486"/>
      <c r="X932" s="3486"/>
      <c r="Y932" s="3943"/>
    </row>
    <row r="933" spans="1:25" s="3492" customFormat="1">
      <c r="A933" s="3485"/>
      <c r="B933" s="3486"/>
      <c r="C933" s="3486"/>
      <c r="D933" s="3486"/>
      <c r="E933" s="3486"/>
      <c r="F933" s="3486"/>
      <c r="G933" s="3486"/>
      <c r="H933" s="3486"/>
      <c r="I933" s="3486"/>
      <c r="J933" s="3486"/>
      <c r="K933" s="3486"/>
      <c r="L933" s="3486"/>
      <c r="M933" s="3486"/>
      <c r="N933" s="3486"/>
      <c r="O933" s="3486"/>
      <c r="P933" s="3486"/>
      <c r="Q933" s="3486"/>
      <c r="R933" s="3486"/>
      <c r="S933" s="3486"/>
      <c r="T933" s="3486"/>
      <c r="U933" s="3486"/>
      <c r="V933" s="3486"/>
      <c r="W933" s="3486"/>
      <c r="X933" s="3486"/>
      <c r="Y933" s="3943"/>
    </row>
    <row r="934" spans="1:25" s="3492" customFormat="1">
      <c r="A934" s="3485"/>
      <c r="B934" s="3486"/>
      <c r="C934" s="3486"/>
      <c r="D934" s="3486"/>
      <c r="E934" s="3486"/>
      <c r="F934" s="3486"/>
      <c r="G934" s="3486"/>
      <c r="H934" s="3486"/>
      <c r="I934" s="3486"/>
      <c r="J934" s="3486"/>
      <c r="K934" s="3486"/>
      <c r="L934" s="3486"/>
      <c r="M934" s="3486"/>
      <c r="N934" s="3486"/>
      <c r="O934" s="3486"/>
      <c r="P934" s="3486"/>
      <c r="Q934" s="3486"/>
      <c r="R934" s="3486"/>
      <c r="S934" s="3486"/>
      <c r="T934" s="3486"/>
      <c r="U934" s="3486"/>
      <c r="V934" s="3486"/>
      <c r="W934" s="3486"/>
      <c r="X934" s="3486"/>
      <c r="Y934" s="3943"/>
    </row>
    <row r="935" spans="1:25" s="3492" customFormat="1">
      <c r="A935" s="3485"/>
      <c r="B935" s="3486"/>
      <c r="C935" s="3486"/>
      <c r="D935" s="3486"/>
      <c r="E935" s="3486"/>
      <c r="F935" s="3486"/>
      <c r="G935" s="3486"/>
      <c r="H935" s="3486"/>
      <c r="I935" s="3486"/>
      <c r="J935" s="3486"/>
      <c r="K935" s="3486"/>
      <c r="L935" s="3486"/>
      <c r="M935" s="3486"/>
      <c r="N935" s="3486"/>
      <c r="O935" s="3486"/>
      <c r="P935" s="3486"/>
      <c r="Q935" s="3486"/>
      <c r="R935" s="3486"/>
      <c r="S935" s="3486"/>
      <c r="T935" s="3486"/>
      <c r="U935" s="3486"/>
      <c r="V935" s="3486"/>
      <c r="W935" s="3486"/>
      <c r="X935" s="3486"/>
      <c r="Y935" s="3943"/>
    </row>
    <row r="936" spans="1:25" s="3492" customFormat="1">
      <c r="A936" s="3485"/>
      <c r="B936" s="3486"/>
      <c r="C936" s="3486"/>
      <c r="D936" s="3486"/>
      <c r="E936" s="3486"/>
      <c r="F936" s="3486"/>
      <c r="G936" s="3486"/>
      <c r="H936" s="3486"/>
      <c r="I936" s="3486"/>
      <c r="J936" s="3486"/>
      <c r="K936" s="3486"/>
      <c r="L936" s="3486"/>
      <c r="M936" s="3486"/>
      <c r="N936" s="3486"/>
      <c r="O936" s="3486"/>
      <c r="P936" s="3486"/>
      <c r="Q936" s="3486"/>
      <c r="R936" s="3486"/>
      <c r="S936" s="3486"/>
      <c r="T936" s="3486"/>
      <c r="U936" s="3486"/>
      <c r="V936" s="3486"/>
      <c r="W936" s="3486"/>
      <c r="X936" s="3486"/>
      <c r="Y936" s="3943"/>
    </row>
    <row r="937" spans="1:25" s="3492" customFormat="1">
      <c r="A937" s="3485"/>
      <c r="B937" s="3486"/>
      <c r="C937" s="3486"/>
      <c r="D937" s="3486"/>
      <c r="E937" s="3486"/>
      <c r="F937" s="3486"/>
      <c r="G937" s="3486"/>
      <c r="H937" s="3486"/>
      <c r="I937" s="3486"/>
      <c r="J937" s="3486"/>
      <c r="K937" s="3486"/>
      <c r="L937" s="3486"/>
      <c r="M937" s="3486"/>
      <c r="N937" s="3486"/>
      <c r="O937" s="3486"/>
      <c r="P937" s="3486"/>
      <c r="Q937" s="3486"/>
      <c r="R937" s="3486"/>
      <c r="S937" s="3486"/>
      <c r="T937" s="3486"/>
      <c r="U937" s="3486"/>
      <c r="V937" s="3486"/>
      <c r="W937" s="3486"/>
      <c r="X937" s="3486"/>
      <c r="Y937" s="3943"/>
    </row>
    <row r="938" spans="1:25" s="3492" customFormat="1">
      <c r="A938" s="3485"/>
      <c r="B938" s="3486"/>
      <c r="C938" s="3486"/>
      <c r="D938" s="3486"/>
      <c r="E938" s="3486"/>
      <c r="F938" s="3486"/>
      <c r="G938" s="3486"/>
      <c r="H938" s="3486"/>
      <c r="I938" s="3486"/>
      <c r="J938" s="3486"/>
      <c r="K938" s="3486"/>
      <c r="L938" s="3486"/>
      <c r="M938" s="3486"/>
      <c r="N938" s="3486"/>
      <c r="O938" s="3486"/>
      <c r="P938" s="3486"/>
      <c r="Q938" s="3486"/>
      <c r="R938" s="3486"/>
      <c r="S938" s="3486"/>
      <c r="T938" s="3486"/>
      <c r="U938" s="3486"/>
      <c r="V938" s="3486"/>
      <c r="W938" s="3486"/>
      <c r="X938" s="3486"/>
      <c r="Y938" s="3943"/>
    </row>
    <row r="939" spans="1:25" s="3492" customFormat="1">
      <c r="A939" s="3485"/>
      <c r="B939" s="3486"/>
      <c r="C939" s="3486"/>
      <c r="D939" s="3486"/>
      <c r="E939" s="3486"/>
      <c r="F939" s="3486"/>
      <c r="G939" s="3486"/>
      <c r="H939" s="3486"/>
      <c r="I939" s="3486"/>
      <c r="J939" s="3486"/>
      <c r="K939" s="3486"/>
      <c r="L939" s="3486"/>
      <c r="M939" s="3486"/>
      <c r="N939" s="3486"/>
      <c r="O939" s="3486"/>
      <c r="P939" s="3486"/>
      <c r="Q939" s="3486"/>
      <c r="R939" s="3486"/>
      <c r="S939" s="3486"/>
      <c r="T939" s="3486"/>
      <c r="U939" s="3486"/>
      <c r="V939" s="3486"/>
      <c r="W939" s="3486"/>
      <c r="X939" s="3486"/>
      <c r="Y939" s="3943"/>
    </row>
    <row r="940" spans="1:25" s="3492" customFormat="1">
      <c r="A940" s="3485"/>
      <c r="B940" s="3486"/>
      <c r="C940" s="3486"/>
      <c r="D940" s="3486"/>
      <c r="E940" s="3486"/>
      <c r="F940" s="3486"/>
      <c r="G940" s="3486"/>
      <c r="H940" s="3486"/>
      <c r="I940" s="3486"/>
      <c r="J940" s="3486"/>
      <c r="K940" s="3486"/>
      <c r="L940" s="3486"/>
      <c r="M940" s="3486"/>
      <c r="N940" s="3486"/>
      <c r="O940" s="3486"/>
      <c r="P940" s="3486"/>
      <c r="Q940" s="3486"/>
      <c r="R940" s="3486"/>
      <c r="S940" s="3486"/>
      <c r="T940" s="3486"/>
      <c r="U940" s="3486"/>
      <c r="V940" s="3486"/>
      <c r="W940" s="3486"/>
      <c r="X940" s="3486"/>
      <c r="Y940" s="3943"/>
    </row>
    <row r="941" spans="1:25" s="3492" customFormat="1">
      <c r="A941" s="3485"/>
      <c r="B941" s="3486"/>
      <c r="C941" s="3486"/>
      <c r="D941" s="3486"/>
      <c r="E941" s="3486"/>
      <c r="F941" s="3486"/>
      <c r="G941" s="3486"/>
      <c r="H941" s="3486"/>
      <c r="I941" s="3486"/>
      <c r="J941" s="3486"/>
      <c r="K941" s="3486"/>
      <c r="L941" s="3486"/>
      <c r="M941" s="3486"/>
      <c r="N941" s="3486"/>
      <c r="O941" s="3486"/>
      <c r="P941" s="3486"/>
      <c r="Q941" s="3486"/>
      <c r="R941" s="3486"/>
      <c r="S941" s="3486"/>
      <c r="T941" s="3486"/>
      <c r="U941" s="3486"/>
      <c r="V941" s="3486"/>
      <c r="W941" s="3486"/>
      <c r="X941" s="3486"/>
      <c r="Y941" s="3943"/>
    </row>
    <row r="942" spans="1:25" s="3492" customFormat="1">
      <c r="A942" s="3485"/>
      <c r="B942" s="3486"/>
      <c r="C942" s="3486"/>
      <c r="D942" s="3486"/>
      <c r="E942" s="3486"/>
      <c r="F942" s="3486"/>
      <c r="G942" s="3486"/>
      <c r="H942" s="3486"/>
      <c r="I942" s="3486"/>
      <c r="J942" s="3486"/>
      <c r="K942" s="3486"/>
      <c r="L942" s="3486"/>
      <c r="M942" s="3486"/>
      <c r="N942" s="3486"/>
      <c r="O942" s="3486"/>
      <c r="P942" s="3486"/>
      <c r="Q942" s="3486"/>
      <c r="R942" s="3486"/>
      <c r="S942" s="3486"/>
      <c r="T942" s="3486"/>
      <c r="U942" s="3486"/>
      <c r="V942" s="3486"/>
      <c r="W942" s="3486"/>
      <c r="X942" s="3486"/>
      <c r="Y942" s="3943"/>
    </row>
    <row r="943" spans="1:25" s="3492" customFormat="1">
      <c r="A943" s="3485"/>
      <c r="B943" s="3486"/>
      <c r="C943" s="3486"/>
      <c r="D943" s="3486"/>
      <c r="E943" s="3486"/>
      <c r="F943" s="3486"/>
      <c r="G943" s="3486"/>
      <c r="H943" s="3486"/>
      <c r="I943" s="3486"/>
      <c r="J943" s="3486"/>
      <c r="K943" s="3486"/>
      <c r="L943" s="3486"/>
      <c r="M943" s="3486"/>
      <c r="N943" s="3486"/>
      <c r="O943" s="3486"/>
      <c r="P943" s="3486"/>
      <c r="Q943" s="3486"/>
      <c r="R943" s="3486"/>
      <c r="S943" s="3486"/>
      <c r="T943" s="3486"/>
      <c r="U943" s="3486"/>
      <c r="V943" s="3486"/>
      <c r="W943" s="3486"/>
      <c r="X943" s="3486"/>
      <c r="Y943" s="3943"/>
    </row>
    <row r="944" spans="1:25" s="3492" customFormat="1">
      <c r="A944" s="3485"/>
      <c r="B944" s="3486"/>
      <c r="C944" s="3486"/>
      <c r="D944" s="3486"/>
      <c r="E944" s="3486"/>
      <c r="F944" s="3486"/>
      <c r="G944" s="3486"/>
      <c r="H944" s="3486"/>
      <c r="I944" s="3486"/>
      <c r="J944" s="3486"/>
      <c r="K944" s="3486"/>
      <c r="L944" s="3486"/>
      <c r="M944" s="3486"/>
      <c r="N944" s="3486"/>
      <c r="O944" s="3486"/>
      <c r="P944" s="3486"/>
      <c r="Q944" s="3486"/>
      <c r="R944" s="3486"/>
      <c r="S944" s="3486"/>
      <c r="T944" s="3486"/>
      <c r="U944" s="3486"/>
      <c r="V944" s="3486"/>
      <c r="W944" s="3486"/>
      <c r="X944" s="3486"/>
      <c r="Y944" s="3943"/>
    </row>
    <row r="945" spans="1:25" s="3492" customFormat="1">
      <c r="A945" s="3485"/>
      <c r="B945" s="3486"/>
      <c r="C945" s="3486"/>
      <c r="D945" s="3486"/>
      <c r="E945" s="3486"/>
      <c r="F945" s="3486"/>
      <c r="G945" s="3486"/>
      <c r="H945" s="3486"/>
      <c r="I945" s="3486"/>
      <c r="J945" s="3486"/>
      <c r="K945" s="3486"/>
      <c r="L945" s="3486"/>
      <c r="M945" s="3486"/>
      <c r="N945" s="3486"/>
      <c r="O945" s="3486"/>
      <c r="P945" s="3486"/>
      <c r="Q945" s="3486"/>
      <c r="R945" s="3486"/>
      <c r="S945" s="3486"/>
      <c r="T945" s="3486"/>
      <c r="U945" s="3486"/>
      <c r="V945" s="3486"/>
      <c r="W945" s="3486"/>
      <c r="X945" s="3486"/>
      <c r="Y945" s="3943"/>
    </row>
    <row r="946" spans="1:25" s="3492" customFormat="1">
      <c r="A946" s="3485"/>
      <c r="B946" s="3486"/>
      <c r="C946" s="3486"/>
      <c r="D946" s="3486"/>
      <c r="E946" s="3486"/>
      <c r="F946" s="3486"/>
      <c r="G946" s="3486"/>
      <c r="H946" s="3486"/>
      <c r="I946" s="3486"/>
      <c r="J946" s="3486"/>
      <c r="K946" s="3486"/>
      <c r="L946" s="3486"/>
      <c r="M946" s="3486"/>
      <c r="N946" s="3486"/>
      <c r="O946" s="3486"/>
      <c r="P946" s="3486"/>
      <c r="Q946" s="3486"/>
      <c r="R946" s="3486"/>
      <c r="S946" s="3486"/>
      <c r="T946" s="3486"/>
      <c r="U946" s="3486"/>
      <c r="V946" s="3486"/>
      <c r="W946" s="3486"/>
      <c r="X946" s="3486"/>
      <c r="Y946" s="3943"/>
    </row>
    <row r="947" spans="1:25" s="3492" customFormat="1">
      <c r="A947" s="3485"/>
      <c r="B947" s="3486"/>
      <c r="C947" s="3486"/>
      <c r="D947" s="3486"/>
      <c r="E947" s="3486"/>
      <c r="F947" s="3486"/>
      <c r="G947" s="3486"/>
      <c r="H947" s="3486"/>
      <c r="I947" s="3486"/>
      <c r="J947" s="3486"/>
      <c r="K947" s="3486"/>
      <c r="L947" s="3486"/>
      <c r="M947" s="3486"/>
      <c r="N947" s="3486"/>
      <c r="O947" s="3486"/>
      <c r="P947" s="3486"/>
      <c r="Q947" s="3486"/>
      <c r="R947" s="3486"/>
      <c r="S947" s="3486"/>
      <c r="T947" s="3486"/>
      <c r="U947" s="3486"/>
      <c r="V947" s="3486"/>
      <c r="W947" s="3486"/>
      <c r="X947" s="3486"/>
      <c r="Y947" s="3943"/>
    </row>
    <row r="948" spans="1:25" s="3492" customFormat="1">
      <c r="A948" s="3485"/>
      <c r="B948" s="3486"/>
      <c r="C948" s="3486"/>
      <c r="D948" s="3486"/>
      <c r="E948" s="3486"/>
      <c r="F948" s="3486"/>
      <c r="G948" s="3486"/>
      <c r="H948" s="3486"/>
      <c r="I948" s="3486"/>
      <c r="J948" s="3486"/>
      <c r="K948" s="3486"/>
      <c r="L948" s="3486"/>
      <c r="M948" s="3486"/>
      <c r="N948" s="3486"/>
      <c r="O948" s="3486"/>
      <c r="P948" s="3486"/>
      <c r="Q948" s="3486"/>
      <c r="R948" s="3486"/>
      <c r="S948" s="3486"/>
      <c r="T948" s="3486"/>
      <c r="U948" s="3486"/>
      <c r="V948" s="3486"/>
      <c r="W948" s="3486"/>
      <c r="X948" s="3486"/>
      <c r="Y948" s="3943"/>
    </row>
    <row r="949" spans="1:25" s="3492" customFormat="1">
      <c r="A949" s="3485"/>
      <c r="B949" s="3486"/>
      <c r="C949" s="3486"/>
      <c r="D949" s="3486"/>
      <c r="E949" s="3486"/>
      <c r="F949" s="3486"/>
      <c r="G949" s="3486"/>
      <c r="H949" s="3486"/>
      <c r="I949" s="3486"/>
      <c r="J949" s="3486"/>
      <c r="K949" s="3486"/>
      <c r="L949" s="3486"/>
      <c r="M949" s="3486"/>
      <c r="N949" s="3486"/>
      <c r="O949" s="3486"/>
      <c r="P949" s="3486"/>
      <c r="Q949" s="3486"/>
      <c r="R949" s="3486"/>
      <c r="S949" s="3486"/>
      <c r="T949" s="3486"/>
      <c r="U949" s="3486"/>
      <c r="V949" s="3486"/>
      <c r="W949" s="3486"/>
      <c r="X949" s="3486"/>
      <c r="Y949" s="3943"/>
    </row>
    <row r="950" spans="1:25" s="3492" customFormat="1">
      <c r="A950" s="3485"/>
      <c r="B950" s="3486"/>
      <c r="C950" s="3486"/>
      <c r="D950" s="3486"/>
      <c r="E950" s="3486"/>
      <c r="F950" s="3486"/>
      <c r="G950" s="3486"/>
      <c r="H950" s="3486"/>
      <c r="I950" s="3486"/>
      <c r="J950" s="3486"/>
      <c r="K950" s="3486"/>
      <c r="L950" s="3486"/>
      <c r="M950" s="3486"/>
      <c r="N950" s="3486"/>
      <c r="O950" s="3486"/>
      <c r="P950" s="3486"/>
      <c r="Q950" s="3486"/>
      <c r="R950" s="3486"/>
      <c r="S950" s="3486"/>
      <c r="T950" s="3486"/>
      <c r="U950" s="3486"/>
      <c r="V950" s="3486"/>
      <c r="W950" s="3486"/>
      <c r="X950" s="3486"/>
      <c r="Y950" s="3943"/>
    </row>
    <row r="951" spans="1:25" s="3492" customFormat="1">
      <c r="A951" s="3485"/>
      <c r="B951" s="3486"/>
      <c r="C951" s="3486"/>
      <c r="D951" s="3486"/>
      <c r="E951" s="3486"/>
      <c r="F951" s="3486"/>
      <c r="G951" s="3486"/>
      <c r="H951" s="3486"/>
      <c r="I951" s="3486"/>
      <c r="J951" s="3486"/>
      <c r="K951" s="3486"/>
      <c r="L951" s="3486"/>
      <c r="M951" s="3486"/>
      <c r="N951" s="3486"/>
      <c r="O951" s="3486"/>
      <c r="P951" s="3486"/>
      <c r="Q951" s="3486"/>
      <c r="R951" s="3486"/>
      <c r="S951" s="3486"/>
      <c r="T951" s="3486"/>
      <c r="U951" s="3486"/>
      <c r="V951" s="3486"/>
      <c r="W951" s="3486"/>
      <c r="X951" s="3486"/>
      <c r="Y951" s="3943"/>
    </row>
    <row r="952" spans="1:25" s="3492" customFormat="1">
      <c r="A952" s="3485"/>
      <c r="B952" s="3486"/>
      <c r="C952" s="3486"/>
      <c r="D952" s="3486"/>
      <c r="E952" s="3486"/>
      <c r="F952" s="3486"/>
      <c r="G952" s="3486"/>
      <c r="H952" s="3486"/>
      <c r="I952" s="3486"/>
      <c r="J952" s="3486"/>
      <c r="K952" s="3486"/>
      <c r="L952" s="3486"/>
      <c r="M952" s="3486"/>
      <c r="N952" s="3486"/>
      <c r="O952" s="3486"/>
      <c r="P952" s="3486"/>
      <c r="Q952" s="3486"/>
      <c r="R952" s="3486"/>
      <c r="S952" s="3486"/>
      <c r="T952" s="3486"/>
      <c r="U952" s="3486"/>
      <c r="V952" s="3486"/>
      <c r="W952" s="3486"/>
      <c r="X952" s="3486"/>
      <c r="Y952" s="3943"/>
    </row>
    <row r="953" spans="1:25" s="3492" customFormat="1">
      <c r="A953" s="3485"/>
      <c r="B953" s="3486"/>
      <c r="C953" s="3486"/>
      <c r="D953" s="3486"/>
      <c r="E953" s="3486"/>
      <c r="F953" s="3486"/>
      <c r="G953" s="3486"/>
      <c r="H953" s="3486"/>
      <c r="I953" s="3486"/>
      <c r="J953" s="3486"/>
      <c r="K953" s="3486"/>
      <c r="L953" s="3486"/>
      <c r="M953" s="3486"/>
      <c r="N953" s="3486"/>
      <c r="O953" s="3486"/>
      <c r="P953" s="3486"/>
      <c r="Q953" s="3486"/>
      <c r="R953" s="3486"/>
      <c r="S953" s="3486"/>
      <c r="T953" s="3486"/>
      <c r="U953" s="3486"/>
      <c r="V953" s="3486"/>
      <c r="W953" s="3486"/>
      <c r="X953" s="3486"/>
      <c r="Y953" s="3943"/>
    </row>
    <row r="954" spans="1:25" s="3492" customFormat="1">
      <c r="A954" s="3485"/>
      <c r="B954" s="3486"/>
      <c r="C954" s="3486"/>
      <c r="D954" s="3486"/>
      <c r="E954" s="3486"/>
      <c r="F954" s="3486"/>
      <c r="G954" s="3486"/>
      <c r="H954" s="3486"/>
      <c r="I954" s="3486"/>
      <c r="J954" s="3486"/>
      <c r="K954" s="3486"/>
      <c r="L954" s="3486"/>
      <c r="M954" s="3486"/>
      <c r="N954" s="3486"/>
      <c r="O954" s="3486"/>
      <c r="P954" s="3486"/>
      <c r="Q954" s="3486"/>
      <c r="R954" s="3486"/>
      <c r="S954" s="3486"/>
      <c r="T954" s="3486"/>
      <c r="U954" s="3486"/>
      <c r="V954" s="3486"/>
      <c r="W954" s="3486"/>
      <c r="X954" s="3486"/>
      <c r="Y954" s="3943"/>
    </row>
    <row r="955" spans="1:25" s="3492" customFormat="1">
      <c r="A955" s="3485"/>
      <c r="B955" s="3486"/>
      <c r="C955" s="3486"/>
      <c r="D955" s="3486"/>
      <c r="E955" s="3486"/>
      <c r="F955" s="3486"/>
      <c r="G955" s="3486"/>
      <c r="H955" s="3486"/>
      <c r="I955" s="3486"/>
      <c r="J955" s="3486"/>
      <c r="K955" s="3486"/>
      <c r="L955" s="3486"/>
      <c r="M955" s="3486"/>
      <c r="N955" s="3486"/>
      <c r="O955" s="3486"/>
      <c r="P955" s="3486"/>
      <c r="Q955" s="3486"/>
      <c r="R955" s="3486"/>
      <c r="S955" s="3486"/>
      <c r="T955" s="3486"/>
      <c r="U955" s="3486"/>
      <c r="V955" s="3486"/>
      <c r="W955" s="3486"/>
      <c r="X955" s="3486"/>
      <c r="Y955" s="3943"/>
    </row>
    <row r="956" spans="1:25" s="3492" customFormat="1">
      <c r="A956" s="3485"/>
      <c r="B956" s="3486"/>
      <c r="C956" s="3486"/>
      <c r="D956" s="3486"/>
      <c r="E956" s="3486"/>
      <c r="F956" s="3486"/>
      <c r="G956" s="3486"/>
      <c r="H956" s="3486"/>
      <c r="I956" s="3486"/>
      <c r="J956" s="3486"/>
      <c r="K956" s="3486"/>
      <c r="L956" s="3486"/>
      <c r="M956" s="3486"/>
      <c r="N956" s="3486"/>
      <c r="O956" s="3486"/>
      <c r="P956" s="3486"/>
      <c r="Q956" s="3486"/>
      <c r="R956" s="3486"/>
      <c r="S956" s="3486"/>
      <c r="T956" s="3486"/>
      <c r="U956" s="3486"/>
      <c r="V956" s="3486"/>
      <c r="W956" s="3486"/>
      <c r="X956" s="3486"/>
      <c r="Y956" s="3943"/>
    </row>
    <row r="957" spans="1:25" s="3492" customFormat="1">
      <c r="A957" s="3485"/>
      <c r="B957" s="3486"/>
      <c r="C957" s="3486"/>
      <c r="D957" s="3486"/>
      <c r="E957" s="3486"/>
      <c r="F957" s="3486"/>
      <c r="G957" s="3486"/>
      <c r="H957" s="3486"/>
      <c r="I957" s="3486"/>
      <c r="J957" s="3486"/>
      <c r="K957" s="3486"/>
      <c r="L957" s="3486"/>
      <c r="M957" s="3486"/>
      <c r="N957" s="3486"/>
      <c r="O957" s="3486"/>
      <c r="P957" s="3486"/>
      <c r="Q957" s="3486"/>
      <c r="R957" s="3486"/>
      <c r="S957" s="3486"/>
      <c r="T957" s="3486"/>
      <c r="U957" s="3486"/>
      <c r="V957" s="3486"/>
      <c r="W957" s="3486"/>
      <c r="X957" s="3486"/>
      <c r="Y957" s="3943"/>
    </row>
    <row r="958" spans="1:25" s="3492" customFormat="1">
      <c r="A958" s="3485"/>
      <c r="B958" s="3486"/>
      <c r="C958" s="3486"/>
      <c r="D958" s="3486"/>
      <c r="E958" s="3486"/>
      <c r="F958" s="3486"/>
      <c r="G958" s="3486"/>
      <c r="H958" s="3486"/>
      <c r="I958" s="3486"/>
      <c r="J958" s="3486"/>
      <c r="K958" s="3486"/>
      <c r="L958" s="3486"/>
      <c r="M958" s="3486"/>
      <c r="N958" s="3486"/>
      <c r="O958" s="3486"/>
      <c r="P958" s="3486"/>
      <c r="Q958" s="3486"/>
      <c r="R958" s="3486"/>
      <c r="S958" s="3486"/>
      <c r="T958" s="3486"/>
      <c r="U958" s="3486"/>
      <c r="V958" s="3486"/>
      <c r="W958" s="3486"/>
      <c r="X958" s="3486"/>
      <c r="Y958" s="3943"/>
    </row>
    <row r="959" spans="1:25" s="3492" customFormat="1">
      <c r="A959" s="3485"/>
      <c r="B959" s="3486"/>
      <c r="C959" s="3486"/>
      <c r="D959" s="3486"/>
      <c r="E959" s="3486"/>
      <c r="F959" s="3486"/>
      <c r="G959" s="3486"/>
      <c r="H959" s="3486"/>
      <c r="I959" s="3486"/>
      <c r="J959" s="3486"/>
      <c r="K959" s="3486"/>
      <c r="L959" s="3486"/>
      <c r="M959" s="3486"/>
      <c r="N959" s="3486"/>
      <c r="O959" s="3486"/>
      <c r="P959" s="3486"/>
      <c r="Q959" s="3486"/>
      <c r="R959" s="3486"/>
      <c r="S959" s="3486"/>
      <c r="T959" s="3486"/>
      <c r="U959" s="3486"/>
      <c r="V959" s="3486"/>
      <c r="W959" s="3486"/>
      <c r="X959" s="3486"/>
      <c r="Y959" s="3943"/>
    </row>
    <row r="960" spans="1:25" s="3492" customFormat="1">
      <c r="A960" s="3485"/>
      <c r="B960" s="3486"/>
      <c r="C960" s="3486"/>
      <c r="D960" s="3486"/>
      <c r="E960" s="3486"/>
      <c r="F960" s="3486"/>
      <c r="G960" s="3486"/>
      <c r="H960" s="3486"/>
      <c r="I960" s="3486"/>
      <c r="J960" s="3486"/>
      <c r="K960" s="3486"/>
      <c r="L960" s="3486"/>
      <c r="M960" s="3486"/>
      <c r="N960" s="3486"/>
      <c r="O960" s="3486"/>
      <c r="P960" s="3486"/>
      <c r="Q960" s="3486"/>
      <c r="R960" s="3486"/>
      <c r="S960" s="3486"/>
      <c r="T960" s="3486"/>
      <c r="U960" s="3486"/>
      <c r="V960" s="3486"/>
      <c r="W960" s="3486"/>
      <c r="X960" s="3486"/>
      <c r="Y960" s="3943"/>
    </row>
    <row r="961" spans="1:25" s="3492" customFormat="1">
      <c r="A961" s="3485"/>
      <c r="B961" s="3486"/>
      <c r="C961" s="3486"/>
      <c r="D961" s="3486"/>
      <c r="E961" s="3486"/>
      <c r="F961" s="3486"/>
      <c r="G961" s="3486"/>
      <c r="H961" s="3486"/>
      <c r="I961" s="3486"/>
      <c r="J961" s="3486"/>
      <c r="K961" s="3486"/>
      <c r="L961" s="3486"/>
      <c r="M961" s="3486"/>
      <c r="N961" s="3486"/>
      <c r="O961" s="3486"/>
      <c r="P961" s="3486"/>
      <c r="Q961" s="3486"/>
      <c r="R961" s="3486"/>
      <c r="S961" s="3486"/>
      <c r="T961" s="3486"/>
      <c r="U961" s="3486"/>
      <c r="V961" s="3486"/>
      <c r="W961" s="3486"/>
      <c r="X961" s="3486"/>
      <c r="Y961" s="3943"/>
    </row>
    <row r="962" spans="1:25" s="3492" customFormat="1">
      <c r="A962" s="3485"/>
      <c r="B962" s="3486"/>
      <c r="C962" s="3486"/>
      <c r="D962" s="3486"/>
      <c r="E962" s="3486"/>
      <c r="F962" s="3486"/>
      <c r="G962" s="3486"/>
      <c r="H962" s="3486"/>
      <c r="I962" s="3486"/>
      <c r="J962" s="3486"/>
      <c r="K962" s="3486"/>
      <c r="L962" s="3486"/>
      <c r="M962" s="3486"/>
      <c r="N962" s="3486"/>
      <c r="O962" s="3486"/>
      <c r="P962" s="3486"/>
      <c r="Q962" s="3486"/>
      <c r="R962" s="3486"/>
      <c r="S962" s="3486"/>
      <c r="T962" s="3486"/>
      <c r="U962" s="3486"/>
      <c r="V962" s="3486"/>
      <c r="W962" s="3486"/>
      <c r="X962" s="3486"/>
      <c r="Y962" s="3943"/>
    </row>
    <row r="963" spans="1:25" s="3492" customFormat="1">
      <c r="A963" s="3485"/>
      <c r="B963" s="3486"/>
      <c r="C963" s="3486"/>
      <c r="D963" s="3486"/>
      <c r="E963" s="3486"/>
      <c r="F963" s="3486"/>
      <c r="G963" s="3486"/>
      <c r="H963" s="3486"/>
      <c r="I963" s="3486"/>
      <c r="J963" s="3486"/>
      <c r="K963" s="3486"/>
      <c r="L963" s="3486"/>
      <c r="M963" s="3486"/>
      <c r="N963" s="3486"/>
      <c r="O963" s="3486"/>
      <c r="P963" s="3486"/>
      <c r="Q963" s="3486"/>
      <c r="R963" s="3486"/>
      <c r="S963" s="3486"/>
      <c r="T963" s="3486"/>
      <c r="U963" s="3486"/>
      <c r="V963" s="3486"/>
      <c r="W963" s="3486"/>
      <c r="X963" s="3486"/>
      <c r="Y963" s="3943"/>
    </row>
    <row r="964" spans="1:25" s="3492" customFormat="1">
      <c r="A964" s="3485"/>
      <c r="B964" s="3486"/>
      <c r="C964" s="3486"/>
      <c r="D964" s="3486"/>
      <c r="E964" s="3486"/>
      <c r="F964" s="3486"/>
      <c r="G964" s="3486"/>
      <c r="H964" s="3486"/>
      <c r="I964" s="3486"/>
      <c r="J964" s="3486"/>
      <c r="K964" s="3486"/>
      <c r="L964" s="3486"/>
      <c r="M964" s="3486"/>
      <c r="N964" s="3486"/>
      <c r="O964" s="3486"/>
      <c r="P964" s="3486"/>
      <c r="Q964" s="3486"/>
      <c r="R964" s="3486"/>
      <c r="S964" s="3486"/>
      <c r="T964" s="3486"/>
      <c r="U964" s="3486"/>
      <c r="V964" s="3486"/>
      <c r="W964" s="3486"/>
      <c r="X964" s="3486"/>
      <c r="Y964" s="3943"/>
    </row>
    <row r="965" spans="1:25" s="3492" customFormat="1">
      <c r="A965" s="3485"/>
      <c r="B965" s="3486"/>
      <c r="C965" s="3486"/>
      <c r="D965" s="3486"/>
      <c r="E965" s="3486"/>
      <c r="F965" s="3486"/>
      <c r="G965" s="3486"/>
      <c r="H965" s="3486"/>
      <c r="I965" s="3486"/>
      <c r="J965" s="3486"/>
      <c r="K965" s="3486"/>
      <c r="L965" s="3486"/>
      <c r="M965" s="3486"/>
      <c r="N965" s="3486"/>
      <c r="O965" s="3486"/>
      <c r="P965" s="3486"/>
      <c r="Q965" s="3486"/>
      <c r="R965" s="3486"/>
      <c r="S965" s="3486"/>
      <c r="T965" s="3486"/>
      <c r="U965" s="3486"/>
      <c r="V965" s="3486"/>
      <c r="W965" s="3486"/>
      <c r="X965" s="3486"/>
      <c r="Y965" s="3943"/>
    </row>
    <row r="966" spans="1:25" s="3492" customFormat="1">
      <c r="A966" s="3485"/>
      <c r="B966" s="3486"/>
      <c r="C966" s="3486"/>
      <c r="D966" s="3486"/>
      <c r="E966" s="3486"/>
      <c r="F966" s="3486"/>
      <c r="G966" s="3486"/>
      <c r="H966" s="3486"/>
      <c r="I966" s="3486"/>
      <c r="J966" s="3486"/>
      <c r="K966" s="3486"/>
      <c r="L966" s="3486"/>
      <c r="M966" s="3486"/>
      <c r="N966" s="3486"/>
      <c r="O966" s="3486"/>
      <c r="P966" s="3486"/>
      <c r="Q966" s="3486"/>
      <c r="R966" s="3486"/>
      <c r="S966" s="3486"/>
      <c r="T966" s="3486"/>
      <c r="U966" s="3486"/>
      <c r="V966" s="3486"/>
      <c r="W966" s="3486"/>
      <c r="X966" s="3486"/>
      <c r="Y966" s="3943"/>
    </row>
    <row r="967" spans="1:25" s="3492" customFormat="1">
      <c r="A967" s="3485"/>
      <c r="B967" s="3486"/>
      <c r="C967" s="3486"/>
      <c r="D967" s="3486"/>
      <c r="E967" s="3486"/>
      <c r="F967" s="3486"/>
      <c r="G967" s="3486"/>
      <c r="H967" s="3486"/>
      <c r="I967" s="3486"/>
      <c r="J967" s="3486"/>
      <c r="K967" s="3486"/>
      <c r="L967" s="3486"/>
      <c r="M967" s="3486"/>
      <c r="N967" s="3486"/>
      <c r="O967" s="3486"/>
      <c r="P967" s="3486"/>
      <c r="Q967" s="3486"/>
      <c r="R967" s="3486"/>
      <c r="S967" s="3486"/>
      <c r="T967" s="3486"/>
      <c r="U967" s="3486"/>
      <c r="V967" s="3486"/>
      <c r="W967" s="3486"/>
      <c r="X967" s="3486"/>
      <c r="Y967" s="3943"/>
    </row>
    <row r="968" spans="1:25" s="3492" customFormat="1">
      <c r="A968" s="3485"/>
      <c r="B968" s="3486"/>
      <c r="C968" s="3486"/>
      <c r="D968" s="3486"/>
      <c r="E968" s="3486"/>
      <c r="F968" s="3486"/>
      <c r="G968" s="3486"/>
      <c r="H968" s="3486"/>
      <c r="I968" s="3486"/>
      <c r="J968" s="3486"/>
      <c r="K968" s="3486"/>
      <c r="L968" s="3486"/>
      <c r="M968" s="3486"/>
      <c r="N968" s="3486"/>
      <c r="O968" s="3486"/>
      <c r="P968" s="3486"/>
      <c r="Q968" s="3486"/>
      <c r="R968" s="3486"/>
      <c r="S968" s="3486"/>
      <c r="T968" s="3486"/>
      <c r="U968" s="3486"/>
      <c r="V968" s="3486"/>
      <c r="W968" s="3486"/>
      <c r="X968" s="3486"/>
      <c r="Y968" s="3943"/>
    </row>
    <row r="969" spans="1:25" s="3492" customFormat="1">
      <c r="A969" s="3485"/>
      <c r="B969" s="3486"/>
      <c r="C969" s="3486"/>
      <c r="D969" s="3486"/>
      <c r="E969" s="3486"/>
      <c r="F969" s="3486"/>
      <c r="G969" s="3486"/>
      <c r="H969" s="3486"/>
      <c r="I969" s="3486"/>
      <c r="J969" s="3486"/>
      <c r="K969" s="3486"/>
      <c r="L969" s="3486"/>
      <c r="M969" s="3486"/>
      <c r="N969" s="3486"/>
      <c r="O969" s="3486"/>
      <c r="P969" s="3486"/>
      <c r="Q969" s="3486"/>
      <c r="R969" s="3486"/>
      <c r="S969" s="3486"/>
      <c r="T969" s="3486"/>
      <c r="U969" s="3486"/>
      <c r="V969" s="3486"/>
      <c r="W969" s="3486"/>
      <c r="X969" s="3486"/>
      <c r="Y969" s="3943"/>
    </row>
    <row r="970" spans="1:25" s="3492" customFormat="1">
      <c r="A970" s="3485"/>
      <c r="B970" s="3486"/>
      <c r="C970" s="3486"/>
      <c r="D970" s="3486"/>
      <c r="E970" s="3486"/>
      <c r="F970" s="3486"/>
      <c r="G970" s="3486"/>
      <c r="H970" s="3486"/>
      <c r="I970" s="3486"/>
      <c r="J970" s="3486"/>
      <c r="K970" s="3486"/>
      <c r="L970" s="3486"/>
      <c r="M970" s="3486"/>
      <c r="N970" s="3486"/>
      <c r="O970" s="3486"/>
      <c r="P970" s="3486"/>
      <c r="Q970" s="3486"/>
      <c r="R970" s="3486"/>
      <c r="S970" s="3486"/>
      <c r="T970" s="3486"/>
      <c r="U970" s="3486"/>
      <c r="V970" s="3486"/>
      <c r="W970" s="3486"/>
      <c r="X970" s="3486"/>
      <c r="Y970" s="3943"/>
    </row>
    <row r="971" spans="1:25" s="3492" customFormat="1">
      <c r="A971" s="3485"/>
      <c r="B971" s="3486"/>
      <c r="C971" s="3486"/>
      <c r="D971" s="3486"/>
      <c r="E971" s="3486"/>
      <c r="F971" s="3486"/>
      <c r="G971" s="3486"/>
      <c r="H971" s="3486"/>
      <c r="I971" s="3486"/>
      <c r="J971" s="3486"/>
      <c r="K971" s="3486"/>
      <c r="L971" s="3486"/>
      <c r="M971" s="3486"/>
      <c r="N971" s="3486"/>
      <c r="O971" s="3486"/>
      <c r="P971" s="3486"/>
      <c r="Q971" s="3486"/>
      <c r="R971" s="3486"/>
      <c r="S971" s="3486"/>
      <c r="T971" s="3486"/>
      <c r="U971" s="3486"/>
      <c r="V971" s="3486"/>
      <c r="W971" s="3486"/>
      <c r="X971" s="3486"/>
      <c r="Y971" s="3943"/>
    </row>
    <row r="972" spans="1:25" s="3492" customFormat="1">
      <c r="A972" s="3485"/>
      <c r="B972" s="3486"/>
      <c r="C972" s="3486"/>
      <c r="D972" s="3486"/>
      <c r="E972" s="3486"/>
      <c r="F972" s="3486"/>
      <c r="G972" s="3486"/>
      <c r="H972" s="3486"/>
      <c r="I972" s="3486"/>
      <c r="J972" s="3486"/>
      <c r="K972" s="3486"/>
      <c r="L972" s="3486"/>
      <c r="M972" s="3486"/>
      <c r="N972" s="3486"/>
      <c r="O972" s="3486"/>
      <c r="P972" s="3486"/>
      <c r="Q972" s="3486"/>
      <c r="R972" s="3486"/>
      <c r="S972" s="3486"/>
      <c r="T972" s="3486"/>
      <c r="U972" s="3486"/>
      <c r="V972" s="3486"/>
      <c r="W972" s="3486"/>
      <c r="X972" s="3486"/>
      <c r="Y972" s="3943"/>
    </row>
    <row r="973" spans="1:25" s="3492" customFormat="1">
      <c r="A973" s="3485"/>
      <c r="B973" s="3486"/>
      <c r="C973" s="3486"/>
      <c r="D973" s="3486"/>
      <c r="E973" s="3486"/>
      <c r="F973" s="3486"/>
      <c r="G973" s="3486"/>
      <c r="H973" s="3486"/>
      <c r="I973" s="3486"/>
      <c r="J973" s="3486"/>
      <c r="K973" s="3486"/>
      <c r="L973" s="3486"/>
      <c r="M973" s="3486"/>
      <c r="N973" s="3486"/>
      <c r="O973" s="3486"/>
      <c r="P973" s="3486"/>
      <c r="Q973" s="3486"/>
      <c r="R973" s="3486"/>
      <c r="S973" s="3486"/>
      <c r="T973" s="3486"/>
      <c r="U973" s="3486"/>
      <c r="V973" s="3486"/>
      <c r="W973" s="3486"/>
      <c r="X973" s="3486"/>
      <c r="Y973" s="3943"/>
    </row>
    <row r="974" spans="1:25" s="3492" customFormat="1">
      <c r="A974" s="3485"/>
      <c r="B974" s="3486"/>
      <c r="C974" s="3486"/>
      <c r="D974" s="3486"/>
      <c r="E974" s="3486"/>
      <c r="F974" s="3486"/>
      <c r="G974" s="3486"/>
      <c r="H974" s="3486"/>
      <c r="I974" s="3486"/>
      <c r="J974" s="3486"/>
      <c r="K974" s="3486"/>
      <c r="L974" s="3486"/>
      <c r="M974" s="3486"/>
      <c r="N974" s="3486"/>
      <c r="O974" s="3486"/>
      <c r="P974" s="3486"/>
      <c r="Q974" s="3486"/>
      <c r="R974" s="3486"/>
      <c r="S974" s="3486"/>
      <c r="T974" s="3486"/>
      <c r="U974" s="3486"/>
      <c r="V974" s="3486"/>
      <c r="W974" s="3486"/>
      <c r="X974" s="3486"/>
      <c r="Y974" s="3943"/>
    </row>
    <row r="975" spans="1:25" s="3492" customFormat="1">
      <c r="A975" s="3485"/>
      <c r="B975" s="3486"/>
      <c r="C975" s="3486"/>
      <c r="D975" s="3486"/>
      <c r="E975" s="3486"/>
      <c r="F975" s="3486"/>
      <c r="G975" s="3486"/>
      <c r="H975" s="3486"/>
      <c r="I975" s="3486"/>
      <c r="J975" s="3486"/>
      <c r="K975" s="3486"/>
      <c r="L975" s="3486"/>
      <c r="M975" s="3486"/>
      <c r="N975" s="3486"/>
      <c r="O975" s="3486"/>
      <c r="P975" s="3486"/>
      <c r="Q975" s="3486"/>
      <c r="R975" s="3486"/>
      <c r="S975" s="3486"/>
      <c r="T975" s="3486"/>
      <c r="U975" s="3486"/>
      <c r="V975" s="3486"/>
      <c r="W975" s="3486"/>
      <c r="X975" s="3486"/>
      <c r="Y975" s="3943"/>
    </row>
    <row r="976" spans="1:25" s="3492" customFormat="1">
      <c r="A976" s="3485"/>
      <c r="B976" s="3486"/>
      <c r="C976" s="3486"/>
      <c r="D976" s="3486"/>
      <c r="E976" s="3486"/>
      <c r="F976" s="3486"/>
      <c r="G976" s="3486"/>
      <c r="H976" s="3486"/>
      <c r="I976" s="3486"/>
      <c r="J976" s="3486"/>
      <c r="K976" s="3486"/>
      <c r="L976" s="3486"/>
      <c r="M976" s="3486"/>
      <c r="N976" s="3486"/>
      <c r="O976" s="3486"/>
      <c r="P976" s="3486"/>
      <c r="Q976" s="3486"/>
      <c r="R976" s="3486"/>
      <c r="S976" s="3486"/>
      <c r="T976" s="3486"/>
      <c r="U976" s="3486"/>
      <c r="V976" s="3486"/>
      <c r="W976" s="3486"/>
      <c r="X976" s="3486"/>
      <c r="Y976" s="3943"/>
    </row>
    <row r="977" spans="1:25" s="3492" customFormat="1">
      <c r="A977" s="3485"/>
      <c r="B977" s="3486"/>
      <c r="C977" s="3486"/>
      <c r="D977" s="3486"/>
      <c r="E977" s="3486"/>
      <c r="F977" s="3486"/>
      <c r="G977" s="3486"/>
      <c r="H977" s="3486"/>
      <c r="I977" s="3486"/>
      <c r="J977" s="3486"/>
      <c r="K977" s="3486"/>
      <c r="L977" s="3486"/>
      <c r="M977" s="3486"/>
      <c r="N977" s="3486"/>
      <c r="O977" s="3486"/>
      <c r="P977" s="3486"/>
      <c r="Q977" s="3486"/>
      <c r="R977" s="3486"/>
      <c r="S977" s="3486"/>
      <c r="T977" s="3486"/>
      <c r="U977" s="3486"/>
      <c r="V977" s="3486"/>
      <c r="W977" s="3486"/>
      <c r="X977" s="3486"/>
      <c r="Y977" s="3943"/>
    </row>
    <row r="978" spans="1:25" s="3492" customFormat="1">
      <c r="A978" s="3485"/>
      <c r="B978" s="3486"/>
      <c r="C978" s="3486"/>
      <c r="D978" s="3486"/>
      <c r="E978" s="3486"/>
      <c r="F978" s="3486"/>
      <c r="G978" s="3486"/>
      <c r="H978" s="3486"/>
      <c r="I978" s="3486"/>
      <c r="J978" s="3486"/>
      <c r="K978" s="3486"/>
      <c r="L978" s="3486"/>
      <c r="M978" s="3486"/>
      <c r="N978" s="3486"/>
      <c r="O978" s="3486"/>
      <c r="P978" s="3486"/>
      <c r="Q978" s="3486"/>
      <c r="R978" s="3486"/>
      <c r="S978" s="3486"/>
      <c r="T978" s="3486"/>
      <c r="U978" s="3486"/>
      <c r="V978" s="3486"/>
      <c r="W978" s="3486"/>
      <c r="X978" s="3486"/>
      <c r="Y978" s="3943"/>
    </row>
    <row r="979" spans="1:25" s="3492" customFormat="1">
      <c r="A979" s="3485"/>
      <c r="B979" s="3486"/>
      <c r="C979" s="3486"/>
      <c r="D979" s="3486"/>
      <c r="E979" s="3486"/>
      <c r="F979" s="3486"/>
      <c r="G979" s="3486"/>
      <c r="H979" s="3486"/>
      <c r="I979" s="3486"/>
      <c r="J979" s="3486"/>
      <c r="K979" s="3486"/>
      <c r="L979" s="3486"/>
      <c r="M979" s="3486"/>
      <c r="N979" s="3486"/>
      <c r="O979" s="3486"/>
      <c r="P979" s="3486"/>
      <c r="Q979" s="3486"/>
      <c r="R979" s="3486"/>
      <c r="S979" s="3486"/>
      <c r="T979" s="3486"/>
      <c r="U979" s="3486"/>
      <c r="V979" s="3486"/>
      <c r="W979" s="3486"/>
      <c r="X979" s="3486"/>
      <c r="Y979" s="3943"/>
    </row>
    <row r="980" spans="1:25" s="3492" customFormat="1">
      <c r="A980" s="3485"/>
      <c r="B980" s="3486"/>
      <c r="C980" s="3486"/>
      <c r="D980" s="3486"/>
      <c r="E980" s="3486"/>
      <c r="F980" s="3486"/>
      <c r="G980" s="3486"/>
      <c r="H980" s="3486"/>
      <c r="I980" s="3486"/>
      <c r="J980" s="3486"/>
      <c r="K980" s="3486"/>
      <c r="L980" s="3486"/>
      <c r="M980" s="3486"/>
      <c r="N980" s="3486"/>
      <c r="O980" s="3486"/>
      <c r="P980" s="3486"/>
      <c r="Q980" s="3486"/>
      <c r="R980" s="3486"/>
      <c r="S980" s="3486"/>
      <c r="T980" s="3486"/>
      <c r="U980" s="3486"/>
      <c r="V980" s="3486"/>
      <c r="W980" s="3486"/>
      <c r="X980" s="3486"/>
      <c r="Y980" s="3943"/>
    </row>
    <row r="981" spans="1:25" s="3492" customFormat="1">
      <c r="A981" s="3485"/>
      <c r="B981" s="3486"/>
      <c r="C981" s="3486"/>
      <c r="D981" s="3486"/>
      <c r="E981" s="3486"/>
      <c r="F981" s="3486"/>
      <c r="G981" s="3486"/>
      <c r="H981" s="3486"/>
      <c r="I981" s="3486"/>
      <c r="J981" s="3486"/>
      <c r="K981" s="3486"/>
      <c r="L981" s="3486"/>
      <c r="M981" s="3486"/>
      <c r="N981" s="3486"/>
      <c r="O981" s="3486"/>
      <c r="P981" s="3486"/>
      <c r="Q981" s="3486"/>
      <c r="R981" s="3486"/>
      <c r="S981" s="3486"/>
      <c r="T981" s="3486"/>
      <c r="U981" s="3486"/>
      <c r="V981" s="3486"/>
      <c r="W981" s="3486"/>
      <c r="X981" s="3486"/>
      <c r="Y981" s="3943"/>
    </row>
    <row r="982" spans="1:25" s="3492" customFormat="1">
      <c r="A982" s="3485"/>
      <c r="B982" s="3486"/>
      <c r="C982" s="3486"/>
      <c r="D982" s="3486"/>
      <c r="E982" s="3486"/>
      <c r="F982" s="3486"/>
      <c r="G982" s="3486"/>
      <c r="H982" s="3486"/>
      <c r="I982" s="3486"/>
      <c r="J982" s="3486"/>
      <c r="K982" s="3486"/>
      <c r="L982" s="3486"/>
      <c r="M982" s="3486"/>
      <c r="N982" s="3486"/>
      <c r="O982" s="3486"/>
      <c r="P982" s="3486"/>
      <c r="Q982" s="3486"/>
      <c r="R982" s="3486"/>
      <c r="S982" s="3486"/>
      <c r="T982" s="3486"/>
      <c r="U982" s="3486"/>
      <c r="V982" s="3486"/>
      <c r="W982" s="3486"/>
      <c r="X982" s="3486"/>
      <c r="Y982" s="3943"/>
    </row>
    <row r="983" spans="1:25" s="3492" customFormat="1">
      <c r="A983" s="3485"/>
      <c r="B983" s="3486"/>
      <c r="C983" s="3486"/>
      <c r="D983" s="3486"/>
      <c r="E983" s="3486"/>
      <c r="F983" s="3486"/>
      <c r="G983" s="3486"/>
      <c r="H983" s="3486"/>
      <c r="I983" s="3486"/>
      <c r="J983" s="3486"/>
      <c r="K983" s="3486"/>
      <c r="L983" s="3486"/>
      <c r="M983" s="3486"/>
      <c r="N983" s="3486"/>
      <c r="O983" s="3486"/>
      <c r="P983" s="3486"/>
      <c r="Q983" s="3486"/>
      <c r="R983" s="3486"/>
      <c r="S983" s="3486"/>
      <c r="T983" s="3486"/>
      <c r="U983" s="3486"/>
      <c r="V983" s="3486"/>
      <c r="W983" s="3486"/>
      <c r="X983" s="3486"/>
      <c r="Y983" s="3943"/>
    </row>
    <row r="984" spans="1:25" s="3492" customFormat="1">
      <c r="A984" s="3485"/>
      <c r="B984" s="3486"/>
      <c r="C984" s="3486"/>
      <c r="D984" s="3486"/>
      <c r="E984" s="3486"/>
      <c r="F984" s="3486"/>
      <c r="G984" s="3486"/>
      <c r="H984" s="3486"/>
      <c r="I984" s="3486"/>
      <c r="J984" s="3486"/>
      <c r="K984" s="3486"/>
      <c r="L984" s="3486"/>
      <c r="M984" s="3486"/>
      <c r="N984" s="3486"/>
      <c r="O984" s="3486"/>
      <c r="P984" s="3486"/>
      <c r="Q984" s="3486"/>
      <c r="R984" s="3486"/>
      <c r="S984" s="3486"/>
      <c r="T984" s="3486"/>
      <c r="U984" s="3486"/>
      <c r="V984" s="3486"/>
      <c r="W984" s="3486"/>
      <c r="X984" s="3486"/>
      <c r="Y984" s="3943"/>
    </row>
    <row r="985" spans="1:25" s="3492" customFormat="1">
      <c r="A985" s="3485"/>
      <c r="B985" s="3486"/>
      <c r="C985" s="3486"/>
      <c r="D985" s="3486"/>
      <c r="E985" s="3486"/>
      <c r="F985" s="3486"/>
      <c r="G985" s="3486"/>
      <c r="H985" s="3486"/>
      <c r="I985" s="3486"/>
      <c r="J985" s="3486"/>
      <c r="K985" s="3486"/>
      <c r="L985" s="3486"/>
      <c r="M985" s="3486"/>
      <c r="N985" s="3486"/>
      <c r="O985" s="3486"/>
      <c r="P985" s="3486"/>
      <c r="Q985" s="3486"/>
      <c r="R985" s="3486"/>
      <c r="S985" s="3486"/>
      <c r="T985" s="3486"/>
      <c r="U985" s="3486"/>
      <c r="V985" s="3486"/>
      <c r="W985" s="3486"/>
      <c r="X985" s="3486"/>
      <c r="Y985" s="3943"/>
    </row>
    <row r="986" spans="1:25" s="3492" customFormat="1">
      <c r="A986" s="3485"/>
      <c r="B986" s="3486"/>
      <c r="C986" s="3486"/>
      <c r="D986" s="3486"/>
      <c r="E986" s="3486"/>
      <c r="F986" s="3486"/>
      <c r="G986" s="3486"/>
      <c r="H986" s="3486"/>
      <c r="I986" s="3486"/>
      <c r="J986" s="3486"/>
      <c r="K986" s="3486"/>
      <c r="L986" s="3486"/>
      <c r="M986" s="3486"/>
      <c r="N986" s="3486"/>
      <c r="O986" s="3486"/>
      <c r="P986" s="3486"/>
      <c r="Q986" s="3486"/>
      <c r="R986" s="3486"/>
      <c r="S986" s="3486"/>
      <c r="T986" s="3486"/>
      <c r="U986" s="3486"/>
      <c r="V986" s="3486"/>
      <c r="W986" s="3486"/>
      <c r="X986" s="3486"/>
      <c r="Y986" s="3943"/>
    </row>
    <row r="987" spans="1:25" s="3492" customFormat="1">
      <c r="A987" s="3485"/>
      <c r="B987" s="3486"/>
      <c r="C987" s="3486"/>
      <c r="D987" s="3486"/>
      <c r="E987" s="3486"/>
      <c r="F987" s="3486"/>
      <c r="G987" s="3486"/>
      <c r="H987" s="3486"/>
      <c r="I987" s="3486"/>
      <c r="J987" s="3486"/>
      <c r="K987" s="3486"/>
      <c r="L987" s="3486"/>
      <c r="M987" s="3486"/>
      <c r="N987" s="3486"/>
      <c r="O987" s="3486"/>
      <c r="P987" s="3486"/>
      <c r="Q987" s="3486"/>
      <c r="R987" s="3486"/>
      <c r="S987" s="3486"/>
      <c r="T987" s="3486"/>
      <c r="U987" s="3486"/>
      <c r="V987" s="3486"/>
      <c r="W987" s="3486"/>
      <c r="X987" s="3486"/>
      <c r="Y987" s="3943"/>
    </row>
    <row r="988" spans="1:25" s="3492" customFormat="1">
      <c r="A988" s="3485"/>
      <c r="B988" s="3486"/>
      <c r="C988" s="3486"/>
      <c r="D988" s="3486"/>
      <c r="E988" s="3486"/>
      <c r="F988" s="3486"/>
      <c r="G988" s="3486"/>
      <c r="H988" s="3486"/>
      <c r="I988" s="3486"/>
      <c r="J988" s="3486"/>
      <c r="K988" s="3486"/>
      <c r="L988" s="3486"/>
      <c r="M988" s="3486"/>
      <c r="N988" s="3486"/>
      <c r="O988" s="3486"/>
      <c r="P988" s="3486"/>
      <c r="Q988" s="3486"/>
      <c r="R988" s="3486"/>
      <c r="S988" s="3486"/>
      <c r="T988" s="3486"/>
      <c r="U988" s="3486"/>
      <c r="V988" s="3486"/>
      <c r="W988" s="3486"/>
      <c r="X988" s="3486"/>
      <c r="Y988" s="3943"/>
    </row>
    <row r="989" spans="1:25" s="3492" customFormat="1">
      <c r="A989" s="3485"/>
      <c r="B989" s="3486"/>
      <c r="C989" s="3486"/>
      <c r="D989" s="3486"/>
      <c r="E989" s="3486"/>
      <c r="F989" s="3486"/>
      <c r="G989" s="3486"/>
      <c r="H989" s="3486"/>
      <c r="I989" s="3486"/>
      <c r="J989" s="3486"/>
      <c r="K989" s="3486"/>
      <c r="L989" s="3486"/>
      <c r="M989" s="3486"/>
      <c r="N989" s="3486"/>
      <c r="O989" s="3486"/>
      <c r="P989" s="3486"/>
      <c r="Q989" s="3486"/>
      <c r="R989" s="3486"/>
      <c r="S989" s="3486"/>
      <c r="T989" s="3486"/>
      <c r="U989" s="3486"/>
      <c r="V989" s="3486"/>
      <c r="W989" s="3486"/>
      <c r="X989" s="3486"/>
      <c r="Y989" s="3943"/>
    </row>
    <row r="990" spans="1:25" s="3492" customFormat="1">
      <c r="A990" s="3485"/>
      <c r="B990" s="3486"/>
      <c r="C990" s="3486"/>
      <c r="D990" s="3486"/>
      <c r="E990" s="3486"/>
      <c r="F990" s="3486"/>
      <c r="G990" s="3486"/>
      <c r="H990" s="3486"/>
      <c r="I990" s="3486"/>
      <c r="J990" s="3486"/>
      <c r="K990" s="3486"/>
      <c r="L990" s="3486"/>
      <c r="M990" s="3486"/>
      <c r="N990" s="3486"/>
      <c r="O990" s="3486"/>
      <c r="P990" s="3486"/>
      <c r="Q990" s="3486"/>
      <c r="R990" s="3486"/>
      <c r="S990" s="3486"/>
      <c r="T990" s="3486"/>
      <c r="U990" s="3486"/>
      <c r="V990" s="3486"/>
      <c r="W990" s="3486"/>
      <c r="X990" s="3486"/>
      <c r="Y990" s="3943"/>
    </row>
    <row r="991" spans="1:25" s="3492" customFormat="1">
      <c r="A991" s="3485"/>
      <c r="B991" s="3486"/>
      <c r="C991" s="3486"/>
      <c r="D991" s="3486"/>
      <c r="E991" s="3486"/>
      <c r="F991" s="3486"/>
      <c r="G991" s="3486"/>
      <c r="H991" s="3486"/>
      <c r="I991" s="3486"/>
      <c r="J991" s="3486"/>
      <c r="K991" s="3486"/>
      <c r="L991" s="3486"/>
      <c r="M991" s="3486"/>
      <c r="N991" s="3486"/>
      <c r="O991" s="3486"/>
      <c r="P991" s="3486"/>
      <c r="Q991" s="3486"/>
      <c r="R991" s="3486"/>
      <c r="S991" s="3486"/>
      <c r="T991" s="3486"/>
      <c r="U991" s="3486"/>
      <c r="V991" s="3486"/>
      <c r="W991" s="3486"/>
      <c r="X991" s="3486"/>
      <c r="Y991" s="3943"/>
    </row>
    <row r="992" spans="1:25" s="3492" customFormat="1">
      <c r="A992" s="3485"/>
      <c r="B992" s="3486"/>
      <c r="C992" s="3486"/>
      <c r="D992" s="3486"/>
      <c r="E992" s="3486"/>
      <c r="F992" s="3486"/>
      <c r="G992" s="3486"/>
      <c r="H992" s="3486"/>
      <c r="I992" s="3486"/>
      <c r="J992" s="3486"/>
      <c r="K992" s="3486"/>
      <c r="L992" s="3486"/>
      <c r="M992" s="3486"/>
      <c r="N992" s="3486"/>
      <c r="O992" s="3486"/>
      <c r="P992" s="3486"/>
      <c r="Q992" s="3486"/>
      <c r="R992" s="3486"/>
      <c r="S992" s="3486"/>
      <c r="T992" s="3486"/>
      <c r="U992" s="3486"/>
      <c r="V992" s="3486"/>
      <c r="W992" s="3486"/>
      <c r="X992" s="3486"/>
      <c r="Y992" s="3943"/>
    </row>
    <row r="993" spans="1:25" s="3492" customFormat="1">
      <c r="A993" s="3485"/>
      <c r="B993" s="3486"/>
      <c r="C993" s="3486"/>
      <c r="D993" s="3486"/>
      <c r="E993" s="3486"/>
      <c r="F993" s="3486"/>
      <c r="G993" s="3486"/>
      <c r="H993" s="3486"/>
      <c r="I993" s="3486"/>
      <c r="J993" s="3486"/>
      <c r="K993" s="3486"/>
      <c r="L993" s="3486"/>
      <c r="M993" s="3486"/>
      <c r="N993" s="3486"/>
      <c r="O993" s="3486"/>
      <c r="P993" s="3486"/>
      <c r="Q993" s="3486"/>
      <c r="R993" s="3486"/>
      <c r="S993" s="3486"/>
      <c r="T993" s="3486"/>
      <c r="U993" s="3486"/>
      <c r="V993" s="3486"/>
      <c r="W993" s="3486"/>
      <c r="X993" s="3486"/>
      <c r="Y993" s="3943"/>
    </row>
    <row r="994" spans="1:25" s="3492" customFormat="1">
      <c r="A994" s="3485"/>
      <c r="B994" s="3486"/>
      <c r="C994" s="3486"/>
      <c r="D994" s="3486"/>
      <c r="E994" s="3486"/>
      <c r="F994" s="3486"/>
      <c r="G994" s="3486"/>
      <c r="H994" s="3486"/>
      <c r="I994" s="3486"/>
      <c r="J994" s="3486"/>
      <c r="K994" s="3486"/>
      <c r="L994" s="3486"/>
      <c r="M994" s="3486"/>
      <c r="N994" s="3486"/>
      <c r="O994" s="3486"/>
      <c r="P994" s="3486"/>
      <c r="Q994" s="3486"/>
      <c r="R994" s="3486"/>
      <c r="S994" s="3486"/>
      <c r="T994" s="3486"/>
      <c r="U994" s="3486"/>
      <c r="V994" s="3486"/>
      <c r="W994" s="3486"/>
      <c r="X994" s="3486"/>
      <c r="Y994" s="3943"/>
    </row>
    <row r="995" spans="1:25" s="3492" customFormat="1">
      <c r="A995" s="3485"/>
      <c r="B995" s="3486"/>
      <c r="C995" s="3486"/>
      <c r="D995" s="3486"/>
      <c r="E995" s="3486"/>
      <c r="F995" s="3486"/>
      <c r="G995" s="3486"/>
      <c r="H995" s="3486"/>
      <c r="I995" s="3486"/>
      <c r="J995" s="3486"/>
      <c r="K995" s="3486"/>
      <c r="L995" s="3486"/>
      <c r="M995" s="3486"/>
      <c r="N995" s="3486"/>
      <c r="O995" s="3486"/>
      <c r="P995" s="3486"/>
      <c r="Q995" s="3486"/>
      <c r="R995" s="3486"/>
      <c r="S995" s="3486"/>
      <c r="T995" s="3486"/>
      <c r="U995" s="3486"/>
      <c r="V995" s="3486"/>
      <c r="W995" s="3486"/>
      <c r="X995" s="3486"/>
      <c r="Y995" s="3943"/>
    </row>
    <row r="996" spans="1:25" s="3492" customFormat="1">
      <c r="A996" s="3485"/>
      <c r="B996" s="3486"/>
      <c r="C996" s="3486"/>
      <c r="D996" s="3486"/>
      <c r="E996" s="3486"/>
      <c r="F996" s="3486"/>
      <c r="G996" s="3486"/>
      <c r="H996" s="3486"/>
      <c r="I996" s="3486"/>
      <c r="J996" s="3486"/>
      <c r="K996" s="3486"/>
      <c r="L996" s="3486"/>
      <c r="M996" s="3486"/>
      <c r="N996" s="3486"/>
      <c r="O996" s="3486"/>
      <c r="P996" s="3486"/>
      <c r="Q996" s="3486"/>
      <c r="R996" s="3486"/>
      <c r="S996" s="3486"/>
      <c r="T996" s="3486"/>
      <c r="U996" s="3486"/>
      <c r="V996" s="3486"/>
      <c r="W996" s="3486"/>
      <c r="X996" s="3486"/>
      <c r="Y996" s="3943"/>
    </row>
    <row r="997" spans="1:25" s="3492" customFormat="1">
      <c r="A997" s="3485"/>
      <c r="B997" s="3486"/>
      <c r="C997" s="3486"/>
      <c r="D997" s="3486"/>
      <c r="E997" s="3486"/>
      <c r="F997" s="3486"/>
      <c r="G997" s="3486"/>
      <c r="H997" s="3486"/>
      <c r="I997" s="3486"/>
      <c r="J997" s="3486"/>
      <c r="K997" s="3486"/>
      <c r="L997" s="3486"/>
      <c r="M997" s="3486"/>
      <c r="N997" s="3486"/>
      <c r="O997" s="3486"/>
      <c r="P997" s="3486"/>
      <c r="Q997" s="3486"/>
      <c r="R997" s="3486"/>
      <c r="S997" s="3486"/>
      <c r="T997" s="3486"/>
      <c r="U997" s="3486"/>
      <c r="V997" s="3486"/>
      <c r="W997" s="3486"/>
      <c r="X997" s="3486"/>
      <c r="Y997" s="3943"/>
    </row>
    <row r="998" spans="1:25" s="3492" customFormat="1">
      <c r="A998" s="3485"/>
      <c r="B998" s="3486"/>
      <c r="C998" s="3486"/>
      <c r="D998" s="3486"/>
      <c r="E998" s="3486"/>
      <c r="F998" s="3486"/>
      <c r="G998" s="3486"/>
      <c r="H998" s="3486"/>
      <c r="I998" s="3486"/>
      <c r="J998" s="3486"/>
      <c r="K998" s="3486"/>
      <c r="L998" s="3486"/>
      <c r="M998" s="3486"/>
      <c r="N998" s="3486"/>
      <c r="O998" s="3486"/>
      <c r="P998" s="3486"/>
      <c r="Q998" s="3486"/>
      <c r="R998" s="3486"/>
      <c r="S998" s="3486"/>
      <c r="T998" s="3486"/>
      <c r="U998" s="3486"/>
      <c r="V998" s="3486"/>
      <c r="W998" s="3486"/>
      <c r="X998" s="3486"/>
      <c r="Y998" s="3943"/>
    </row>
    <row r="999" spans="1:25" s="3492" customFormat="1">
      <c r="A999" s="3485"/>
      <c r="B999" s="3486"/>
      <c r="C999" s="3486"/>
      <c r="D999" s="3486"/>
      <c r="E999" s="3486"/>
      <c r="F999" s="3486"/>
      <c r="G999" s="3486"/>
      <c r="H999" s="3486"/>
      <c r="I999" s="3486"/>
      <c r="J999" s="3486"/>
      <c r="K999" s="3486"/>
      <c r="L999" s="3486"/>
      <c r="M999" s="3486"/>
      <c r="N999" s="3486"/>
      <c r="O999" s="3486"/>
      <c r="P999" s="3486"/>
      <c r="Q999" s="3486"/>
      <c r="R999" s="3486"/>
      <c r="S999" s="3486"/>
      <c r="T999" s="3486"/>
      <c r="U999" s="3486"/>
      <c r="V999" s="3486"/>
      <c r="W999" s="3486"/>
      <c r="X999" s="3486"/>
      <c r="Y999" s="3943"/>
    </row>
    <row r="1000" spans="1:25" s="3492" customFormat="1">
      <c r="A1000" s="3485"/>
      <c r="B1000" s="3486"/>
      <c r="C1000" s="3486"/>
      <c r="D1000" s="3486"/>
      <c r="E1000" s="3486"/>
      <c r="F1000" s="3486"/>
      <c r="G1000" s="3486"/>
      <c r="H1000" s="3486"/>
      <c r="I1000" s="3486"/>
      <c r="J1000" s="3486"/>
      <c r="K1000" s="3486"/>
      <c r="L1000" s="3486"/>
      <c r="M1000" s="3486"/>
      <c r="N1000" s="3486"/>
      <c r="O1000" s="3486"/>
      <c r="P1000" s="3486"/>
      <c r="Q1000" s="3486"/>
      <c r="R1000" s="3486"/>
      <c r="S1000" s="3486"/>
      <c r="T1000" s="3486"/>
      <c r="U1000" s="3486"/>
      <c r="V1000" s="3486"/>
      <c r="W1000" s="3486"/>
      <c r="X1000" s="3486"/>
      <c r="Y1000" s="3943"/>
    </row>
    <row r="1001" spans="1:25" s="3492" customFormat="1">
      <c r="A1001" s="3485"/>
      <c r="B1001" s="3486"/>
      <c r="C1001" s="3486"/>
      <c r="D1001" s="3486"/>
      <c r="E1001" s="3486"/>
      <c r="F1001" s="3486"/>
      <c r="G1001" s="3486"/>
      <c r="H1001" s="3486"/>
      <c r="I1001" s="3486"/>
      <c r="J1001" s="3486"/>
      <c r="K1001" s="3486"/>
      <c r="L1001" s="3486"/>
      <c r="M1001" s="3486"/>
      <c r="N1001" s="3486"/>
      <c r="O1001" s="3486"/>
      <c r="P1001" s="3486"/>
      <c r="Q1001" s="3486"/>
      <c r="R1001" s="3486"/>
      <c r="S1001" s="3486"/>
      <c r="T1001" s="3486"/>
      <c r="U1001" s="3486"/>
      <c r="V1001" s="3486"/>
      <c r="W1001" s="3486"/>
      <c r="X1001" s="3486"/>
      <c r="Y1001" s="3943"/>
    </row>
    <row r="1002" spans="1:25" s="3492" customFormat="1">
      <c r="A1002" s="3485"/>
      <c r="B1002" s="3486"/>
      <c r="C1002" s="3486"/>
      <c r="D1002" s="3486"/>
      <c r="E1002" s="3486"/>
      <c r="F1002" s="3486"/>
      <c r="G1002" s="3486"/>
      <c r="H1002" s="3486"/>
      <c r="I1002" s="3486"/>
      <c r="J1002" s="3486"/>
      <c r="K1002" s="3486"/>
      <c r="L1002" s="3486"/>
      <c r="M1002" s="3486"/>
      <c r="N1002" s="3486"/>
      <c r="O1002" s="3486"/>
      <c r="P1002" s="3486"/>
      <c r="Q1002" s="3486"/>
      <c r="R1002" s="3486"/>
      <c r="S1002" s="3486"/>
      <c r="T1002" s="3486"/>
      <c r="U1002" s="3486"/>
      <c r="V1002" s="3486"/>
      <c r="W1002" s="3486"/>
      <c r="X1002" s="3486"/>
      <c r="Y1002" s="3943"/>
    </row>
    <row r="1003" spans="1:25" s="3492" customFormat="1">
      <c r="A1003" s="3485"/>
      <c r="B1003" s="3486"/>
      <c r="C1003" s="3486"/>
      <c r="D1003" s="3486"/>
      <c r="E1003" s="3486"/>
      <c r="F1003" s="3486"/>
      <c r="G1003" s="3486"/>
      <c r="H1003" s="3486"/>
      <c r="I1003" s="3486"/>
      <c r="J1003" s="3486"/>
      <c r="K1003" s="3486"/>
      <c r="L1003" s="3486"/>
      <c r="M1003" s="3486"/>
      <c r="N1003" s="3486"/>
      <c r="O1003" s="3486"/>
      <c r="P1003" s="3486"/>
      <c r="Q1003" s="3486"/>
      <c r="R1003" s="3486"/>
      <c r="S1003" s="3486"/>
      <c r="T1003" s="3486"/>
      <c r="U1003" s="3486"/>
      <c r="V1003" s="3486"/>
      <c r="W1003" s="3486"/>
      <c r="X1003" s="3486"/>
      <c r="Y1003" s="3943"/>
    </row>
    <row r="1004" spans="1:25" s="3492" customFormat="1">
      <c r="A1004" s="3485"/>
      <c r="B1004" s="3486"/>
      <c r="C1004" s="3486"/>
      <c r="D1004" s="3486"/>
      <c r="E1004" s="3486"/>
      <c r="F1004" s="3486"/>
      <c r="G1004" s="3486"/>
      <c r="H1004" s="3486"/>
      <c r="I1004" s="3486"/>
      <c r="J1004" s="3486"/>
      <c r="K1004" s="3486"/>
      <c r="L1004" s="3486"/>
      <c r="M1004" s="3486"/>
      <c r="N1004" s="3486"/>
      <c r="O1004" s="3486"/>
      <c r="P1004" s="3486"/>
      <c r="Q1004" s="3486"/>
      <c r="R1004" s="3486"/>
      <c r="S1004" s="3486"/>
      <c r="T1004" s="3486"/>
      <c r="U1004" s="3486"/>
      <c r="V1004" s="3486"/>
      <c r="W1004" s="3486"/>
      <c r="X1004" s="3486"/>
      <c r="Y1004" s="3943"/>
    </row>
    <row r="1005" spans="1:25" s="3492" customFormat="1">
      <c r="A1005" s="3485"/>
      <c r="B1005" s="3486"/>
      <c r="C1005" s="3486"/>
      <c r="D1005" s="3486"/>
      <c r="E1005" s="3486"/>
      <c r="F1005" s="3486"/>
      <c r="G1005" s="3486"/>
      <c r="H1005" s="3486"/>
      <c r="I1005" s="3486"/>
      <c r="J1005" s="3486"/>
      <c r="K1005" s="3486"/>
      <c r="L1005" s="3486"/>
      <c r="M1005" s="3486"/>
      <c r="N1005" s="3486"/>
      <c r="O1005" s="3486"/>
      <c r="P1005" s="3486"/>
      <c r="Q1005" s="3486"/>
      <c r="R1005" s="3486"/>
      <c r="S1005" s="3486"/>
      <c r="T1005" s="3486"/>
      <c r="U1005" s="3486"/>
      <c r="V1005" s="3486"/>
      <c r="W1005" s="3486"/>
      <c r="X1005" s="3486"/>
      <c r="Y1005" s="3943"/>
    </row>
    <row r="1006" spans="1:25" s="3492" customFormat="1">
      <c r="A1006" s="3485"/>
      <c r="B1006" s="3486"/>
      <c r="C1006" s="3486"/>
      <c r="D1006" s="3486"/>
      <c r="E1006" s="3486"/>
      <c r="F1006" s="3486"/>
      <c r="G1006" s="3486"/>
      <c r="H1006" s="3486"/>
      <c r="I1006" s="3486"/>
      <c r="J1006" s="3486"/>
      <c r="K1006" s="3486"/>
      <c r="L1006" s="3486"/>
      <c r="M1006" s="3486"/>
      <c r="N1006" s="3486"/>
      <c r="O1006" s="3486"/>
      <c r="P1006" s="3486"/>
      <c r="Q1006" s="3486"/>
      <c r="R1006" s="3486"/>
      <c r="S1006" s="3486"/>
      <c r="T1006" s="3486"/>
      <c r="U1006" s="3486"/>
      <c r="V1006" s="3486"/>
      <c r="W1006" s="3486"/>
      <c r="X1006" s="3486"/>
      <c r="Y1006" s="3943"/>
    </row>
    <row r="1007" spans="1:25" s="3492" customFormat="1">
      <c r="A1007" s="3485"/>
      <c r="B1007" s="3486"/>
      <c r="C1007" s="3486"/>
      <c r="D1007" s="3486"/>
      <c r="E1007" s="3486"/>
      <c r="F1007" s="3486"/>
      <c r="G1007" s="3486"/>
      <c r="H1007" s="3486"/>
      <c r="I1007" s="3486"/>
      <c r="J1007" s="3486"/>
      <c r="K1007" s="3486"/>
      <c r="L1007" s="3486"/>
      <c r="M1007" s="3486"/>
      <c r="N1007" s="3486"/>
      <c r="O1007" s="3486"/>
      <c r="P1007" s="3486"/>
      <c r="Q1007" s="3486"/>
      <c r="R1007" s="3486"/>
      <c r="S1007" s="3486"/>
      <c r="T1007" s="3486"/>
      <c r="U1007" s="3486"/>
      <c r="V1007" s="3486"/>
      <c r="W1007" s="3486"/>
      <c r="X1007" s="3486"/>
      <c r="Y1007" s="3943"/>
    </row>
    <row r="1008" spans="1:25" s="3492" customFormat="1">
      <c r="A1008" s="3485"/>
      <c r="B1008" s="3486"/>
      <c r="C1008" s="3486"/>
      <c r="D1008" s="3486"/>
      <c r="E1008" s="3486"/>
      <c r="F1008" s="3486"/>
      <c r="G1008" s="3486"/>
      <c r="H1008" s="3486"/>
      <c r="I1008" s="3486"/>
      <c r="J1008" s="3486"/>
      <c r="K1008" s="3486"/>
      <c r="L1008" s="3486"/>
      <c r="M1008" s="3486"/>
      <c r="N1008" s="3486"/>
      <c r="O1008" s="3486"/>
      <c r="P1008" s="3486"/>
      <c r="Q1008" s="3486"/>
      <c r="R1008" s="3486"/>
      <c r="S1008" s="3486"/>
      <c r="T1008" s="3486"/>
      <c r="U1008" s="3486"/>
      <c r="V1008" s="3486"/>
      <c r="W1008" s="3486"/>
      <c r="X1008" s="3486"/>
      <c r="Y1008" s="3943"/>
    </row>
    <row r="1009" spans="1:25" s="3492" customFormat="1">
      <c r="A1009" s="3485"/>
      <c r="B1009" s="3486"/>
      <c r="C1009" s="3486"/>
      <c r="D1009" s="3486"/>
      <c r="E1009" s="3486"/>
      <c r="F1009" s="3486"/>
      <c r="G1009" s="3486"/>
      <c r="H1009" s="3486"/>
      <c r="I1009" s="3486"/>
      <c r="J1009" s="3486"/>
      <c r="K1009" s="3486"/>
      <c r="L1009" s="3486"/>
      <c r="M1009" s="3486"/>
      <c r="N1009" s="3486"/>
      <c r="O1009" s="3486"/>
      <c r="P1009" s="3486"/>
      <c r="Q1009" s="3486"/>
      <c r="R1009" s="3486"/>
      <c r="S1009" s="3486"/>
      <c r="T1009" s="3486"/>
      <c r="U1009" s="3486"/>
      <c r="V1009" s="3486"/>
      <c r="W1009" s="3486"/>
      <c r="X1009" s="3486"/>
      <c r="Y1009" s="3943"/>
    </row>
    <row r="1010" spans="1:25" s="3492" customFormat="1">
      <c r="A1010" s="3485"/>
      <c r="B1010" s="3486"/>
      <c r="C1010" s="3486"/>
      <c r="D1010" s="3486"/>
      <c r="E1010" s="3486"/>
      <c r="F1010" s="3486"/>
      <c r="G1010" s="3486"/>
      <c r="H1010" s="3486"/>
      <c r="I1010" s="3486"/>
      <c r="J1010" s="3486"/>
      <c r="K1010" s="3486"/>
      <c r="L1010" s="3486"/>
      <c r="M1010" s="3486"/>
      <c r="N1010" s="3486"/>
      <c r="O1010" s="3486"/>
      <c r="P1010" s="3486"/>
      <c r="Q1010" s="3486"/>
      <c r="R1010" s="3486"/>
      <c r="S1010" s="3486"/>
      <c r="T1010" s="3486"/>
      <c r="U1010" s="3486"/>
      <c r="V1010" s="3486"/>
      <c r="W1010" s="3486"/>
      <c r="X1010" s="3486"/>
      <c r="Y1010" s="3943"/>
    </row>
    <row r="1011" spans="1:25" s="3492" customFormat="1">
      <c r="A1011" s="3485"/>
      <c r="B1011" s="3486"/>
      <c r="C1011" s="3486"/>
      <c r="D1011" s="3486"/>
      <c r="E1011" s="3486"/>
      <c r="F1011" s="3486"/>
      <c r="G1011" s="3486"/>
      <c r="H1011" s="3486"/>
      <c r="I1011" s="3486"/>
      <c r="J1011" s="3486"/>
      <c r="K1011" s="3486"/>
      <c r="L1011" s="3486"/>
      <c r="M1011" s="3486"/>
      <c r="N1011" s="3486"/>
      <c r="O1011" s="3486"/>
      <c r="P1011" s="3486"/>
      <c r="Q1011" s="3486"/>
      <c r="R1011" s="3486"/>
      <c r="S1011" s="3486"/>
      <c r="T1011" s="3486"/>
      <c r="U1011" s="3486"/>
      <c r="V1011" s="3486"/>
      <c r="W1011" s="3486"/>
      <c r="X1011" s="3486"/>
      <c r="Y1011" s="3943"/>
    </row>
    <row r="1012" spans="1:25" s="3492" customFormat="1">
      <c r="A1012" s="3485"/>
      <c r="B1012" s="3486"/>
      <c r="C1012" s="3486"/>
      <c r="D1012" s="3486"/>
      <c r="E1012" s="3486"/>
      <c r="F1012" s="3486"/>
      <c r="G1012" s="3486"/>
      <c r="H1012" s="3486"/>
      <c r="I1012" s="3486"/>
      <c r="J1012" s="3486"/>
      <c r="K1012" s="3486"/>
      <c r="L1012" s="3486"/>
      <c r="M1012" s="3486"/>
      <c r="N1012" s="3486"/>
      <c r="O1012" s="3486"/>
      <c r="P1012" s="3486"/>
      <c r="Q1012" s="3486"/>
      <c r="R1012" s="3486"/>
      <c r="S1012" s="3486"/>
      <c r="T1012" s="3486"/>
      <c r="U1012" s="3486"/>
      <c r="V1012" s="3486"/>
      <c r="W1012" s="3486"/>
      <c r="X1012" s="3486"/>
      <c r="Y1012" s="3943"/>
    </row>
    <row r="1013" spans="1:25" s="3492" customFormat="1">
      <c r="A1013" s="3485"/>
      <c r="B1013" s="3486"/>
      <c r="C1013" s="3486"/>
      <c r="D1013" s="3486"/>
      <c r="E1013" s="3486"/>
      <c r="F1013" s="3486"/>
      <c r="G1013" s="3486"/>
      <c r="H1013" s="3486"/>
      <c r="I1013" s="3486"/>
      <c r="J1013" s="3486"/>
      <c r="K1013" s="3486"/>
      <c r="L1013" s="3486"/>
      <c r="M1013" s="3486"/>
      <c r="N1013" s="3486"/>
      <c r="O1013" s="3486"/>
      <c r="P1013" s="3486"/>
      <c r="Q1013" s="3486"/>
      <c r="R1013" s="3486"/>
      <c r="S1013" s="3486"/>
      <c r="T1013" s="3486"/>
      <c r="U1013" s="3486"/>
      <c r="V1013" s="3486"/>
      <c r="W1013" s="3486"/>
      <c r="X1013" s="3486"/>
      <c r="Y1013" s="3943"/>
    </row>
    <row r="1014" spans="1:25" s="3492" customFormat="1">
      <c r="A1014" s="3485"/>
      <c r="B1014" s="3486"/>
      <c r="C1014" s="3486"/>
      <c r="D1014" s="3486"/>
      <c r="E1014" s="3486"/>
      <c r="F1014" s="3486"/>
      <c r="G1014" s="3486"/>
      <c r="H1014" s="3486"/>
      <c r="I1014" s="3486"/>
      <c r="J1014" s="3486"/>
      <c r="K1014" s="3486"/>
      <c r="L1014" s="3486"/>
      <c r="M1014" s="3486"/>
      <c r="N1014" s="3486"/>
      <c r="O1014" s="3486"/>
      <c r="P1014" s="3486"/>
      <c r="Q1014" s="3486"/>
      <c r="R1014" s="3486"/>
      <c r="S1014" s="3486"/>
      <c r="T1014" s="3486"/>
      <c r="U1014" s="3486"/>
      <c r="V1014" s="3486"/>
      <c r="W1014" s="3486"/>
      <c r="X1014" s="3486"/>
      <c r="Y1014" s="3943"/>
    </row>
    <row r="1015" spans="1:25" s="3492" customFormat="1">
      <c r="A1015" s="3485"/>
      <c r="B1015" s="3486"/>
      <c r="C1015" s="3486"/>
      <c r="D1015" s="3486"/>
      <c r="E1015" s="3486"/>
      <c r="F1015" s="3486"/>
      <c r="G1015" s="3486"/>
      <c r="H1015" s="3486"/>
      <c r="I1015" s="3486"/>
      <c r="J1015" s="3486"/>
      <c r="K1015" s="3486"/>
      <c r="L1015" s="3486"/>
      <c r="M1015" s="3486"/>
      <c r="N1015" s="3486"/>
      <c r="O1015" s="3486"/>
      <c r="P1015" s="3486"/>
      <c r="Q1015" s="3486"/>
      <c r="R1015" s="3486"/>
      <c r="S1015" s="3486"/>
      <c r="T1015" s="3486"/>
      <c r="U1015" s="3486"/>
      <c r="V1015" s="3486"/>
      <c r="W1015" s="3486"/>
      <c r="X1015" s="3486"/>
      <c r="Y1015" s="3943"/>
    </row>
    <row r="1016" spans="1:25" s="3492" customFormat="1">
      <c r="A1016" s="3485"/>
      <c r="B1016" s="3486"/>
      <c r="C1016" s="3486"/>
      <c r="D1016" s="3486"/>
      <c r="E1016" s="3486"/>
      <c r="F1016" s="3486"/>
      <c r="G1016" s="3486"/>
      <c r="H1016" s="3486"/>
      <c r="I1016" s="3486"/>
      <c r="J1016" s="3486"/>
      <c r="K1016" s="3486"/>
      <c r="L1016" s="3486"/>
      <c r="M1016" s="3486"/>
      <c r="N1016" s="3486"/>
      <c r="O1016" s="3486"/>
      <c r="P1016" s="3486"/>
      <c r="Q1016" s="3486"/>
      <c r="R1016" s="3486"/>
      <c r="S1016" s="3486"/>
      <c r="T1016" s="3486"/>
      <c r="U1016" s="3486"/>
      <c r="V1016" s="3486"/>
      <c r="W1016" s="3486"/>
      <c r="X1016" s="3486"/>
      <c r="Y1016" s="3943"/>
    </row>
    <row r="1017" spans="1:25" s="3492" customFormat="1">
      <c r="A1017" s="3485"/>
      <c r="B1017" s="3486"/>
      <c r="C1017" s="3486"/>
      <c r="D1017" s="3486"/>
      <c r="E1017" s="3486"/>
      <c r="F1017" s="3486"/>
      <c r="G1017" s="3486"/>
      <c r="H1017" s="3486"/>
      <c r="I1017" s="3486"/>
      <c r="J1017" s="3486"/>
      <c r="K1017" s="3486"/>
      <c r="L1017" s="3486"/>
      <c r="M1017" s="3486"/>
      <c r="N1017" s="3486"/>
      <c r="O1017" s="3486"/>
      <c r="P1017" s="3486"/>
      <c r="Q1017" s="3486"/>
      <c r="R1017" s="3486"/>
      <c r="S1017" s="3486"/>
      <c r="T1017" s="3486"/>
      <c r="U1017" s="3486"/>
      <c r="V1017" s="3486"/>
      <c r="W1017" s="3486"/>
      <c r="X1017" s="3486"/>
      <c r="Y1017" s="3943"/>
    </row>
    <row r="1018" spans="1:25" s="3492" customFormat="1">
      <c r="A1018" s="3485"/>
      <c r="B1018" s="3486"/>
      <c r="C1018" s="3486"/>
      <c r="D1018" s="3486"/>
      <c r="E1018" s="3486"/>
      <c r="F1018" s="3486"/>
      <c r="G1018" s="3486"/>
      <c r="H1018" s="3486"/>
      <c r="I1018" s="3486"/>
      <c r="J1018" s="3486"/>
      <c r="K1018" s="3486"/>
      <c r="L1018" s="3486"/>
      <c r="M1018" s="3486"/>
      <c r="N1018" s="3486"/>
      <c r="O1018" s="3486"/>
      <c r="P1018" s="3486"/>
      <c r="Q1018" s="3486"/>
      <c r="R1018" s="3486"/>
      <c r="S1018" s="3486"/>
      <c r="T1018" s="3486"/>
      <c r="U1018" s="3486"/>
      <c r="V1018" s="3486"/>
      <c r="W1018" s="3486"/>
      <c r="X1018" s="3486"/>
      <c r="Y1018" s="3943"/>
    </row>
    <row r="1019" spans="1:25" s="3492" customFormat="1">
      <c r="A1019" s="3485"/>
      <c r="B1019" s="3486"/>
      <c r="C1019" s="3486"/>
      <c r="D1019" s="3486"/>
      <c r="E1019" s="3486"/>
      <c r="F1019" s="3486"/>
      <c r="G1019" s="3486"/>
      <c r="H1019" s="3486"/>
      <c r="I1019" s="3486"/>
      <c r="J1019" s="3486"/>
      <c r="K1019" s="3486"/>
      <c r="L1019" s="3486"/>
      <c r="M1019" s="3486"/>
      <c r="N1019" s="3486"/>
      <c r="O1019" s="3486"/>
      <c r="P1019" s="3486"/>
      <c r="Q1019" s="3486"/>
      <c r="R1019" s="3486"/>
      <c r="S1019" s="3486"/>
      <c r="T1019" s="3486"/>
      <c r="U1019" s="3486"/>
      <c r="V1019" s="3486"/>
      <c r="W1019" s="3486"/>
      <c r="X1019" s="3486"/>
      <c r="Y1019" s="3943"/>
    </row>
    <row r="1020" spans="1:25" s="3492" customFormat="1">
      <c r="A1020" s="3485"/>
      <c r="B1020" s="3486"/>
      <c r="C1020" s="3486"/>
      <c r="D1020" s="3486"/>
      <c r="E1020" s="3486"/>
      <c r="F1020" s="3486"/>
      <c r="G1020" s="3486"/>
      <c r="H1020" s="3486"/>
      <c r="I1020" s="3486"/>
      <c r="J1020" s="3486"/>
      <c r="K1020" s="3486"/>
      <c r="L1020" s="3486"/>
      <c r="M1020" s="3486"/>
      <c r="N1020" s="3486"/>
      <c r="O1020" s="3486"/>
      <c r="P1020" s="3486"/>
      <c r="Q1020" s="3486"/>
      <c r="R1020" s="3486"/>
      <c r="S1020" s="3486"/>
      <c r="T1020" s="3486"/>
      <c r="U1020" s="3486"/>
      <c r="V1020" s="3486"/>
      <c r="W1020" s="3486"/>
      <c r="X1020" s="3486"/>
      <c r="Y1020" s="3943"/>
    </row>
    <row r="1021" spans="1:25" s="3492" customFormat="1">
      <c r="A1021" s="3485"/>
      <c r="B1021" s="3486"/>
      <c r="C1021" s="3486"/>
      <c r="D1021" s="3486"/>
      <c r="E1021" s="3486"/>
      <c r="F1021" s="3486"/>
      <c r="G1021" s="3486"/>
      <c r="H1021" s="3486"/>
      <c r="I1021" s="3486"/>
      <c r="J1021" s="3486"/>
      <c r="K1021" s="3486"/>
      <c r="L1021" s="3486"/>
      <c r="M1021" s="3486"/>
      <c r="N1021" s="3486"/>
      <c r="O1021" s="3486"/>
      <c r="P1021" s="3486"/>
      <c r="Q1021" s="3486"/>
      <c r="R1021" s="3486"/>
      <c r="S1021" s="3486"/>
      <c r="T1021" s="3486"/>
      <c r="U1021" s="3486"/>
      <c r="V1021" s="3486"/>
      <c r="W1021" s="3486"/>
      <c r="X1021" s="3486"/>
      <c r="Y1021" s="3943"/>
    </row>
    <row r="1022" spans="1:25" s="3492" customFormat="1">
      <c r="A1022" s="3485"/>
      <c r="B1022" s="3486"/>
      <c r="C1022" s="3486"/>
      <c r="D1022" s="3486"/>
      <c r="E1022" s="3486"/>
      <c r="F1022" s="3486"/>
      <c r="G1022" s="3486"/>
      <c r="H1022" s="3486"/>
      <c r="I1022" s="3486"/>
      <c r="J1022" s="3486"/>
      <c r="K1022" s="3486"/>
      <c r="L1022" s="3486"/>
      <c r="M1022" s="3486"/>
      <c r="N1022" s="3486"/>
      <c r="O1022" s="3486"/>
      <c r="P1022" s="3486"/>
      <c r="Q1022" s="3486"/>
      <c r="R1022" s="3486"/>
      <c r="S1022" s="3486"/>
      <c r="T1022" s="3486"/>
      <c r="U1022" s="3486"/>
      <c r="V1022" s="3486"/>
      <c r="W1022" s="3486"/>
      <c r="X1022" s="3486"/>
      <c r="Y1022" s="3943"/>
    </row>
    <row r="1023" spans="1:25" s="3492" customFormat="1">
      <c r="A1023" s="3485"/>
      <c r="B1023" s="3486"/>
      <c r="C1023" s="3486"/>
      <c r="D1023" s="3486"/>
      <c r="E1023" s="3486"/>
      <c r="F1023" s="3486"/>
      <c r="G1023" s="3486"/>
      <c r="H1023" s="3486"/>
      <c r="I1023" s="3486"/>
      <c r="J1023" s="3486"/>
      <c r="K1023" s="3486"/>
      <c r="L1023" s="3486"/>
      <c r="M1023" s="3486"/>
      <c r="N1023" s="3486"/>
      <c r="O1023" s="3486"/>
      <c r="P1023" s="3486"/>
      <c r="Q1023" s="3486"/>
      <c r="R1023" s="3486"/>
      <c r="S1023" s="3486"/>
      <c r="T1023" s="3486"/>
      <c r="U1023" s="3486"/>
      <c r="V1023" s="3486"/>
      <c r="W1023" s="3486"/>
      <c r="X1023" s="3486"/>
      <c r="Y1023" s="3943"/>
    </row>
    <row r="1024" spans="1:25" s="3492" customFormat="1">
      <c r="A1024" s="3485"/>
      <c r="B1024" s="3486"/>
      <c r="C1024" s="3486"/>
      <c r="D1024" s="3486"/>
      <c r="E1024" s="3486"/>
      <c r="F1024" s="3486"/>
      <c r="G1024" s="3486"/>
      <c r="H1024" s="3486"/>
      <c r="I1024" s="3486"/>
      <c r="J1024" s="3486"/>
      <c r="K1024" s="3486"/>
      <c r="L1024" s="3486"/>
      <c r="M1024" s="3486"/>
      <c r="N1024" s="3486"/>
      <c r="O1024" s="3486"/>
      <c r="P1024" s="3486"/>
      <c r="Q1024" s="3486"/>
      <c r="R1024" s="3486"/>
      <c r="S1024" s="3486"/>
      <c r="T1024" s="3486"/>
      <c r="U1024" s="3486"/>
      <c r="V1024" s="3486"/>
      <c r="W1024" s="3486"/>
      <c r="X1024" s="3486"/>
      <c r="Y1024" s="3943"/>
    </row>
    <row r="1025" spans="1:25" s="3492" customFormat="1">
      <c r="A1025" s="3485"/>
      <c r="B1025" s="3486"/>
      <c r="C1025" s="3486"/>
      <c r="D1025" s="3486"/>
      <c r="E1025" s="3486"/>
      <c r="F1025" s="3486"/>
      <c r="G1025" s="3486"/>
      <c r="H1025" s="3486"/>
      <c r="I1025" s="3486"/>
      <c r="J1025" s="3486"/>
      <c r="K1025" s="3486"/>
      <c r="L1025" s="3486"/>
      <c r="M1025" s="3486"/>
      <c r="N1025" s="3486"/>
      <c r="O1025" s="3486"/>
      <c r="P1025" s="3486"/>
      <c r="Q1025" s="3486"/>
      <c r="R1025" s="3486"/>
      <c r="S1025" s="3486"/>
      <c r="T1025" s="3486"/>
      <c r="U1025" s="3486"/>
      <c r="V1025" s="3486"/>
      <c r="W1025" s="3486"/>
      <c r="X1025" s="3486"/>
      <c r="Y1025" s="3943"/>
    </row>
    <row r="1026" spans="1:25" s="3492" customFormat="1">
      <c r="A1026" s="3485"/>
      <c r="B1026" s="3486"/>
      <c r="C1026" s="3486"/>
      <c r="D1026" s="3486"/>
      <c r="E1026" s="3486"/>
      <c r="F1026" s="3486"/>
      <c r="G1026" s="3486"/>
      <c r="H1026" s="3486"/>
      <c r="I1026" s="3486"/>
      <c r="J1026" s="3486"/>
      <c r="K1026" s="3486"/>
      <c r="L1026" s="3486"/>
      <c r="M1026" s="3486"/>
      <c r="N1026" s="3486"/>
      <c r="O1026" s="3486"/>
      <c r="P1026" s="3486"/>
      <c r="Q1026" s="3486"/>
      <c r="R1026" s="3486"/>
      <c r="S1026" s="3486"/>
      <c r="T1026" s="3486"/>
      <c r="U1026" s="3486"/>
      <c r="V1026" s="3486"/>
      <c r="W1026" s="3486"/>
      <c r="X1026" s="3486"/>
      <c r="Y1026" s="3943"/>
    </row>
    <row r="1027" spans="1:25" s="3492" customFormat="1">
      <c r="A1027" s="3485"/>
      <c r="B1027" s="3486"/>
      <c r="C1027" s="3486"/>
      <c r="D1027" s="3486"/>
      <c r="E1027" s="3486"/>
      <c r="F1027" s="3486"/>
      <c r="G1027" s="3486"/>
      <c r="H1027" s="3486"/>
      <c r="I1027" s="3486"/>
      <c r="J1027" s="3486"/>
      <c r="K1027" s="3486"/>
      <c r="L1027" s="3486"/>
      <c r="M1027" s="3486"/>
      <c r="N1027" s="3486"/>
      <c r="O1027" s="3486"/>
      <c r="P1027" s="3486"/>
      <c r="Q1027" s="3486"/>
      <c r="R1027" s="3486"/>
      <c r="S1027" s="3486"/>
      <c r="T1027" s="3486"/>
      <c r="U1027" s="3486"/>
      <c r="V1027" s="3486"/>
      <c r="W1027" s="3486"/>
      <c r="X1027" s="3486"/>
      <c r="Y1027" s="3943"/>
    </row>
    <row r="1028" spans="1:25" s="3492" customFormat="1">
      <c r="A1028" s="3485"/>
      <c r="B1028" s="3486"/>
      <c r="C1028" s="3486"/>
      <c r="D1028" s="3486"/>
      <c r="E1028" s="3486"/>
      <c r="F1028" s="3486"/>
      <c r="G1028" s="3486"/>
      <c r="H1028" s="3486"/>
      <c r="I1028" s="3486"/>
      <c r="J1028" s="3486"/>
      <c r="K1028" s="3486"/>
      <c r="L1028" s="3486"/>
      <c r="M1028" s="3486"/>
      <c r="N1028" s="3486"/>
      <c r="O1028" s="3486"/>
      <c r="P1028" s="3486"/>
      <c r="Q1028" s="3486"/>
      <c r="R1028" s="3486"/>
      <c r="S1028" s="3486"/>
      <c r="T1028" s="3486"/>
      <c r="U1028" s="3486"/>
      <c r="V1028" s="3486"/>
      <c r="W1028" s="3486"/>
      <c r="X1028" s="3486"/>
      <c r="Y1028" s="3943"/>
    </row>
    <row r="1029" spans="1:25" s="3492" customFormat="1">
      <c r="A1029" s="3485"/>
      <c r="B1029" s="3486"/>
      <c r="C1029" s="3486"/>
      <c r="D1029" s="3486"/>
      <c r="E1029" s="3486"/>
      <c r="F1029" s="3486"/>
      <c r="G1029" s="3486"/>
      <c r="H1029" s="3486"/>
      <c r="I1029" s="3486"/>
      <c r="J1029" s="3486"/>
      <c r="K1029" s="3486"/>
      <c r="L1029" s="3486"/>
      <c r="M1029" s="3486"/>
      <c r="N1029" s="3486"/>
      <c r="O1029" s="3486"/>
      <c r="P1029" s="3486"/>
      <c r="Q1029" s="3486"/>
      <c r="R1029" s="3486"/>
      <c r="S1029" s="3486"/>
      <c r="T1029" s="3486"/>
      <c r="U1029" s="3486"/>
      <c r="V1029" s="3486"/>
      <c r="W1029" s="3486"/>
      <c r="X1029" s="3486"/>
      <c r="Y1029" s="3943"/>
    </row>
    <row r="1030" spans="1:25" s="3492" customFormat="1">
      <c r="A1030" s="3485"/>
      <c r="B1030" s="3486"/>
      <c r="C1030" s="3486"/>
      <c r="D1030" s="3486"/>
      <c r="E1030" s="3486"/>
      <c r="F1030" s="3486"/>
      <c r="G1030" s="3486"/>
      <c r="H1030" s="3486"/>
      <c r="I1030" s="3486"/>
      <c r="J1030" s="3486"/>
      <c r="K1030" s="3486"/>
      <c r="L1030" s="3486"/>
      <c r="M1030" s="3486"/>
      <c r="N1030" s="3486"/>
      <c r="O1030" s="3486"/>
      <c r="P1030" s="3486"/>
      <c r="Q1030" s="3486"/>
      <c r="R1030" s="3486"/>
      <c r="S1030" s="3486"/>
      <c r="T1030" s="3486"/>
      <c r="U1030" s="3486"/>
      <c r="V1030" s="3486"/>
      <c r="W1030" s="3486"/>
      <c r="X1030" s="3486"/>
      <c r="Y1030" s="3943"/>
    </row>
    <row r="1031" spans="1:25" s="3492" customFormat="1">
      <c r="A1031" s="3485"/>
      <c r="B1031" s="3486"/>
      <c r="C1031" s="3486"/>
      <c r="D1031" s="3486"/>
      <c r="E1031" s="3486"/>
      <c r="F1031" s="3486"/>
      <c r="G1031" s="3486"/>
      <c r="H1031" s="3486"/>
      <c r="I1031" s="3486"/>
      <c r="J1031" s="3486"/>
      <c r="K1031" s="3486"/>
      <c r="L1031" s="3486"/>
      <c r="M1031" s="3486"/>
      <c r="N1031" s="3486"/>
      <c r="O1031" s="3486"/>
      <c r="P1031" s="3486"/>
      <c r="Q1031" s="3486"/>
      <c r="R1031" s="3486"/>
      <c r="S1031" s="3486"/>
      <c r="T1031" s="3486"/>
      <c r="U1031" s="3486"/>
      <c r="V1031" s="3486"/>
      <c r="W1031" s="3486"/>
      <c r="X1031" s="3486"/>
      <c r="Y1031" s="3943"/>
    </row>
    <row r="1032" spans="1:25" s="3492" customFormat="1">
      <c r="A1032" s="3485"/>
      <c r="B1032" s="3486"/>
      <c r="C1032" s="3486"/>
      <c r="D1032" s="3486"/>
      <c r="E1032" s="3486"/>
      <c r="F1032" s="3486"/>
      <c r="G1032" s="3486"/>
      <c r="H1032" s="3486"/>
      <c r="I1032" s="3486"/>
      <c r="J1032" s="3486"/>
      <c r="K1032" s="3486"/>
      <c r="L1032" s="3486"/>
      <c r="M1032" s="3486"/>
      <c r="N1032" s="3486"/>
      <c r="O1032" s="3486"/>
      <c r="P1032" s="3486"/>
      <c r="Q1032" s="3486"/>
      <c r="R1032" s="3486"/>
      <c r="S1032" s="3486"/>
      <c r="T1032" s="3486"/>
      <c r="U1032" s="3486"/>
      <c r="V1032" s="3486"/>
      <c r="W1032" s="3486"/>
      <c r="X1032" s="3486"/>
      <c r="Y1032" s="3943"/>
    </row>
    <row r="1033" spans="1:25" s="3492" customFormat="1">
      <c r="A1033" s="3485"/>
      <c r="B1033" s="3486"/>
      <c r="C1033" s="3486"/>
      <c r="D1033" s="3486"/>
      <c r="E1033" s="3486"/>
      <c r="F1033" s="3486"/>
      <c r="G1033" s="3486"/>
      <c r="H1033" s="3486"/>
      <c r="I1033" s="3486"/>
      <c r="J1033" s="3486"/>
      <c r="K1033" s="3486"/>
      <c r="L1033" s="3486"/>
      <c r="M1033" s="3486"/>
      <c r="N1033" s="3486"/>
      <c r="O1033" s="3486"/>
      <c r="P1033" s="3486"/>
      <c r="Q1033" s="3486"/>
      <c r="R1033" s="3486"/>
      <c r="S1033" s="3486"/>
      <c r="T1033" s="3486"/>
      <c r="U1033" s="3486"/>
      <c r="V1033" s="3486"/>
      <c r="W1033" s="3486"/>
      <c r="X1033" s="3486"/>
      <c r="Y1033" s="3943"/>
    </row>
    <row r="1034" spans="1:25" s="3492" customFormat="1">
      <c r="A1034" s="3485"/>
      <c r="B1034" s="3486"/>
      <c r="C1034" s="3486"/>
      <c r="D1034" s="3486"/>
      <c r="E1034" s="3486"/>
      <c r="F1034" s="3486"/>
      <c r="G1034" s="3486"/>
      <c r="H1034" s="3486"/>
      <c r="I1034" s="3486"/>
      <c r="J1034" s="3486"/>
      <c r="K1034" s="3486"/>
      <c r="L1034" s="3486"/>
      <c r="M1034" s="3486"/>
      <c r="N1034" s="3486"/>
      <c r="O1034" s="3486"/>
      <c r="P1034" s="3486"/>
      <c r="Q1034" s="3486"/>
      <c r="R1034" s="3486"/>
      <c r="S1034" s="3486"/>
      <c r="T1034" s="3486"/>
      <c r="U1034" s="3486"/>
      <c r="V1034" s="3486"/>
      <c r="W1034" s="3486"/>
      <c r="X1034" s="3486"/>
      <c r="Y1034" s="3943"/>
    </row>
    <row r="1035" spans="1:25" s="3492" customFormat="1">
      <c r="A1035" s="3485"/>
      <c r="B1035" s="3486"/>
      <c r="C1035" s="3486"/>
      <c r="D1035" s="3486"/>
      <c r="E1035" s="3486"/>
      <c r="F1035" s="3486"/>
      <c r="G1035" s="3486"/>
      <c r="H1035" s="3486"/>
      <c r="I1035" s="3486"/>
      <c r="J1035" s="3486"/>
      <c r="K1035" s="3486"/>
      <c r="L1035" s="3486"/>
      <c r="M1035" s="3486"/>
      <c r="N1035" s="3486"/>
      <c r="O1035" s="3486"/>
      <c r="P1035" s="3486"/>
      <c r="Q1035" s="3486"/>
      <c r="R1035" s="3486"/>
      <c r="S1035" s="3486"/>
      <c r="T1035" s="3486"/>
      <c r="U1035" s="3486"/>
      <c r="V1035" s="3486"/>
      <c r="W1035" s="3486"/>
      <c r="X1035" s="3486"/>
      <c r="Y1035" s="3943"/>
    </row>
    <row r="1036" spans="1:25" s="3492" customFormat="1">
      <c r="A1036" s="3485"/>
      <c r="B1036" s="3486"/>
      <c r="C1036" s="3486"/>
      <c r="D1036" s="3486"/>
      <c r="E1036" s="3486"/>
      <c r="F1036" s="3486"/>
      <c r="G1036" s="3486"/>
      <c r="H1036" s="3486"/>
      <c r="I1036" s="3486"/>
      <c r="J1036" s="3486"/>
      <c r="K1036" s="3486"/>
      <c r="L1036" s="3486"/>
      <c r="M1036" s="3486"/>
      <c r="N1036" s="3486"/>
      <c r="O1036" s="3486"/>
      <c r="P1036" s="3486"/>
      <c r="Q1036" s="3486"/>
      <c r="R1036" s="3486"/>
      <c r="S1036" s="3486"/>
      <c r="T1036" s="3486"/>
      <c r="U1036" s="3486"/>
      <c r="V1036" s="3486"/>
      <c r="W1036" s="3486"/>
      <c r="X1036" s="3486"/>
      <c r="Y1036" s="3943"/>
    </row>
    <row r="1037" spans="1:25" s="3492" customFormat="1">
      <c r="A1037" s="3485"/>
      <c r="B1037" s="3486"/>
      <c r="C1037" s="3486"/>
      <c r="D1037" s="3486"/>
      <c r="E1037" s="3486"/>
      <c r="F1037" s="3486"/>
      <c r="G1037" s="3486"/>
      <c r="H1037" s="3486"/>
      <c r="I1037" s="3486"/>
      <c r="J1037" s="3486"/>
      <c r="K1037" s="3486"/>
      <c r="L1037" s="3486"/>
      <c r="M1037" s="3486"/>
      <c r="N1037" s="3486"/>
      <c r="O1037" s="3486"/>
      <c r="P1037" s="3486"/>
      <c r="Q1037" s="3486"/>
      <c r="R1037" s="3486"/>
      <c r="S1037" s="3486"/>
      <c r="T1037" s="3486"/>
      <c r="U1037" s="3486"/>
      <c r="V1037" s="3486"/>
      <c r="W1037" s="3486"/>
      <c r="X1037" s="3486"/>
      <c r="Y1037" s="3943"/>
    </row>
    <row r="1038" spans="1:25" s="3492" customFormat="1">
      <c r="A1038" s="3485"/>
      <c r="B1038" s="3486"/>
      <c r="C1038" s="3486"/>
      <c r="D1038" s="3486"/>
      <c r="E1038" s="3486"/>
      <c r="F1038" s="3486"/>
      <c r="G1038" s="3486"/>
      <c r="H1038" s="3486"/>
      <c r="I1038" s="3486"/>
      <c r="J1038" s="3486"/>
      <c r="K1038" s="3486"/>
      <c r="L1038" s="3486"/>
      <c r="M1038" s="3486"/>
      <c r="N1038" s="3486"/>
      <c r="O1038" s="3486"/>
      <c r="P1038" s="3486"/>
      <c r="Q1038" s="3486"/>
      <c r="R1038" s="3486"/>
      <c r="S1038" s="3486"/>
      <c r="T1038" s="3486"/>
      <c r="U1038" s="3486"/>
      <c r="V1038" s="3486"/>
      <c r="W1038" s="3486"/>
      <c r="X1038" s="3486"/>
      <c r="Y1038" s="3943"/>
    </row>
    <row r="1039" spans="1:25" s="3492" customFormat="1">
      <c r="A1039" s="3485"/>
      <c r="B1039" s="3486"/>
      <c r="C1039" s="3486"/>
      <c r="D1039" s="3486"/>
      <c r="E1039" s="3486"/>
      <c r="F1039" s="3486"/>
      <c r="G1039" s="3486"/>
      <c r="H1039" s="3486"/>
      <c r="I1039" s="3486"/>
      <c r="J1039" s="3486"/>
      <c r="K1039" s="3486"/>
      <c r="L1039" s="3486"/>
      <c r="M1039" s="3486"/>
      <c r="N1039" s="3486"/>
      <c r="O1039" s="3486"/>
      <c r="P1039" s="3486"/>
      <c r="Q1039" s="3486"/>
      <c r="R1039" s="3486"/>
      <c r="S1039" s="3486"/>
      <c r="T1039" s="3486"/>
      <c r="U1039" s="3486"/>
      <c r="V1039" s="3486"/>
      <c r="W1039" s="3486"/>
      <c r="X1039" s="3486"/>
      <c r="Y1039" s="3943"/>
    </row>
    <row r="1040" spans="1:25" s="3492" customFormat="1">
      <c r="A1040" s="3485"/>
      <c r="B1040" s="3486"/>
      <c r="C1040" s="3486"/>
      <c r="D1040" s="3486"/>
      <c r="E1040" s="3486"/>
      <c r="F1040" s="3486"/>
      <c r="G1040" s="3486"/>
      <c r="H1040" s="3486"/>
      <c r="I1040" s="3486"/>
      <c r="J1040" s="3486"/>
      <c r="K1040" s="3486"/>
      <c r="L1040" s="3486"/>
      <c r="M1040" s="3486"/>
      <c r="N1040" s="3486"/>
      <c r="O1040" s="3486"/>
      <c r="P1040" s="3486"/>
      <c r="Q1040" s="3486"/>
      <c r="R1040" s="3486"/>
      <c r="S1040" s="3486"/>
      <c r="T1040" s="3486"/>
      <c r="U1040" s="3486"/>
      <c r="V1040" s="3486"/>
      <c r="W1040" s="3486"/>
      <c r="X1040" s="3486"/>
      <c r="Y1040" s="3943"/>
    </row>
    <row r="1041" spans="1:25" s="3492" customFormat="1">
      <c r="A1041" s="3485"/>
      <c r="B1041" s="3486"/>
      <c r="C1041" s="3486"/>
      <c r="D1041" s="3486"/>
      <c r="E1041" s="3486"/>
      <c r="F1041" s="3486"/>
      <c r="G1041" s="3486"/>
      <c r="H1041" s="3486"/>
      <c r="I1041" s="3486"/>
      <c r="J1041" s="3486"/>
      <c r="K1041" s="3486"/>
      <c r="L1041" s="3486"/>
      <c r="M1041" s="3486"/>
      <c r="N1041" s="3486"/>
      <c r="O1041" s="3486"/>
      <c r="P1041" s="3486"/>
      <c r="Q1041" s="3486"/>
      <c r="R1041" s="3486"/>
      <c r="S1041" s="3486"/>
      <c r="T1041" s="3486"/>
      <c r="U1041" s="3486"/>
      <c r="V1041" s="3486"/>
      <c r="W1041" s="3486"/>
      <c r="X1041" s="3486"/>
      <c r="Y1041" s="3943"/>
    </row>
    <row r="1042" spans="1:25" s="3492" customFormat="1">
      <c r="A1042" s="3485"/>
      <c r="B1042" s="3486"/>
      <c r="C1042" s="3486"/>
      <c r="D1042" s="3486"/>
      <c r="E1042" s="3486"/>
      <c r="F1042" s="3486"/>
      <c r="G1042" s="3486"/>
      <c r="H1042" s="3486"/>
      <c r="I1042" s="3486"/>
      <c r="J1042" s="3486"/>
      <c r="K1042" s="3486"/>
      <c r="L1042" s="3486"/>
      <c r="M1042" s="3486"/>
      <c r="N1042" s="3486"/>
      <c r="O1042" s="3486"/>
      <c r="P1042" s="3486"/>
      <c r="Q1042" s="3486"/>
      <c r="R1042" s="3486"/>
      <c r="S1042" s="3486"/>
      <c r="T1042" s="3486"/>
      <c r="U1042" s="3486"/>
      <c r="V1042" s="3486"/>
      <c r="W1042" s="3486"/>
      <c r="X1042" s="3486"/>
      <c r="Y1042" s="3943"/>
    </row>
    <row r="1043" spans="1:25" s="3492" customFormat="1">
      <c r="A1043" s="3485"/>
      <c r="B1043" s="3486"/>
      <c r="C1043" s="3486"/>
      <c r="D1043" s="3486"/>
      <c r="E1043" s="3486"/>
      <c r="F1043" s="3486"/>
      <c r="G1043" s="3486"/>
      <c r="H1043" s="3486"/>
      <c r="I1043" s="3486"/>
      <c r="J1043" s="3486"/>
      <c r="K1043" s="3486"/>
      <c r="L1043" s="3486"/>
      <c r="M1043" s="3486"/>
      <c r="N1043" s="3486"/>
      <c r="O1043" s="3486"/>
      <c r="P1043" s="3486"/>
      <c r="Q1043" s="3486"/>
      <c r="R1043" s="3486"/>
      <c r="S1043" s="3486"/>
      <c r="T1043" s="3486"/>
      <c r="U1043" s="3486"/>
      <c r="V1043" s="3486"/>
      <c r="W1043" s="3486"/>
      <c r="X1043" s="3486"/>
      <c r="Y1043" s="3943"/>
    </row>
    <row r="1044" spans="1:25" s="3492" customFormat="1">
      <c r="A1044" s="3485"/>
      <c r="B1044" s="3486"/>
      <c r="C1044" s="3486"/>
      <c r="D1044" s="3486"/>
      <c r="E1044" s="3486"/>
      <c r="F1044" s="3486"/>
      <c r="G1044" s="3486"/>
      <c r="H1044" s="3486"/>
      <c r="I1044" s="3486"/>
      <c r="J1044" s="3486"/>
      <c r="K1044" s="3486"/>
      <c r="L1044" s="3486"/>
      <c r="M1044" s="3486"/>
      <c r="N1044" s="3486"/>
      <c r="O1044" s="3486"/>
      <c r="P1044" s="3486"/>
      <c r="Q1044" s="3486"/>
      <c r="R1044" s="3486"/>
      <c r="S1044" s="3486"/>
      <c r="T1044" s="3486"/>
      <c r="U1044" s="3486"/>
      <c r="V1044" s="3486"/>
      <c r="W1044" s="3486"/>
      <c r="X1044" s="3486"/>
      <c r="Y1044" s="3943"/>
    </row>
    <row r="1045" spans="1:25" s="3492" customFormat="1">
      <c r="A1045" s="3485"/>
      <c r="B1045" s="3486"/>
      <c r="C1045" s="3486"/>
      <c r="D1045" s="3486"/>
      <c r="E1045" s="3486"/>
      <c r="F1045" s="3486"/>
      <c r="G1045" s="3486"/>
      <c r="H1045" s="3486"/>
      <c r="I1045" s="3486"/>
      <c r="J1045" s="3486"/>
      <c r="K1045" s="3486"/>
      <c r="L1045" s="3486"/>
      <c r="M1045" s="3486"/>
      <c r="N1045" s="3486"/>
      <c r="O1045" s="3486"/>
      <c r="P1045" s="3486"/>
      <c r="Q1045" s="3486"/>
      <c r="R1045" s="3486"/>
      <c r="S1045" s="3486"/>
      <c r="T1045" s="3486"/>
      <c r="U1045" s="3486"/>
      <c r="V1045" s="3486"/>
      <c r="W1045" s="3486"/>
      <c r="X1045" s="3486"/>
      <c r="Y1045" s="3943"/>
    </row>
    <row r="1046" spans="1:25" s="3492" customFormat="1">
      <c r="A1046" s="3485"/>
      <c r="B1046" s="3486"/>
      <c r="C1046" s="3486"/>
      <c r="D1046" s="3486"/>
      <c r="E1046" s="3486"/>
      <c r="F1046" s="3486"/>
      <c r="G1046" s="3486"/>
      <c r="H1046" s="3486"/>
      <c r="I1046" s="3486"/>
      <c r="J1046" s="3486"/>
      <c r="K1046" s="3486"/>
      <c r="L1046" s="3486"/>
      <c r="M1046" s="3486"/>
      <c r="N1046" s="3486"/>
      <c r="O1046" s="3486"/>
      <c r="P1046" s="3486"/>
      <c r="Q1046" s="3486"/>
      <c r="R1046" s="3486"/>
      <c r="S1046" s="3486"/>
      <c r="T1046" s="3486"/>
      <c r="U1046" s="3486"/>
      <c r="V1046" s="3486"/>
      <c r="W1046" s="3486"/>
      <c r="X1046" s="3486"/>
      <c r="Y1046" s="3943"/>
    </row>
    <row r="1047" spans="1:25" s="3492" customFormat="1">
      <c r="A1047" s="3485"/>
      <c r="B1047" s="3486"/>
      <c r="C1047" s="3486"/>
      <c r="D1047" s="3486"/>
      <c r="E1047" s="3486"/>
      <c r="F1047" s="3486"/>
      <c r="G1047" s="3486"/>
      <c r="H1047" s="3486"/>
      <c r="I1047" s="3486"/>
      <c r="J1047" s="3486"/>
      <c r="K1047" s="3486"/>
      <c r="L1047" s="3486"/>
      <c r="M1047" s="3486"/>
      <c r="N1047" s="3486"/>
      <c r="O1047" s="3486"/>
      <c r="P1047" s="3486"/>
      <c r="Q1047" s="3486"/>
      <c r="R1047" s="3486"/>
      <c r="S1047" s="3486"/>
      <c r="T1047" s="3486"/>
      <c r="U1047" s="3486"/>
      <c r="V1047" s="3486"/>
      <c r="W1047" s="3486"/>
      <c r="X1047" s="3486"/>
      <c r="Y1047" s="3943"/>
    </row>
    <row r="1048" spans="1:25" s="3492" customFormat="1">
      <c r="A1048" s="3485"/>
      <c r="B1048" s="3486"/>
      <c r="C1048" s="3486"/>
      <c r="D1048" s="3486"/>
      <c r="E1048" s="3486"/>
      <c r="F1048" s="3486"/>
      <c r="G1048" s="3486"/>
      <c r="H1048" s="3486"/>
      <c r="I1048" s="3486"/>
      <c r="J1048" s="3486"/>
      <c r="K1048" s="3486"/>
      <c r="L1048" s="3486"/>
      <c r="M1048" s="3486"/>
      <c r="N1048" s="3486"/>
      <c r="O1048" s="3486"/>
      <c r="P1048" s="3486"/>
      <c r="Q1048" s="3486"/>
      <c r="R1048" s="3486"/>
      <c r="S1048" s="3486"/>
      <c r="T1048" s="3486"/>
      <c r="U1048" s="3486"/>
      <c r="V1048" s="3486"/>
      <c r="W1048" s="3486"/>
      <c r="X1048" s="3486"/>
      <c r="Y1048" s="3943"/>
    </row>
    <row r="1049" spans="1:25" s="3492" customFormat="1">
      <c r="A1049" s="3485"/>
      <c r="B1049" s="3486"/>
      <c r="C1049" s="3486"/>
      <c r="D1049" s="3486"/>
      <c r="E1049" s="3486"/>
      <c r="F1049" s="3486"/>
      <c r="G1049" s="3486"/>
      <c r="H1049" s="3486"/>
      <c r="I1049" s="3486"/>
      <c r="J1049" s="3486"/>
      <c r="K1049" s="3486"/>
      <c r="L1049" s="3486"/>
      <c r="M1049" s="3486"/>
      <c r="N1049" s="3486"/>
      <c r="O1049" s="3486"/>
      <c r="P1049" s="3486"/>
      <c r="Q1049" s="3486"/>
      <c r="R1049" s="3486"/>
      <c r="S1049" s="3486"/>
      <c r="T1049" s="3486"/>
      <c r="U1049" s="3486"/>
      <c r="V1049" s="3486"/>
      <c r="W1049" s="3486"/>
      <c r="X1049" s="3486"/>
      <c r="Y1049" s="3943"/>
    </row>
    <row r="1050" spans="1:25" s="3492" customFormat="1">
      <c r="A1050" s="3485"/>
      <c r="B1050" s="3486"/>
      <c r="C1050" s="3486"/>
      <c r="D1050" s="3486"/>
      <c r="E1050" s="3486"/>
      <c r="F1050" s="3486"/>
      <c r="G1050" s="3486"/>
      <c r="H1050" s="3486"/>
      <c r="I1050" s="3486"/>
      <c r="J1050" s="3486"/>
      <c r="K1050" s="3486"/>
      <c r="L1050" s="3486"/>
      <c r="M1050" s="3486"/>
      <c r="N1050" s="3486"/>
      <c r="O1050" s="3486"/>
      <c r="P1050" s="3486"/>
      <c r="Q1050" s="3486"/>
      <c r="R1050" s="3486"/>
      <c r="S1050" s="3486"/>
      <c r="T1050" s="3486"/>
      <c r="U1050" s="3486"/>
      <c r="V1050" s="3486"/>
      <c r="W1050" s="3486"/>
      <c r="X1050" s="3486"/>
      <c r="Y1050" s="3943"/>
    </row>
    <row r="1051" spans="1:25" s="3492" customFormat="1">
      <c r="A1051" s="3485"/>
      <c r="B1051" s="3486"/>
      <c r="C1051" s="3486"/>
      <c r="D1051" s="3486"/>
      <c r="E1051" s="3486"/>
      <c r="F1051" s="3486"/>
      <c r="G1051" s="3486"/>
      <c r="H1051" s="3486"/>
      <c r="I1051" s="3486"/>
      <c r="J1051" s="3486"/>
      <c r="K1051" s="3486"/>
      <c r="L1051" s="3486"/>
      <c r="M1051" s="3486"/>
      <c r="N1051" s="3486"/>
      <c r="O1051" s="3486"/>
      <c r="P1051" s="3486"/>
      <c r="Q1051" s="3486"/>
      <c r="R1051" s="3486"/>
      <c r="S1051" s="3486"/>
      <c r="T1051" s="3486"/>
      <c r="U1051" s="3486"/>
      <c r="V1051" s="3486"/>
      <c r="W1051" s="3486"/>
      <c r="X1051" s="3486"/>
      <c r="Y1051" s="3943"/>
    </row>
    <row r="1052" spans="1:25" s="3492" customFormat="1">
      <c r="A1052" s="3485"/>
      <c r="B1052" s="3486"/>
      <c r="C1052" s="3486"/>
      <c r="D1052" s="3486"/>
      <c r="E1052" s="3486"/>
      <c r="F1052" s="3486"/>
      <c r="G1052" s="3486"/>
      <c r="H1052" s="3486"/>
      <c r="I1052" s="3486"/>
      <c r="J1052" s="3486"/>
      <c r="K1052" s="3486"/>
      <c r="L1052" s="3486"/>
      <c r="M1052" s="3486"/>
      <c r="N1052" s="3486"/>
      <c r="O1052" s="3486"/>
      <c r="P1052" s="3486"/>
      <c r="Q1052" s="3486"/>
      <c r="R1052" s="3486"/>
      <c r="S1052" s="3486"/>
      <c r="T1052" s="3486"/>
      <c r="U1052" s="3486"/>
      <c r="V1052" s="3486"/>
      <c r="W1052" s="3486"/>
      <c r="X1052" s="3486"/>
      <c r="Y1052" s="3943"/>
    </row>
    <row r="1053" spans="1:25" s="3492" customFormat="1">
      <c r="A1053" s="3485"/>
      <c r="B1053" s="3486"/>
      <c r="C1053" s="3486"/>
      <c r="D1053" s="3486"/>
      <c r="E1053" s="3486"/>
      <c r="F1053" s="3486"/>
      <c r="G1053" s="3486"/>
      <c r="H1053" s="3486"/>
      <c r="I1053" s="3486"/>
      <c r="J1053" s="3486"/>
      <c r="K1053" s="3486"/>
      <c r="L1053" s="3486"/>
      <c r="M1053" s="3486"/>
      <c r="N1053" s="3486"/>
      <c r="O1053" s="3486"/>
      <c r="P1053" s="3486"/>
      <c r="Q1053" s="3486"/>
      <c r="R1053" s="3486"/>
      <c r="S1053" s="3486"/>
      <c r="T1053" s="3486"/>
      <c r="U1053" s="3486"/>
      <c r="V1053" s="3486"/>
      <c r="W1053" s="3486"/>
      <c r="X1053" s="3486"/>
      <c r="Y1053" s="3943"/>
    </row>
    <row r="1054" spans="1:25" s="3492" customFormat="1">
      <c r="A1054" s="3485"/>
      <c r="B1054" s="3486"/>
      <c r="C1054" s="3486"/>
      <c r="D1054" s="3486"/>
      <c r="E1054" s="3486"/>
      <c r="F1054" s="3486"/>
      <c r="G1054" s="3486"/>
      <c r="H1054" s="3486"/>
      <c r="I1054" s="3486"/>
      <c r="J1054" s="3486"/>
      <c r="K1054" s="3486"/>
      <c r="L1054" s="3486"/>
      <c r="M1054" s="3486"/>
      <c r="N1054" s="3486"/>
      <c r="O1054" s="3486"/>
      <c r="P1054" s="3486"/>
      <c r="Q1054" s="3486"/>
      <c r="R1054" s="3486"/>
      <c r="S1054" s="3486"/>
      <c r="T1054" s="3486"/>
      <c r="U1054" s="3486"/>
      <c r="V1054" s="3486"/>
      <c r="W1054" s="3486"/>
      <c r="X1054" s="3486"/>
      <c r="Y1054" s="3943"/>
    </row>
    <row r="1055" spans="1:25" s="3492" customFormat="1">
      <c r="A1055" s="3485"/>
      <c r="B1055" s="3486"/>
      <c r="C1055" s="3486"/>
      <c r="D1055" s="3486"/>
      <c r="E1055" s="3486"/>
      <c r="F1055" s="3486"/>
      <c r="G1055" s="3486"/>
      <c r="H1055" s="3486"/>
      <c r="I1055" s="3486"/>
      <c r="J1055" s="3486"/>
      <c r="K1055" s="3486"/>
      <c r="L1055" s="3486"/>
      <c r="M1055" s="3486"/>
      <c r="N1055" s="3486"/>
      <c r="O1055" s="3486"/>
      <c r="P1055" s="3486"/>
      <c r="Q1055" s="3486"/>
      <c r="R1055" s="3486"/>
      <c r="S1055" s="3486"/>
      <c r="T1055" s="3486"/>
      <c r="U1055" s="3486"/>
      <c r="V1055" s="3486"/>
      <c r="W1055" s="3486"/>
      <c r="X1055" s="3486"/>
      <c r="Y1055" s="3943"/>
    </row>
    <row r="1056" spans="1:25" s="3492" customFormat="1">
      <c r="A1056" s="3485"/>
      <c r="B1056" s="3486"/>
      <c r="C1056" s="3486"/>
      <c r="D1056" s="3486"/>
      <c r="E1056" s="3486"/>
      <c r="F1056" s="3486"/>
      <c r="G1056" s="3486"/>
      <c r="H1056" s="3486"/>
      <c r="I1056" s="3486"/>
      <c r="J1056" s="3486"/>
      <c r="K1056" s="3486"/>
      <c r="L1056" s="3486"/>
      <c r="M1056" s="3486"/>
      <c r="N1056" s="3486"/>
      <c r="O1056" s="3486"/>
      <c r="P1056" s="3486"/>
      <c r="Q1056" s="3486"/>
      <c r="R1056" s="3486"/>
      <c r="S1056" s="3486"/>
      <c r="T1056" s="3486"/>
      <c r="U1056" s="3486"/>
      <c r="V1056" s="3486"/>
      <c r="W1056" s="3486"/>
      <c r="X1056" s="3486"/>
      <c r="Y1056" s="3943"/>
    </row>
    <row r="1057" spans="1:25" s="3492" customFormat="1">
      <c r="A1057" s="3485"/>
      <c r="B1057" s="3486"/>
      <c r="C1057" s="3486"/>
      <c r="D1057" s="3486"/>
      <c r="E1057" s="3486"/>
      <c r="F1057" s="3486"/>
      <c r="G1057" s="3486"/>
      <c r="H1057" s="3486"/>
      <c r="I1057" s="3486"/>
      <c r="J1057" s="3486"/>
      <c r="K1057" s="3486"/>
      <c r="L1057" s="3486"/>
      <c r="M1057" s="3486"/>
      <c r="N1057" s="3486"/>
      <c r="O1057" s="3486"/>
      <c r="P1057" s="3486"/>
      <c r="Q1057" s="3486"/>
      <c r="R1057" s="3486"/>
      <c r="S1057" s="3486"/>
      <c r="T1057" s="3486"/>
      <c r="U1057" s="3486"/>
      <c r="V1057" s="3486"/>
      <c r="W1057" s="3486"/>
      <c r="X1057" s="3486"/>
      <c r="Y1057" s="3943"/>
    </row>
    <row r="1058" spans="1:25" s="3492" customFormat="1">
      <c r="A1058" s="3485"/>
      <c r="B1058" s="3486"/>
      <c r="C1058" s="3486"/>
      <c r="D1058" s="3486"/>
      <c r="E1058" s="3486"/>
      <c r="F1058" s="3486"/>
      <c r="G1058" s="3486"/>
      <c r="H1058" s="3486"/>
      <c r="I1058" s="3486"/>
      <c r="J1058" s="3486"/>
      <c r="K1058" s="3486"/>
      <c r="L1058" s="3486"/>
      <c r="M1058" s="3486"/>
      <c r="N1058" s="3486"/>
      <c r="O1058" s="3486"/>
      <c r="P1058" s="3486"/>
      <c r="Q1058" s="3486"/>
      <c r="R1058" s="3486"/>
      <c r="S1058" s="3486"/>
      <c r="T1058" s="3486"/>
      <c r="U1058" s="3486"/>
      <c r="V1058" s="3486"/>
      <c r="W1058" s="3486"/>
      <c r="X1058" s="3486"/>
      <c r="Y1058" s="3943"/>
    </row>
    <row r="1059" spans="1:25" s="3492" customFormat="1">
      <c r="A1059" s="3485"/>
      <c r="B1059" s="3486"/>
      <c r="C1059" s="3486"/>
      <c r="D1059" s="3486"/>
      <c r="E1059" s="3486"/>
      <c r="F1059" s="3486"/>
      <c r="G1059" s="3486"/>
      <c r="H1059" s="3486"/>
      <c r="I1059" s="3486"/>
      <c r="J1059" s="3486"/>
      <c r="K1059" s="3486"/>
      <c r="L1059" s="3486"/>
      <c r="M1059" s="3486"/>
      <c r="N1059" s="3486"/>
      <c r="O1059" s="3486"/>
      <c r="P1059" s="3486"/>
      <c r="Q1059" s="3486"/>
      <c r="R1059" s="3486"/>
      <c r="S1059" s="3486"/>
      <c r="T1059" s="3486"/>
      <c r="U1059" s="3486"/>
      <c r="V1059" s="3486"/>
      <c r="W1059" s="3486"/>
      <c r="X1059" s="3486"/>
      <c r="Y1059" s="3943"/>
    </row>
    <row r="1060" spans="1:25" s="3492" customFormat="1">
      <c r="A1060" s="3485"/>
      <c r="B1060" s="3486"/>
      <c r="C1060" s="3486"/>
      <c r="D1060" s="3486"/>
      <c r="E1060" s="3486"/>
      <c r="F1060" s="3486"/>
      <c r="G1060" s="3486"/>
      <c r="H1060" s="3486"/>
      <c r="I1060" s="3486"/>
      <c r="J1060" s="3486"/>
      <c r="K1060" s="3486"/>
      <c r="L1060" s="3486"/>
      <c r="M1060" s="3486"/>
      <c r="N1060" s="3486"/>
      <c r="O1060" s="3486"/>
      <c r="P1060" s="3486"/>
      <c r="Q1060" s="3486"/>
      <c r="R1060" s="3486"/>
      <c r="S1060" s="3486"/>
      <c r="T1060" s="3486"/>
      <c r="U1060" s="3486"/>
      <c r="V1060" s="3486"/>
      <c r="W1060" s="3486"/>
      <c r="X1060" s="3486"/>
      <c r="Y1060" s="3943"/>
    </row>
    <row r="1061" spans="1:25" s="3492" customFormat="1">
      <c r="A1061" s="3485"/>
      <c r="B1061" s="3486"/>
      <c r="C1061" s="3486"/>
      <c r="D1061" s="3486"/>
      <c r="E1061" s="3486"/>
      <c r="F1061" s="3486"/>
      <c r="G1061" s="3486"/>
      <c r="H1061" s="3486"/>
      <c r="I1061" s="3486"/>
      <c r="J1061" s="3486"/>
      <c r="K1061" s="3486"/>
      <c r="L1061" s="3486"/>
      <c r="M1061" s="3486"/>
      <c r="N1061" s="3486"/>
      <c r="O1061" s="3486"/>
      <c r="P1061" s="3486"/>
      <c r="Q1061" s="3486"/>
      <c r="R1061" s="3486"/>
      <c r="S1061" s="3486"/>
      <c r="T1061" s="3486"/>
      <c r="U1061" s="3486"/>
      <c r="V1061" s="3486"/>
      <c r="W1061" s="3486"/>
      <c r="X1061" s="3486"/>
      <c r="Y1061" s="3943"/>
    </row>
    <row r="1062" spans="1:25" s="3492" customFormat="1">
      <c r="A1062" s="3485"/>
      <c r="B1062" s="3486"/>
      <c r="C1062" s="3486"/>
      <c r="D1062" s="3486"/>
      <c r="E1062" s="3486"/>
      <c r="F1062" s="3486"/>
      <c r="G1062" s="3486"/>
      <c r="H1062" s="3486"/>
      <c r="I1062" s="3486"/>
      <c r="J1062" s="3486"/>
      <c r="K1062" s="3486"/>
      <c r="L1062" s="3486"/>
      <c r="M1062" s="3486"/>
      <c r="N1062" s="3486"/>
      <c r="O1062" s="3486"/>
      <c r="P1062" s="3486"/>
      <c r="Q1062" s="3486"/>
      <c r="R1062" s="3486"/>
      <c r="S1062" s="3486"/>
      <c r="T1062" s="3486"/>
      <c r="U1062" s="3486"/>
      <c r="V1062" s="3486"/>
      <c r="W1062" s="3486"/>
      <c r="X1062" s="3486"/>
      <c r="Y1062" s="3943"/>
    </row>
    <row r="1063" spans="1:25" s="3492" customFormat="1">
      <c r="A1063" s="3485"/>
      <c r="B1063" s="3486"/>
      <c r="C1063" s="3486"/>
      <c r="D1063" s="3486"/>
      <c r="E1063" s="3486"/>
      <c r="F1063" s="3486"/>
      <c r="G1063" s="3486"/>
      <c r="H1063" s="3486"/>
      <c r="I1063" s="3486"/>
      <c r="J1063" s="3486"/>
      <c r="K1063" s="3486"/>
      <c r="L1063" s="3486"/>
      <c r="M1063" s="3486"/>
      <c r="N1063" s="3486"/>
      <c r="O1063" s="3486"/>
      <c r="P1063" s="3486"/>
      <c r="Q1063" s="3486"/>
      <c r="R1063" s="3486"/>
      <c r="S1063" s="3486"/>
      <c r="T1063" s="3486"/>
      <c r="U1063" s="3486"/>
      <c r="V1063" s="3486"/>
      <c r="W1063" s="3486"/>
      <c r="X1063" s="3486"/>
      <c r="Y1063" s="3943"/>
    </row>
    <row r="1064" spans="1:25" s="3492" customFormat="1">
      <c r="A1064" s="3485"/>
      <c r="B1064" s="3486"/>
      <c r="C1064" s="3486"/>
      <c r="D1064" s="3486"/>
      <c r="E1064" s="3486"/>
      <c r="F1064" s="3486"/>
      <c r="G1064" s="3486"/>
      <c r="H1064" s="3486"/>
      <c r="I1064" s="3486"/>
      <c r="J1064" s="3486"/>
      <c r="K1064" s="3486"/>
      <c r="L1064" s="3486"/>
      <c r="M1064" s="3486"/>
      <c r="N1064" s="3486"/>
      <c r="O1064" s="3486"/>
      <c r="P1064" s="3486"/>
      <c r="Q1064" s="3486"/>
      <c r="R1064" s="3486"/>
      <c r="S1064" s="3486"/>
      <c r="T1064" s="3486"/>
      <c r="U1064" s="3486"/>
      <c r="V1064" s="3486"/>
      <c r="W1064" s="3486"/>
      <c r="X1064" s="3486"/>
      <c r="Y1064" s="3943"/>
    </row>
    <row r="1065" spans="1:25" s="3492" customFormat="1">
      <c r="A1065" s="3485"/>
      <c r="B1065" s="3486"/>
      <c r="C1065" s="3486"/>
      <c r="D1065" s="3486"/>
      <c r="E1065" s="3486"/>
      <c r="F1065" s="3486"/>
      <c r="G1065" s="3486"/>
      <c r="H1065" s="3486"/>
      <c r="I1065" s="3486"/>
      <c r="J1065" s="3486"/>
      <c r="K1065" s="3486"/>
      <c r="L1065" s="3486"/>
      <c r="M1065" s="3486"/>
      <c r="N1065" s="3486"/>
      <c r="O1065" s="3486"/>
      <c r="P1065" s="3486"/>
      <c r="Q1065" s="3486"/>
      <c r="R1065" s="3486"/>
      <c r="S1065" s="3486"/>
      <c r="T1065" s="3486"/>
      <c r="U1065" s="3486"/>
      <c r="V1065" s="3486"/>
      <c r="W1065" s="3486"/>
      <c r="X1065" s="3486"/>
      <c r="Y1065" s="3943"/>
    </row>
    <row r="1066" spans="1:25" s="3492" customFormat="1">
      <c r="A1066" s="3485"/>
      <c r="B1066" s="3486"/>
      <c r="C1066" s="3486"/>
      <c r="D1066" s="3486"/>
      <c r="E1066" s="3486"/>
      <c r="F1066" s="3486"/>
      <c r="G1066" s="3486"/>
      <c r="H1066" s="3486"/>
      <c r="I1066" s="3486"/>
      <c r="J1066" s="3486"/>
      <c r="K1066" s="3486"/>
      <c r="L1066" s="3486"/>
      <c r="M1066" s="3486"/>
      <c r="N1066" s="3486"/>
      <c r="O1066" s="3486"/>
      <c r="P1066" s="3486"/>
      <c r="Q1066" s="3486"/>
      <c r="R1066" s="3486"/>
      <c r="S1066" s="3486"/>
      <c r="T1066" s="3486"/>
      <c r="U1066" s="3486"/>
      <c r="V1066" s="3486"/>
      <c r="W1066" s="3486"/>
      <c r="X1066" s="3486"/>
      <c r="Y1066" s="3943"/>
    </row>
    <row r="1067" spans="1:25" s="3492" customFormat="1">
      <c r="A1067" s="3485"/>
      <c r="B1067" s="3486"/>
      <c r="C1067" s="3486"/>
      <c r="D1067" s="3486"/>
      <c r="E1067" s="3486"/>
      <c r="F1067" s="3486"/>
      <c r="G1067" s="3486"/>
      <c r="H1067" s="3486"/>
      <c r="I1067" s="3486"/>
      <c r="J1067" s="3486"/>
      <c r="K1067" s="3486"/>
      <c r="L1067" s="3486"/>
      <c r="M1067" s="3486"/>
      <c r="N1067" s="3486"/>
      <c r="O1067" s="3486"/>
      <c r="P1067" s="3486"/>
      <c r="Q1067" s="3486"/>
      <c r="R1067" s="3486"/>
      <c r="S1067" s="3486"/>
      <c r="T1067" s="3486"/>
      <c r="U1067" s="3486"/>
      <c r="V1067" s="3486"/>
      <c r="W1067" s="3486"/>
      <c r="X1067" s="3486"/>
      <c r="Y1067" s="3943"/>
    </row>
    <row r="1068" spans="1:25" s="3492" customFormat="1">
      <c r="A1068" s="3485"/>
      <c r="B1068" s="3486"/>
      <c r="C1068" s="3486"/>
      <c r="D1068" s="3486"/>
      <c r="E1068" s="3486"/>
      <c r="F1068" s="3486"/>
      <c r="G1068" s="3486"/>
      <c r="H1068" s="3486"/>
      <c r="I1068" s="3486"/>
      <c r="J1068" s="3486"/>
      <c r="K1068" s="3486"/>
      <c r="L1068" s="3486"/>
      <c r="M1068" s="3486"/>
      <c r="N1068" s="3486"/>
      <c r="O1068" s="3486"/>
      <c r="P1068" s="3486"/>
      <c r="Q1068" s="3486"/>
      <c r="R1068" s="3486"/>
      <c r="S1068" s="3486"/>
      <c r="T1068" s="3486"/>
      <c r="U1068" s="3486"/>
      <c r="V1068" s="3486"/>
      <c r="W1068" s="3486"/>
      <c r="X1068" s="3486"/>
      <c r="Y1068" s="3943"/>
    </row>
    <row r="1069" spans="1:25" s="3492" customFormat="1">
      <c r="A1069" s="3485"/>
      <c r="B1069" s="3486"/>
      <c r="C1069" s="3486"/>
      <c r="D1069" s="3486"/>
      <c r="E1069" s="3486"/>
      <c r="F1069" s="3486"/>
      <c r="G1069" s="3486"/>
      <c r="H1069" s="3486"/>
      <c r="I1069" s="3486"/>
      <c r="J1069" s="3486"/>
      <c r="K1069" s="3486"/>
      <c r="L1069" s="3486"/>
      <c r="M1069" s="3486"/>
      <c r="N1069" s="3486"/>
      <c r="O1069" s="3486"/>
      <c r="P1069" s="3486"/>
      <c r="Q1069" s="3486"/>
      <c r="R1069" s="3486"/>
      <c r="S1069" s="3486"/>
      <c r="T1069" s="3486"/>
      <c r="U1069" s="3486"/>
      <c r="V1069" s="3486"/>
      <c r="W1069" s="3486"/>
      <c r="X1069" s="3486"/>
      <c r="Y1069" s="3943"/>
    </row>
    <row r="1070" spans="1:25" s="3492" customFormat="1">
      <c r="A1070" s="3485"/>
      <c r="B1070" s="3486"/>
      <c r="C1070" s="3486"/>
      <c r="D1070" s="3486"/>
      <c r="E1070" s="3486"/>
      <c r="F1070" s="3486"/>
      <c r="G1070" s="3486"/>
      <c r="H1070" s="3486"/>
      <c r="I1070" s="3486"/>
      <c r="J1070" s="3486"/>
      <c r="K1070" s="3486"/>
      <c r="L1070" s="3486"/>
      <c r="M1070" s="3486"/>
      <c r="N1070" s="3486"/>
      <c r="O1070" s="3486"/>
      <c r="P1070" s="3486"/>
      <c r="Q1070" s="3486"/>
      <c r="R1070" s="3486"/>
      <c r="S1070" s="3486"/>
      <c r="T1070" s="3486"/>
      <c r="U1070" s="3486"/>
      <c r="V1070" s="3486"/>
      <c r="W1070" s="3486"/>
      <c r="X1070" s="3486"/>
      <c r="Y1070" s="3943"/>
    </row>
    <row r="1071" spans="1:25" s="3492" customFormat="1">
      <c r="A1071" s="3485"/>
      <c r="B1071" s="3486"/>
      <c r="C1071" s="3486"/>
      <c r="D1071" s="3486"/>
      <c r="E1071" s="3486"/>
      <c r="F1071" s="3486"/>
      <c r="G1071" s="3486"/>
      <c r="H1071" s="3486"/>
      <c r="I1071" s="3486"/>
      <c r="J1071" s="3486"/>
      <c r="K1071" s="3486"/>
      <c r="L1071" s="3486"/>
      <c r="M1071" s="3486"/>
      <c r="N1071" s="3486"/>
      <c r="O1071" s="3486"/>
      <c r="P1071" s="3486"/>
      <c r="Q1071" s="3486"/>
      <c r="R1071" s="3486"/>
      <c r="S1071" s="3486"/>
      <c r="T1071" s="3486"/>
      <c r="U1071" s="3486"/>
      <c r="V1071" s="3486"/>
      <c r="W1071" s="3486"/>
      <c r="X1071" s="3486"/>
      <c r="Y1071" s="3943"/>
    </row>
    <row r="1072" spans="1:25" s="3492" customFormat="1">
      <c r="A1072" s="3485"/>
      <c r="B1072" s="3486"/>
      <c r="C1072" s="3486"/>
      <c r="D1072" s="3486"/>
      <c r="E1072" s="3486"/>
      <c r="F1072" s="3486"/>
      <c r="G1072" s="3486"/>
      <c r="H1072" s="3486"/>
      <c r="I1072" s="3486"/>
      <c r="J1072" s="3486"/>
      <c r="K1072" s="3486"/>
      <c r="L1072" s="3486"/>
      <c r="M1072" s="3486"/>
      <c r="N1072" s="3486"/>
      <c r="O1072" s="3486"/>
      <c r="P1072" s="3486"/>
      <c r="Q1072" s="3486"/>
      <c r="R1072" s="3486"/>
      <c r="S1072" s="3486"/>
      <c r="T1072" s="3486"/>
      <c r="U1072" s="3486"/>
      <c r="V1072" s="3486"/>
      <c r="W1072" s="3486"/>
      <c r="X1072" s="3486"/>
      <c r="Y1072" s="3943"/>
    </row>
    <row r="1073" spans="1:25" s="3492" customFormat="1">
      <c r="A1073" s="3485"/>
      <c r="B1073" s="3486"/>
      <c r="C1073" s="3486"/>
      <c r="D1073" s="3486"/>
      <c r="E1073" s="3486"/>
      <c r="F1073" s="3486"/>
      <c r="G1073" s="3486"/>
      <c r="H1073" s="3486"/>
      <c r="I1073" s="3486"/>
      <c r="J1073" s="3486"/>
      <c r="K1073" s="3486"/>
      <c r="L1073" s="3486"/>
      <c r="M1073" s="3486"/>
      <c r="N1073" s="3486"/>
      <c r="O1073" s="3486"/>
      <c r="P1073" s="3486"/>
      <c r="Q1073" s="3486"/>
      <c r="R1073" s="3486"/>
      <c r="S1073" s="3486"/>
      <c r="T1073" s="3486"/>
      <c r="U1073" s="3486"/>
      <c r="V1073" s="3486"/>
      <c r="W1073" s="3486"/>
      <c r="X1073" s="3486"/>
      <c r="Y1073" s="3943"/>
    </row>
    <row r="1074" spans="1:25" s="3492" customFormat="1">
      <c r="A1074" s="3485"/>
      <c r="B1074" s="3486"/>
      <c r="C1074" s="3486"/>
      <c r="D1074" s="3486"/>
      <c r="E1074" s="3486"/>
      <c r="F1074" s="3486"/>
      <c r="G1074" s="3486"/>
      <c r="H1074" s="3486"/>
      <c r="I1074" s="3486"/>
      <c r="J1074" s="3486"/>
      <c r="K1074" s="3486"/>
      <c r="L1074" s="3486"/>
      <c r="M1074" s="3486"/>
      <c r="N1074" s="3486"/>
      <c r="O1074" s="3486"/>
      <c r="P1074" s="3486"/>
      <c r="Q1074" s="3486"/>
      <c r="R1074" s="3486"/>
      <c r="S1074" s="3486"/>
      <c r="T1074" s="3486"/>
      <c r="U1074" s="3486"/>
      <c r="V1074" s="3486"/>
      <c r="W1074" s="3486"/>
      <c r="X1074" s="3486"/>
      <c r="Y1074" s="3943"/>
    </row>
    <row r="1075" spans="1:25" s="3492" customFormat="1">
      <c r="A1075" s="3485"/>
      <c r="B1075" s="3486"/>
      <c r="C1075" s="3486"/>
      <c r="D1075" s="3486"/>
      <c r="E1075" s="3486"/>
      <c r="F1075" s="3486"/>
      <c r="G1075" s="3486"/>
      <c r="H1075" s="3486"/>
      <c r="I1075" s="3486"/>
      <c r="J1075" s="3486"/>
      <c r="K1075" s="3486"/>
      <c r="L1075" s="3486"/>
      <c r="M1075" s="3486"/>
      <c r="N1075" s="3486"/>
      <c r="O1075" s="3486"/>
      <c r="P1075" s="3486"/>
      <c r="Q1075" s="3486"/>
      <c r="R1075" s="3486"/>
      <c r="S1075" s="3486"/>
      <c r="T1075" s="3486"/>
      <c r="U1075" s="3486"/>
      <c r="V1075" s="3486"/>
      <c r="W1075" s="3486"/>
      <c r="X1075" s="3486"/>
      <c r="Y1075" s="3943"/>
    </row>
    <row r="1076" spans="1:25" s="3492" customFormat="1">
      <c r="A1076" s="3485"/>
      <c r="B1076" s="3486"/>
      <c r="C1076" s="3486"/>
      <c r="D1076" s="3486"/>
      <c r="E1076" s="3486"/>
      <c r="F1076" s="3486"/>
      <c r="G1076" s="3486"/>
      <c r="H1076" s="3486"/>
      <c r="I1076" s="3486"/>
      <c r="J1076" s="3486"/>
      <c r="K1076" s="3486"/>
      <c r="L1076" s="3486"/>
      <c r="M1076" s="3486"/>
      <c r="N1076" s="3486"/>
      <c r="O1076" s="3486"/>
      <c r="P1076" s="3486"/>
      <c r="Q1076" s="3486"/>
      <c r="R1076" s="3486"/>
      <c r="S1076" s="3486"/>
      <c r="T1076" s="3486"/>
      <c r="U1076" s="3486"/>
      <c r="V1076" s="3486"/>
      <c r="W1076" s="3486"/>
      <c r="X1076" s="3486"/>
      <c r="Y1076" s="3943"/>
    </row>
    <row r="1077" spans="1:25" s="3492" customFormat="1">
      <c r="A1077" s="3485"/>
      <c r="B1077" s="3486"/>
      <c r="C1077" s="3486"/>
      <c r="D1077" s="3486"/>
      <c r="E1077" s="3486"/>
      <c r="F1077" s="3486"/>
      <c r="G1077" s="3486"/>
      <c r="H1077" s="3486"/>
      <c r="I1077" s="3486"/>
      <c r="J1077" s="3486"/>
      <c r="K1077" s="3486"/>
      <c r="L1077" s="3486"/>
      <c r="M1077" s="3486"/>
      <c r="N1077" s="3486"/>
      <c r="O1077" s="3486"/>
      <c r="P1077" s="3486"/>
      <c r="Q1077" s="3486"/>
      <c r="R1077" s="3486"/>
      <c r="S1077" s="3486"/>
      <c r="T1077" s="3486"/>
      <c r="U1077" s="3486"/>
      <c r="V1077" s="3486"/>
      <c r="W1077" s="3486"/>
      <c r="X1077" s="3486"/>
      <c r="Y1077" s="3943"/>
    </row>
    <row r="1078" spans="1:25" s="3492" customFormat="1">
      <c r="A1078" s="3485"/>
      <c r="B1078" s="3486"/>
      <c r="C1078" s="3486"/>
      <c r="D1078" s="3486"/>
      <c r="E1078" s="3486"/>
      <c r="F1078" s="3486"/>
      <c r="G1078" s="3486"/>
      <c r="H1078" s="3486"/>
      <c r="I1078" s="3486"/>
      <c r="J1078" s="3486"/>
      <c r="K1078" s="3486"/>
      <c r="L1078" s="3486"/>
      <c r="M1078" s="3486"/>
      <c r="N1078" s="3486"/>
      <c r="O1078" s="3486"/>
      <c r="P1078" s="3486"/>
      <c r="Q1078" s="3486"/>
      <c r="R1078" s="3486"/>
      <c r="S1078" s="3486"/>
      <c r="T1078" s="3486"/>
      <c r="U1078" s="3486"/>
      <c r="V1078" s="3486"/>
      <c r="W1078" s="3486"/>
      <c r="X1078" s="3486"/>
      <c r="Y1078" s="3943"/>
    </row>
    <row r="1079" spans="1:25" s="3492" customFormat="1">
      <c r="A1079" s="3485"/>
      <c r="B1079" s="3486"/>
      <c r="C1079" s="3486"/>
      <c r="D1079" s="3486"/>
      <c r="E1079" s="3486"/>
      <c r="F1079" s="3486"/>
      <c r="G1079" s="3486"/>
      <c r="H1079" s="3486"/>
      <c r="I1079" s="3486"/>
      <c r="J1079" s="3486"/>
      <c r="K1079" s="3486"/>
      <c r="L1079" s="3486"/>
      <c r="M1079" s="3486"/>
      <c r="N1079" s="3486"/>
      <c r="O1079" s="3486"/>
      <c r="P1079" s="3486"/>
      <c r="Q1079" s="3486"/>
      <c r="R1079" s="3486"/>
      <c r="S1079" s="3486"/>
      <c r="T1079" s="3486"/>
      <c r="U1079" s="3486"/>
      <c r="V1079" s="3486"/>
      <c r="W1079" s="3486"/>
      <c r="X1079" s="3486"/>
      <c r="Y1079" s="3943"/>
    </row>
    <row r="1080" spans="1:25" s="3492" customFormat="1">
      <c r="A1080" s="3485"/>
      <c r="B1080" s="3486"/>
      <c r="C1080" s="3486"/>
      <c r="D1080" s="3486"/>
      <c r="E1080" s="3486"/>
      <c r="F1080" s="3486"/>
      <c r="G1080" s="3486"/>
      <c r="H1080" s="3486"/>
      <c r="I1080" s="3486"/>
      <c r="J1080" s="3486"/>
      <c r="K1080" s="3486"/>
      <c r="L1080" s="3486"/>
      <c r="M1080" s="3486"/>
      <c r="N1080" s="3486"/>
      <c r="O1080" s="3486"/>
      <c r="P1080" s="3486"/>
      <c r="Q1080" s="3486"/>
      <c r="R1080" s="3486"/>
      <c r="S1080" s="3486"/>
      <c r="T1080" s="3486"/>
      <c r="U1080" s="3486"/>
      <c r="V1080" s="3486"/>
      <c r="W1080" s="3486"/>
      <c r="X1080" s="3486"/>
      <c r="Y1080" s="3943"/>
    </row>
    <row r="1081" spans="1:25" s="3492" customFormat="1">
      <c r="A1081" s="3485"/>
      <c r="B1081" s="3486"/>
      <c r="C1081" s="3486"/>
      <c r="D1081" s="3486"/>
      <c r="E1081" s="3486"/>
      <c r="F1081" s="3486"/>
      <c r="G1081" s="3486"/>
      <c r="H1081" s="3486"/>
      <c r="I1081" s="3486"/>
      <c r="J1081" s="3486"/>
      <c r="K1081" s="3486"/>
      <c r="L1081" s="3486"/>
      <c r="M1081" s="3486"/>
      <c r="N1081" s="3486"/>
      <c r="O1081" s="3486"/>
      <c r="P1081" s="3486"/>
      <c r="Q1081" s="3486"/>
      <c r="R1081" s="3486"/>
      <c r="S1081" s="3486"/>
      <c r="T1081" s="3486"/>
      <c r="U1081" s="3486"/>
      <c r="V1081" s="3486"/>
      <c r="W1081" s="3486"/>
      <c r="X1081" s="3486"/>
      <c r="Y1081" s="3943"/>
    </row>
    <row r="1082" spans="1:25" s="3492" customFormat="1">
      <c r="A1082" s="3485"/>
      <c r="B1082" s="3486"/>
      <c r="C1082" s="3486"/>
      <c r="D1082" s="3486"/>
      <c r="E1082" s="3486"/>
      <c r="F1082" s="3486"/>
      <c r="G1082" s="3486"/>
      <c r="H1082" s="3486"/>
      <c r="I1082" s="3486"/>
      <c r="J1082" s="3486"/>
      <c r="K1082" s="3486"/>
      <c r="L1082" s="3486"/>
      <c r="M1082" s="3486"/>
      <c r="N1082" s="3486"/>
      <c r="O1082" s="3486"/>
      <c r="P1082" s="3486"/>
      <c r="Q1082" s="3486"/>
      <c r="R1082" s="3486"/>
      <c r="S1082" s="3486"/>
      <c r="T1082" s="3486"/>
      <c r="U1082" s="3486"/>
      <c r="V1082" s="3486"/>
      <c r="W1082" s="3486"/>
      <c r="X1082" s="3486"/>
      <c r="Y1082" s="3943"/>
    </row>
    <row r="1083" spans="1:25" s="3492" customFormat="1">
      <c r="A1083" s="3485"/>
      <c r="B1083" s="3486"/>
      <c r="C1083" s="3486"/>
      <c r="D1083" s="3486"/>
      <c r="E1083" s="3486"/>
      <c r="F1083" s="3486"/>
      <c r="G1083" s="3486"/>
      <c r="H1083" s="3486"/>
      <c r="I1083" s="3486"/>
      <c r="J1083" s="3486"/>
      <c r="K1083" s="3486"/>
      <c r="L1083" s="3486"/>
      <c r="M1083" s="3486"/>
      <c r="N1083" s="3486"/>
      <c r="O1083" s="3486"/>
      <c r="P1083" s="3486"/>
      <c r="Q1083" s="3486"/>
      <c r="R1083" s="3486"/>
      <c r="S1083" s="3486"/>
      <c r="T1083" s="3486"/>
      <c r="U1083" s="3486"/>
      <c r="V1083" s="3486"/>
      <c r="W1083" s="3486"/>
      <c r="X1083" s="3486"/>
      <c r="Y1083" s="3943"/>
    </row>
    <row r="1084" spans="1:25" s="3492" customFormat="1">
      <c r="A1084" s="3485"/>
      <c r="B1084" s="3486"/>
      <c r="C1084" s="3486"/>
      <c r="D1084" s="3486"/>
      <c r="E1084" s="3486"/>
      <c r="F1084" s="3486"/>
      <c r="G1084" s="3486"/>
      <c r="H1084" s="3486"/>
      <c r="I1084" s="3486"/>
      <c r="J1084" s="3486"/>
      <c r="K1084" s="3486"/>
      <c r="L1084" s="3486"/>
      <c r="M1084" s="3486"/>
      <c r="N1084" s="3486"/>
      <c r="O1084" s="3486"/>
      <c r="P1084" s="3486"/>
      <c r="Q1084" s="3486"/>
      <c r="R1084" s="3486"/>
      <c r="S1084" s="3486"/>
      <c r="T1084" s="3486"/>
      <c r="U1084" s="3486"/>
      <c r="V1084" s="3486"/>
      <c r="W1084" s="3486"/>
      <c r="X1084" s="3486"/>
      <c r="Y1084" s="3943"/>
    </row>
    <row r="1085" spans="1:25" s="3492" customFormat="1">
      <c r="A1085" s="3485"/>
      <c r="B1085" s="3486"/>
      <c r="C1085" s="3486"/>
      <c r="D1085" s="3486"/>
      <c r="E1085" s="3486"/>
      <c r="F1085" s="3486"/>
      <c r="G1085" s="3486"/>
      <c r="H1085" s="3486"/>
      <c r="I1085" s="3486"/>
      <c r="J1085" s="3486"/>
      <c r="K1085" s="3486"/>
      <c r="L1085" s="3486"/>
      <c r="M1085" s="3486"/>
      <c r="N1085" s="3486"/>
      <c r="O1085" s="3486"/>
      <c r="P1085" s="3486"/>
      <c r="Q1085" s="3486"/>
      <c r="R1085" s="3486"/>
      <c r="S1085" s="3486"/>
      <c r="T1085" s="3486"/>
      <c r="U1085" s="3486"/>
      <c r="V1085" s="3486"/>
      <c r="W1085" s="3486"/>
      <c r="X1085" s="3486"/>
      <c r="Y1085" s="3943"/>
    </row>
    <row r="1086" spans="1:25" s="3492" customFormat="1">
      <c r="A1086" s="3485"/>
      <c r="B1086" s="3486"/>
      <c r="C1086" s="3486"/>
      <c r="D1086" s="3486"/>
      <c r="E1086" s="3486"/>
      <c r="F1086" s="3486"/>
      <c r="G1086" s="3486"/>
      <c r="H1086" s="3486"/>
      <c r="I1086" s="3486"/>
      <c r="J1086" s="3486"/>
      <c r="K1086" s="3486"/>
      <c r="L1086" s="3486"/>
      <c r="M1086" s="3486"/>
      <c r="N1086" s="3486"/>
      <c r="O1086" s="3486"/>
      <c r="P1086" s="3486"/>
      <c r="Q1086" s="3486"/>
      <c r="R1086" s="3486"/>
      <c r="S1086" s="3486"/>
      <c r="T1086" s="3486"/>
      <c r="U1086" s="3486"/>
      <c r="V1086" s="3486"/>
      <c r="W1086" s="3486"/>
      <c r="X1086" s="3486"/>
      <c r="Y1086" s="3943"/>
    </row>
    <row r="1087" spans="1:25" s="3492" customFormat="1">
      <c r="A1087" s="3485"/>
      <c r="B1087" s="3486"/>
      <c r="C1087" s="3486"/>
      <c r="D1087" s="3486"/>
      <c r="E1087" s="3486"/>
      <c r="F1087" s="3486"/>
      <c r="G1087" s="3486"/>
      <c r="H1087" s="3486"/>
      <c r="I1087" s="3486"/>
      <c r="J1087" s="3486"/>
      <c r="K1087" s="3486"/>
      <c r="L1087" s="3486"/>
      <c r="M1087" s="3486"/>
      <c r="N1087" s="3486"/>
      <c r="O1087" s="3486"/>
      <c r="P1087" s="3486"/>
      <c r="Q1087" s="3486"/>
      <c r="R1087" s="3486"/>
      <c r="S1087" s="3486"/>
      <c r="T1087" s="3486"/>
      <c r="U1087" s="3486"/>
      <c r="V1087" s="3486"/>
      <c r="W1087" s="3486"/>
      <c r="X1087" s="3486"/>
      <c r="Y1087" s="3943"/>
    </row>
    <row r="1088" spans="1:25" s="3492" customFormat="1">
      <c r="A1088" s="3485"/>
      <c r="B1088" s="3486"/>
      <c r="C1088" s="3486"/>
      <c r="D1088" s="3486"/>
      <c r="E1088" s="3486"/>
      <c r="F1088" s="3486"/>
      <c r="G1088" s="3486"/>
      <c r="H1088" s="3486"/>
      <c r="I1088" s="3486"/>
      <c r="J1088" s="3486"/>
      <c r="K1088" s="3486"/>
      <c r="L1088" s="3486"/>
      <c r="M1088" s="3486"/>
      <c r="N1088" s="3486"/>
      <c r="O1088" s="3486"/>
      <c r="P1088" s="3486"/>
      <c r="Q1088" s="3486"/>
      <c r="R1088" s="3486"/>
      <c r="S1088" s="3486"/>
      <c r="T1088" s="3486"/>
      <c r="U1088" s="3486"/>
      <c r="V1088" s="3486"/>
      <c r="W1088" s="3486"/>
      <c r="X1088" s="3486"/>
      <c r="Y1088" s="3943"/>
    </row>
    <row r="1089" spans="1:25" s="3492" customFormat="1">
      <c r="A1089" s="3485"/>
      <c r="B1089" s="3486"/>
      <c r="C1089" s="3486"/>
      <c r="D1089" s="3486"/>
      <c r="E1089" s="3486"/>
      <c r="F1089" s="3486"/>
      <c r="G1089" s="3486"/>
      <c r="H1089" s="3486"/>
      <c r="I1089" s="3486"/>
      <c r="J1089" s="3486"/>
      <c r="K1089" s="3486"/>
      <c r="L1089" s="3486"/>
      <c r="M1089" s="3486"/>
      <c r="N1089" s="3486"/>
      <c r="O1089" s="3486"/>
      <c r="P1089" s="3486"/>
      <c r="Q1089" s="3486"/>
      <c r="R1089" s="3486"/>
      <c r="S1089" s="3486"/>
      <c r="T1089" s="3486"/>
      <c r="U1089" s="3486"/>
      <c r="V1089" s="3486"/>
      <c r="W1089" s="3486"/>
      <c r="X1089" s="3486"/>
      <c r="Y1089" s="3943"/>
    </row>
    <row r="1090" spans="1:25" s="3492" customFormat="1">
      <c r="A1090" s="3485"/>
      <c r="B1090" s="3486"/>
      <c r="C1090" s="3486"/>
      <c r="D1090" s="3486"/>
      <c r="E1090" s="3486"/>
      <c r="F1090" s="3486"/>
      <c r="G1090" s="3486"/>
      <c r="H1090" s="3486"/>
      <c r="I1090" s="3486"/>
      <c r="J1090" s="3486"/>
      <c r="K1090" s="3486"/>
      <c r="L1090" s="3486"/>
      <c r="M1090" s="3486"/>
      <c r="N1090" s="3486"/>
      <c r="O1090" s="3486"/>
      <c r="P1090" s="3486"/>
      <c r="Q1090" s="3486"/>
      <c r="R1090" s="3486"/>
      <c r="S1090" s="3486"/>
      <c r="T1090" s="3486"/>
      <c r="U1090" s="3486"/>
      <c r="V1090" s="3486"/>
      <c r="W1090" s="3486"/>
      <c r="X1090" s="3486"/>
      <c r="Y1090" s="3943"/>
    </row>
    <row r="1091" spans="1:25" s="3492" customFormat="1">
      <c r="A1091" s="3485"/>
      <c r="B1091" s="3486"/>
      <c r="C1091" s="3486"/>
      <c r="D1091" s="3486"/>
      <c r="E1091" s="3486"/>
      <c r="F1091" s="3486"/>
      <c r="G1091" s="3486"/>
      <c r="H1091" s="3486"/>
      <c r="I1091" s="3486"/>
      <c r="J1091" s="3486"/>
      <c r="K1091" s="3486"/>
      <c r="L1091" s="3486"/>
      <c r="M1091" s="3486"/>
      <c r="N1091" s="3486"/>
      <c r="O1091" s="3486"/>
      <c r="P1091" s="3486"/>
      <c r="Q1091" s="3486"/>
      <c r="R1091" s="3486"/>
      <c r="S1091" s="3486"/>
      <c r="T1091" s="3486"/>
      <c r="U1091" s="3486"/>
      <c r="V1091" s="3486"/>
      <c r="W1091" s="3486"/>
      <c r="X1091" s="3486"/>
      <c r="Y1091" s="3943"/>
    </row>
    <row r="1092" spans="1:25" s="3492" customFormat="1">
      <c r="A1092" s="3485"/>
      <c r="B1092" s="3486"/>
      <c r="C1092" s="3486"/>
      <c r="D1092" s="3486"/>
      <c r="E1092" s="3486"/>
      <c r="F1092" s="3486"/>
      <c r="G1092" s="3486"/>
      <c r="H1092" s="3486"/>
      <c r="I1092" s="3486"/>
      <c r="J1092" s="3486"/>
      <c r="K1092" s="3486"/>
      <c r="L1092" s="3486"/>
      <c r="M1092" s="3486"/>
      <c r="N1092" s="3486"/>
      <c r="O1092" s="3486"/>
      <c r="P1092" s="3486"/>
      <c r="Q1092" s="3486"/>
      <c r="R1092" s="3486"/>
      <c r="S1092" s="3486"/>
      <c r="T1092" s="3486"/>
      <c r="U1092" s="3486"/>
      <c r="V1092" s="3486"/>
      <c r="W1092" s="3486"/>
      <c r="X1092" s="3486"/>
      <c r="Y1092" s="3943"/>
    </row>
    <row r="1093" spans="1:25" s="3492" customFormat="1">
      <c r="A1093" s="3485"/>
      <c r="B1093" s="3486"/>
      <c r="C1093" s="3486"/>
      <c r="D1093" s="3486"/>
      <c r="E1093" s="3486"/>
      <c r="F1093" s="3486"/>
      <c r="G1093" s="3486"/>
      <c r="H1093" s="3486"/>
      <c r="I1093" s="3486"/>
      <c r="J1093" s="3486"/>
      <c r="K1093" s="3486"/>
      <c r="L1093" s="3486"/>
      <c r="M1093" s="3486"/>
      <c r="N1093" s="3486"/>
      <c r="O1093" s="3486"/>
      <c r="P1093" s="3486"/>
      <c r="Q1093" s="3486"/>
      <c r="R1093" s="3486"/>
      <c r="S1093" s="3486"/>
      <c r="T1093" s="3486"/>
      <c r="U1093" s="3486"/>
      <c r="V1093" s="3486"/>
      <c r="W1093" s="3486"/>
      <c r="X1093" s="3486"/>
      <c r="Y1093" s="3943"/>
    </row>
    <row r="1094" spans="1:25" s="3492" customFormat="1">
      <c r="A1094" s="3485"/>
      <c r="B1094" s="3486"/>
      <c r="C1094" s="3486"/>
      <c r="D1094" s="3486"/>
      <c r="E1094" s="3486"/>
      <c r="F1094" s="3486"/>
      <c r="G1094" s="3486"/>
      <c r="H1094" s="3486"/>
      <c r="I1094" s="3486"/>
      <c r="J1094" s="3486"/>
      <c r="K1094" s="3486"/>
      <c r="L1094" s="3486"/>
      <c r="M1094" s="3486"/>
      <c r="N1094" s="3486"/>
      <c r="O1094" s="3486"/>
      <c r="P1094" s="3486"/>
      <c r="Q1094" s="3486"/>
      <c r="R1094" s="3486"/>
      <c r="S1094" s="3486"/>
      <c r="T1094" s="3486"/>
      <c r="U1094" s="3486"/>
      <c r="V1094" s="3486"/>
      <c r="W1094" s="3486"/>
      <c r="X1094" s="3486"/>
      <c r="Y1094" s="3943"/>
    </row>
    <row r="1095" spans="1:25" s="3492" customFormat="1">
      <c r="A1095" s="3485"/>
      <c r="B1095" s="3486"/>
      <c r="C1095" s="3486"/>
      <c r="D1095" s="3486"/>
      <c r="E1095" s="3486"/>
      <c r="F1095" s="3486"/>
      <c r="G1095" s="3486"/>
      <c r="H1095" s="3486"/>
      <c r="I1095" s="3486"/>
      <c r="J1095" s="3486"/>
      <c r="K1095" s="3486"/>
      <c r="L1095" s="3486"/>
      <c r="M1095" s="3486"/>
      <c r="N1095" s="3486"/>
      <c r="O1095" s="3486"/>
      <c r="P1095" s="3486"/>
      <c r="Q1095" s="3486"/>
      <c r="R1095" s="3486"/>
      <c r="S1095" s="3486"/>
      <c r="T1095" s="3486"/>
      <c r="U1095" s="3486"/>
      <c r="V1095" s="3486"/>
      <c r="W1095" s="3486"/>
      <c r="X1095" s="3486"/>
      <c r="Y1095" s="3943"/>
    </row>
    <row r="1096" spans="1:25" s="3492" customFormat="1">
      <c r="A1096" s="3485"/>
      <c r="B1096" s="3486"/>
      <c r="C1096" s="3486"/>
      <c r="D1096" s="3486"/>
      <c r="E1096" s="3486"/>
      <c r="F1096" s="3486"/>
      <c r="G1096" s="3486"/>
      <c r="H1096" s="3486"/>
      <c r="I1096" s="3486"/>
      <c r="J1096" s="3486"/>
      <c r="K1096" s="3486"/>
      <c r="L1096" s="3486"/>
      <c r="M1096" s="3486"/>
      <c r="N1096" s="3486"/>
      <c r="O1096" s="3486"/>
      <c r="P1096" s="3486"/>
      <c r="Q1096" s="3486"/>
      <c r="R1096" s="3486"/>
      <c r="S1096" s="3486"/>
      <c r="T1096" s="3486"/>
      <c r="U1096" s="3486"/>
      <c r="V1096" s="3486"/>
      <c r="W1096" s="3486"/>
      <c r="X1096" s="3486"/>
      <c r="Y1096" s="3943"/>
    </row>
    <row r="1097" spans="1:25" s="3492" customFormat="1">
      <c r="A1097" s="3485"/>
      <c r="B1097" s="3486"/>
      <c r="C1097" s="3486"/>
      <c r="D1097" s="3486"/>
      <c r="E1097" s="3486"/>
      <c r="F1097" s="3486"/>
      <c r="G1097" s="3486"/>
      <c r="H1097" s="3486"/>
      <c r="I1097" s="3486"/>
      <c r="J1097" s="3486"/>
      <c r="K1097" s="3486"/>
      <c r="L1097" s="3486"/>
      <c r="M1097" s="3486"/>
      <c r="N1097" s="3486"/>
      <c r="O1097" s="3486"/>
      <c r="P1097" s="3486"/>
      <c r="Q1097" s="3486"/>
      <c r="R1097" s="3486"/>
      <c r="S1097" s="3486"/>
      <c r="T1097" s="3486"/>
      <c r="U1097" s="3486"/>
      <c r="V1097" s="3486"/>
      <c r="W1097" s="3486"/>
      <c r="X1097" s="3486"/>
      <c r="Y1097" s="3943"/>
    </row>
    <row r="1098" spans="1:25" s="3492" customFormat="1">
      <c r="A1098" s="3485"/>
      <c r="B1098" s="3486"/>
      <c r="C1098" s="3486"/>
      <c r="D1098" s="3486"/>
      <c r="E1098" s="3486"/>
      <c r="F1098" s="3486"/>
      <c r="G1098" s="3486"/>
      <c r="H1098" s="3486"/>
      <c r="I1098" s="3486"/>
      <c r="J1098" s="3486"/>
      <c r="K1098" s="3486"/>
      <c r="L1098" s="3486"/>
      <c r="M1098" s="3486"/>
      <c r="N1098" s="3486"/>
      <c r="O1098" s="3486"/>
      <c r="P1098" s="3486"/>
      <c r="Q1098" s="3486"/>
      <c r="R1098" s="3486"/>
      <c r="S1098" s="3486"/>
      <c r="T1098" s="3486"/>
      <c r="U1098" s="3486"/>
      <c r="V1098" s="3486"/>
      <c r="W1098" s="3486"/>
      <c r="X1098" s="3486"/>
      <c r="Y1098" s="3943"/>
    </row>
    <row r="1099" spans="1:25" s="3492" customFormat="1">
      <c r="A1099" s="3485"/>
      <c r="B1099" s="3486"/>
      <c r="C1099" s="3486"/>
      <c r="D1099" s="3486"/>
      <c r="E1099" s="3486"/>
      <c r="F1099" s="3486"/>
      <c r="G1099" s="3486"/>
      <c r="H1099" s="3486"/>
      <c r="I1099" s="3486"/>
      <c r="J1099" s="3486"/>
      <c r="K1099" s="3486"/>
      <c r="L1099" s="3486"/>
      <c r="M1099" s="3486"/>
      <c r="N1099" s="3486"/>
      <c r="O1099" s="3486"/>
      <c r="P1099" s="3486"/>
      <c r="Q1099" s="3486"/>
      <c r="R1099" s="3486"/>
      <c r="S1099" s="3486"/>
      <c r="T1099" s="3486"/>
      <c r="U1099" s="3486"/>
      <c r="V1099" s="3486"/>
      <c r="W1099" s="3486"/>
      <c r="X1099" s="3486"/>
      <c r="Y1099" s="3943"/>
    </row>
    <row r="1100" spans="1:25" s="3492" customFormat="1">
      <c r="A1100" s="3485"/>
      <c r="B1100" s="3486"/>
      <c r="C1100" s="3486"/>
      <c r="D1100" s="3486"/>
      <c r="E1100" s="3486"/>
      <c r="F1100" s="3486"/>
      <c r="G1100" s="3486"/>
      <c r="H1100" s="3486"/>
      <c r="I1100" s="3486"/>
      <c r="J1100" s="3486"/>
      <c r="K1100" s="3486"/>
      <c r="L1100" s="3486"/>
      <c r="M1100" s="3486"/>
      <c r="N1100" s="3486"/>
      <c r="O1100" s="3486"/>
      <c r="P1100" s="3486"/>
      <c r="Q1100" s="3486"/>
      <c r="R1100" s="3486"/>
      <c r="S1100" s="3486"/>
      <c r="T1100" s="3486"/>
      <c r="U1100" s="3486"/>
      <c r="V1100" s="3486"/>
      <c r="W1100" s="3486"/>
      <c r="X1100" s="3486"/>
      <c r="Y1100" s="3943"/>
    </row>
    <row r="1101" spans="1:25" s="3492" customFormat="1">
      <c r="A1101" s="3485"/>
      <c r="B1101" s="3486"/>
      <c r="C1101" s="3486"/>
      <c r="D1101" s="3486"/>
      <c r="E1101" s="3486"/>
      <c r="F1101" s="3486"/>
      <c r="G1101" s="3486"/>
      <c r="H1101" s="3486"/>
      <c r="I1101" s="3486"/>
      <c r="J1101" s="3486"/>
      <c r="K1101" s="3486"/>
      <c r="L1101" s="3486"/>
      <c r="M1101" s="3486"/>
      <c r="N1101" s="3486"/>
      <c r="O1101" s="3486"/>
      <c r="P1101" s="3486"/>
      <c r="Q1101" s="3486"/>
      <c r="R1101" s="3486"/>
      <c r="S1101" s="3486"/>
      <c r="T1101" s="3486"/>
      <c r="U1101" s="3486"/>
      <c r="V1101" s="3486"/>
      <c r="W1101" s="3486"/>
      <c r="X1101" s="3486"/>
      <c r="Y1101" s="3943"/>
    </row>
    <row r="1102" spans="1:25" s="3492" customFormat="1">
      <c r="A1102" s="3485"/>
      <c r="B1102" s="3486"/>
      <c r="C1102" s="3486"/>
      <c r="D1102" s="3486"/>
      <c r="E1102" s="3486"/>
      <c r="F1102" s="3486"/>
      <c r="G1102" s="3486"/>
      <c r="H1102" s="3486"/>
      <c r="I1102" s="3486"/>
      <c r="J1102" s="3486"/>
      <c r="K1102" s="3486"/>
      <c r="L1102" s="3486"/>
      <c r="M1102" s="3486"/>
      <c r="N1102" s="3486"/>
      <c r="O1102" s="3486"/>
      <c r="P1102" s="3486"/>
      <c r="Q1102" s="3486"/>
      <c r="R1102" s="3486"/>
      <c r="S1102" s="3486"/>
      <c r="T1102" s="3486"/>
      <c r="U1102" s="3486"/>
      <c r="V1102" s="3486"/>
      <c r="W1102" s="3486"/>
      <c r="X1102" s="3486"/>
      <c r="Y1102" s="3943"/>
    </row>
    <row r="1103" spans="1:25" s="3492" customFormat="1">
      <c r="A1103" s="3485"/>
      <c r="B1103" s="3486"/>
      <c r="C1103" s="3486"/>
      <c r="D1103" s="3486"/>
      <c r="E1103" s="3486"/>
      <c r="F1103" s="3486"/>
      <c r="G1103" s="3486"/>
      <c r="H1103" s="3486"/>
      <c r="I1103" s="3486"/>
      <c r="J1103" s="3486"/>
      <c r="K1103" s="3486"/>
      <c r="L1103" s="3486"/>
      <c r="M1103" s="3486"/>
      <c r="N1103" s="3486"/>
      <c r="O1103" s="3486"/>
      <c r="P1103" s="3486"/>
      <c r="Q1103" s="3486"/>
      <c r="R1103" s="3486"/>
      <c r="S1103" s="3486"/>
      <c r="T1103" s="3486"/>
      <c r="U1103" s="3486"/>
      <c r="V1103" s="3486"/>
      <c r="W1103" s="3486"/>
      <c r="X1103" s="3486"/>
      <c r="Y1103" s="3943"/>
    </row>
    <row r="1104" spans="1:25" s="3492" customFormat="1">
      <c r="A1104" s="3485"/>
      <c r="B1104" s="3486"/>
      <c r="C1104" s="3486"/>
      <c r="D1104" s="3486"/>
      <c r="E1104" s="3486"/>
      <c r="F1104" s="3486"/>
      <c r="G1104" s="3486"/>
      <c r="H1104" s="3486"/>
      <c r="I1104" s="3486"/>
      <c r="J1104" s="3486"/>
      <c r="K1104" s="3486"/>
      <c r="L1104" s="3486"/>
      <c r="M1104" s="3486"/>
      <c r="N1104" s="3486"/>
      <c r="O1104" s="3486"/>
      <c r="P1104" s="3486"/>
      <c r="Q1104" s="3486"/>
      <c r="R1104" s="3486"/>
      <c r="S1104" s="3486"/>
      <c r="T1104" s="3486"/>
      <c r="U1104" s="3486"/>
      <c r="V1104" s="3486"/>
      <c r="W1104" s="3486"/>
      <c r="X1104" s="3486"/>
      <c r="Y1104" s="3943"/>
    </row>
    <row r="1105" spans="1:25" s="3492" customFormat="1">
      <c r="A1105" s="3485"/>
      <c r="B1105" s="3486"/>
      <c r="C1105" s="3486"/>
      <c r="D1105" s="3486"/>
      <c r="E1105" s="3486"/>
      <c r="F1105" s="3486"/>
      <c r="G1105" s="3486"/>
      <c r="H1105" s="3486"/>
      <c r="I1105" s="3486"/>
      <c r="J1105" s="3486"/>
      <c r="K1105" s="3486"/>
      <c r="L1105" s="3486"/>
      <c r="M1105" s="3486"/>
      <c r="N1105" s="3486"/>
      <c r="O1105" s="3486"/>
      <c r="P1105" s="3486"/>
      <c r="Q1105" s="3486"/>
      <c r="R1105" s="3486"/>
      <c r="S1105" s="3486"/>
      <c r="T1105" s="3486"/>
      <c r="U1105" s="3486"/>
      <c r="V1105" s="3486"/>
      <c r="W1105" s="3486"/>
      <c r="X1105" s="3486"/>
      <c r="Y1105" s="3943"/>
    </row>
    <row r="1106" spans="1:25" s="3492" customFormat="1">
      <c r="A1106" s="3485"/>
      <c r="B1106" s="3486"/>
      <c r="C1106" s="3486"/>
      <c r="D1106" s="3486"/>
      <c r="E1106" s="3486"/>
      <c r="F1106" s="3486"/>
      <c r="G1106" s="3486"/>
      <c r="H1106" s="3486"/>
      <c r="I1106" s="3486"/>
      <c r="J1106" s="3486"/>
      <c r="K1106" s="3486"/>
      <c r="L1106" s="3486"/>
      <c r="M1106" s="3486"/>
      <c r="N1106" s="3486"/>
      <c r="O1106" s="3486"/>
      <c r="P1106" s="3486"/>
      <c r="Q1106" s="3486"/>
      <c r="R1106" s="3486"/>
      <c r="S1106" s="3486"/>
      <c r="T1106" s="3486"/>
      <c r="U1106" s="3486"/>
      <c r="V1106" s="3486"/>
      <c r="W1106" s="3486"/>
      <c r="X1106" s="3486"/>
      <c r="Y1106" s="3943"/>
    </row>
    <row r="1107" spans="1:25" s="3492" customFormat="1">
      <c r="A1107" s="3485"/>
      <c r="B1107" s="3486"/>
      <c r="C1107" s="3486"/>
      <c r="D1107" s="3486"/>
      <c r="E1107" s="3486"/>
      <c r="F1107" s="3486"/>
      <c r="G1107" s="3486"/>
      <c r="H1107" s="3486"/>
      <c r="I1107" s="3486"/>
      <c r="J1107" s="3486"/>
      <c r="K1107" s="3486"/>
      <c r="L1107" s="3486"/>
      <c r="M1107" s="3486"/>
      <c r="N1107" s="3486"/>
      <c r="O1107" s="3486"/>
      <c r="P1107" s="3486"/>
      <c r="Q1107" s="3486"/>
      <c r="R1107" s="3486"/>
      <c r="S1107" s="3486"/>
      <c r="T1107" s="3486"/>
      <c r="U1107" s="3486"/>
      <c r="V1107" s="3486"/>
      <c r="W1107" s="3486"/>
      <c r="X1107" s="3486"/>
      <c r="Y1107" s="3943"/>
    </row>
    <row r="1108" spans="1:25" s="3492" customFormat="1">
      <c r="A1108" s="3485"/>
      <c r="B1108" s="3486"/>
      <c r="C1108" s="3486"/>
      <c r="D1108" s="3486"/>
      <c r="E1108" s="3486"/>
      <c r="F1108" s="3486"/>
      <c r="G1108" s="3486"/>
      <c r="H1108" s="3486"/>
      <c r="I1108" s="3486"/>
      <c r="J1108" s="3486"/>
      <c r="K1108" s="3486"/>
      <c r="L1108" s="3486"/>
      <c r="M1108" s="3486"/>
      <c r="N1108" s="3486"/>
      <c r="O1108" s="3486"/>
      <c r="P1108" s="3486"/>
      <c r="Q1108" s="3486"/>
      <c r="R1108" s="3486"/>
      <c r="S1108" s="3486"/>
      <c r="T1108" s="3486"/>
      <c r="U1108" s="3486"/>
      <c r="V1108" s="3486"/>
      <c r="W1108" s="3486"/>
      <c r="X1108" s="3486"/>
      <c r="Y1108" s="3943"/>
    </row>
    <row r="1109" spans="1:25" s="3492" customFormat="1">
      <c r="A1109" s="3485"/>
      <c r="B1109" s="3486"/>
      <c r="C1109" s="3486"/>
      <c r="D1109" s="3486"/>
      <c r="E1109" s="3486"/>
      <c r="F1109" s="3486"/>
      <c r="G1109" s="3486"/>
      <c r="H1109" s="3486"/>
      <c r="I1109" s="3486"/>
      <c r="J1109" s="3486"/>
      <c r="K1109" s="3486"/>
      <c r="L1109" s="3486"/>
      <c r="M1109" s="3486"/>
      <c r="N1109" s="3486"/>
      <c r="O1109" s="3486"/>
      <c r="P1109" s="3486"/>
      <c r="Q1109" s="3486"/>
      <c r="R1109" s="3486"/>
      <c r="S1109" s="3486"/>
      <c r="T1109" s="3486"/>
      <c r="U1109" s="3486"/>
      <c r="V1109" s="3486"/>
      <c r="W1109" s="3486"/>
      <c r="X1109" s="3486"/>
      <c r="Y1109" s="3943"/>
    </row>
    <row r="1110" spans="1:25" s="3492" customFormat="1">
      <c r="A1110" s="3485"/>
      <c r="B1110" s="3486"/>
      <c r="C1110" s="3486"/>
      <c r="D1110" s="3486"/>
      <c r="E1110" s="3486"/>
      <c r="F1110" s="3486"/>
      <c r="G1110" s="3486"/>
      <c r="H1110" s="3486"/>
      <c r="I1110" s="3486"/>
      <c r="J1110" s="3486"/>
      <c r="K1110" s="3486"/>
      <c r="L1110" s="3486"/>
      <c r="M1110" s="3486"/>
      <c r="N1110" s="3486"/>
      <c r="O1110" s="3486"/>
      <c r="P1110" s="3486"/>
      <c r="Q1110" s="3486"/>
      <c r="R1110" s="3486"/>
      <c r="S1110" s="3486"/>
      <c r="T1110" s="3486"/>
      <c r="U1110" s="3486"/>
      <c r="V1110" s="3486"/>
      <c r="W1110" s="3486"/>
      <c r="X1110" s="3486"/>
      <c r="Y1110" s="3943"/>
    </row>
    <row r="1111" spans="1:25" s="3492" customFormat="1">
      <c r="A1111" s="3485"/>
      <c r="B1111" s="3486"/>
      <c r="C1111" s="3486"/>
      <c r="D1111" s="3486"/>
      <c r="E1111" s="3486"/>
      <c r="F1111" s="3486"/>
      <c r="G1111" s="3486"/>
      <c r="H1111" s="3486"/>
      <c r="I1111" s="3486"/>
      <c r="J1111" s="3486"/>
      <c r="K1111" s="3486"/>
      <c r="L1111" s="3486"/>
      <c r="M1111" s="3486"/>
      <c r="N1111" s="3486"/>
      <c r="O1111" s="3486"/>
      <c r="P1111" s="3486"/>
      <c r="Q1111" s="3486"/>
      <c r="R1111" s="3486"/>
      <c r="S1111" s="3486"/>
      <c r="T1111" s="3486"/>
      <c r="U1111" s="3486"/>
      <c r="V1111" s="3486"/>
      <c r="W1111" s="3486"/>
      <c r="X1111" s="3486"/>
      <c r="Y1111" s="3943"/>
    </row>
    <row r="1112" spans="1:25" s="3492" customFormat="1">
      <c r="A1112" s="3485"/>
      <c r="B1112" s="3486"/>
      <c r="C1112" s="3486"/>
      <c r="D1112" s="3486"/>
      <c r="E1112" s="3486"/>
      <c r="F1112" s="3486"/>
      <c r="G1112" s="3486"/>
      <c r="H1112" s="3486"/>
      <c r="I1112" s="3486"/>
      <c r="J1112" s="3486"/>
      <c r="K1112" s="3486"/>
      <c r="L1112" s="3486"/>
      <c r="M1112" s="3486"/>
      <c r="N1112" s="3486"/>
      <c r="O1112" s="3486"/>
      <c r="P1112" s="3486"/>
      <c r="Q1112" s="3486"/>
      <c r="R1112" s="3486"/>
      <c r="S1112" s="3486"/>
      <c r="T1112" s="3486"/>
      <c r="U1112" s="3486"/>
      <c r="V1112" s="3486"/>
      <c r="W1112" s="3486"/>
      <c r="X1112" s="3486"/>
      <c r="Y1112" s="3943"/>
    </row>
    <row r="1113" spans="1:25" s="3492" customFormat="1">
      <c r="A1113" s="3485"/>
      <c r="B1113" s="3486"/>
      <c r="C1113" s="3486"/>
      <c r="D1113" s="3486"/>
      <c r="E1113" s="3486"/>
      <c r="F1113" s="3486"/>
      <c r="G1113" s="3486"/>
      <c r="H1113" s="3486"/>
      <c r="I1113" s="3486"/>
      <c r="J1113" s="3486"/>
      <c r="K1113" s="3486"/>
      <c r="L1113" s="3486"/>
      <c r="M1113" s="3486"/>
      <c r="N1113" s="3486"/>
      <c r="O1113" s="3486"/>
      <c r="P1113" s="3486"/>
      <c r="Q1113" s="3486"/>
      <c r="R1113" s="3486"/>
      <c r="S1113" s="3486"/>
      <c r="T1113" s="3486"/>
      <c r="U1113" s="3486"/>
      <c r="V1113" s="3486"/>
      <c r="W1113" s="3486"/>
      <c r="X1113" s="3486"/>
      <c r="Y1113" s="3943"/>
    </row>
    <row r="1114" spans="1:25" s="3492" customFormat="1">
      <c r="A1114" s="3485"/>
      <c r="B1114" s="3486"/>
      <c r="C1114" s="3486"/>
      <c r="D1114" s="3486"/>
      <c r="E1114" s="3486"/>
      <c r="F1114" s="3486"/>
      <c r="G1114" s="3486"/>
      <c r="H1114" s="3486"/>
      <c r="I1114" s="3486"/>
      <c r="J1114" s="3486"/>
      <c r="K1114" s="3486"/>
      <c r="L1114" s="3486"/>
      <c r="M1114" s="3486"/>
      <c r="N1114" s="3486"/>
      <c r="O1114" s="3486"/>
      <c r="P1114" s="3486"/>
      <c r="Q1114" s="3486"/>
      <c r="R1114" s="3486"/>
      <c r="S1114" s="3486"/>
      <c r="T1114" s="3486"/>
      <c r="U1114" s="3486"/>
      <c r="V1114" s="3486"/>
      <c r="W1114" s="3486"/>
      <c r="X1114" s="3486"/>
      <c r="Y1114" s="3943"/>
    </row>
    <row r="1115" spans="1:25" s="3492" customFormat="1">
      <c r="A1115" s="3485"/>
      <c r="B1115" s="3486"/>
      <c r="C1115" s="3486"/>
      <c r="D1115" s="3486"/>
      <c r="E1115" s="3486"/>
      <c r="F1115" s="3486"/>
      <c r="G1115" s="3486"/>
      <c r="H1115" s="3486"/>
      <c r="I1115" s="3486"/>
      <c r="J1115" s="3486"/>
      <c r="K1115" s="3486"/>
      <c r="L1115" s="3486"/>
      <c r="M1115" s="3486"/>
      <c r="N1115" s="3486"/>
      <c r="O1115" s="3486"/>
      <c r="P1115" s="3486"/>
      <c r="Q1115" s="3486"/>
      <c r="R1115" s="3486"/>
      <c r="S1115" s="3486"/>
      <c r="T1115" s="3486"/>
      <c r="U1115" s="3486"/>
      <c r="V1115" s="3486"/>
      <c r="W1115" s="3486"/>
      <c r="X1115" s="3486"/>
      <c r="Y1115" s="3943"/>
    </row>
    <row r="1116" spans="1:25" s="3492" customFormat="1">
      <c r="A1116" s="3485"/>
      <c r="B1116" s="3486"/>
      <c r="C1116" s="3486"/>
      <c r="D1116" s="3486"/>
      <c r="E1116" s="3486"/>
      <c r="F1116" s="3486"/>
      <c r="G1116" s="3486"/>
      <c r="H1116" s="3486"/>
      <c r="I1116" s="3486"/>
      <c r="J1116" s="3486"/>
      <c r="K1116" s="3486"/>
      <c r="L1116" s="3486"/>
      <c r="M1116" s="3486"/>
      <c r="N1116" s="3486"/>
      <c r="O1116" s="3486"/>
      <c r="P1116" s="3486"/>
      <c r="Q1116" s="3486"/>
      <c r="R1116" s="3486"/>
      <c r="S1116" s="3486"/>
      <c r="T1116" s="3486"/>
      <c r="U1116" s="3486"/>
      <c r="V1116" s="3486"/>
      <c r="W1116" s="3486"/>
      <c r="X1116" s="3486"/>
      <c r="Y1116" s="3943"/>
    </row>
    <row r="1117" spans="1:25" s="3492" customFormat="1">
      <c r="A1117" s="3485"/>
      <c r="B1117" s="3486"/>
      <c r="C1117" s="3486"/>
      <c r="D1117" s="3486"/>
      <c r="E1117" s="3486"/>
      <c r="F1117" s="3486"/>
      <c r="G1117" s="3486"/>
      <c r="H1117" s="3486"/>
      <c r="I1117" s="3486"/>
      <c r="J1117" s="3486"/>
      <c r="K1117" s="3486"/>
      <c r="L1117" s="3486"/>
      <c r="M1117" s="3486"/>
      <c r="N1117" s="3486"/>
      <c r="O1117" s="3486"/>
      <c r="P1117" s="3486"/>
      <c r="Q1117" s="3486"/>
      <c r="R1117" s="3486"/>
      <c r="S1117" s="3486"/>
      <c r="T1117" s="3486"/>
      <c r="U1117" s="3486"/>
      <c r="V1117" s="3486"/>
      <c r="W1117" s="3486"/>
      <c r="X1117" s="3486"/>
      <c r="Y1117" s="3943"/>
    </row>
    <row r="1118" spans="1:25" s="3492" customFormat="1">
      <c r="A1118" s="3485"/>
      <c r="B1118" s="3486"/>
      <c r="C1118" s="3486"/>
      <c r="D1118" s="3486"/>
      <c r="E1118" s="3486"/>
      <c r="F1118" s="3486"/>
      <c r="G1118" s="3486"/>
      <c r="H1118" s="3486"/>
      <c r="I1118" s="3486"/>
      <c r="J1118" s="3486"/>
      <c r="K1118" s="3486"/>
      <c r="L1118" s="3486"/>
      <c r="M1118" s="3486"/>
      <c r="N1118" s="3486"/>
      <c r="O1118" s="3486"/>
      <c r="P1118" s="3486"/>
      <c r="Q1118" s="3486"/>
      <c r="R1118" s="3486"/>
      <c r="S1118" s="3486"/>
      <c r="T1118" s="3486"/>
      <c r="U1118" s="3486"/>
      <c r="V1118" s="3486"/>
      <c r="W1118" s="3486"/>
      <c r="X1118" s="3486"/>
      <c r="Y1118" s="3943"/>
    </row>
    <row r="1119" spans="1:25" s="3492" customFormat="1">
      <c r="A1119" s="3485"/>
      <c r="B1119" s="3486"/>
      <c r="C1119" s="3486"/>
      <c r="D1119" s="3486"/>
      <c r="E1119" s="3486"/>
      <c r="F1119" s="3486"/>
      <c r="G1119" s="3486"/>
      <c r="H1119" s="3486"/>
      <c r="I1119" s="3486"/>
      <c r="J1119" s="3486"/>
      <c r="K1119" s="3486"/>
      <c r="L1119" s="3486"/>
      <c r="M1119" s="3486"/>
      <c r="N1119" s="3486"/>
      <c r="O1119" s="3486"/>
      <c r="P1119" s="3486"/>
      <c r="Q1119" s="3486"/>
      <c r="R1119" s="3486"/>
      <c r="S1119" s="3486"/>
      <c r="T1119" s="3486"/>
      <c r="U1119" s="3486"/>
      <c r="V1119" s="3486"/>
      <c r="W1119" s="3486"/>
      <c r="X1119" s="3486"/>
      <c r="Y1119" s="3943"/>
    </row>
    <row r="1120" spans="1:25" s="3492" customFormat="1">
      <c r="A1120" s="3485"/>
      <c r="B1120" s="3486"/>
      <c r="C1120" s="3486"/>
      <c r="D1120" s="3486"/>
      <c r="E1120" s="3486"/>
      <c r="F1120" s="3486"/>
      <c r="G1120" s="3486"/>
      <c r="H1120" s="3486"/>
      <c r="I1120" s="3486"/>
      <c r="J1120" s="3486"/>
      <c r="K1120" s="3486"/>
      <c r="L1120" s="3486"/>
      <c r="M1120" s="3486"/>
      <c r="N1120" s="3486"/>
      <c r="O1120" s="3486"/>
      <c r="P1120" s="3486"/>
      <c r="Q1120" s="3486"/>
      <c r="R1120" s="3486"/>
      <c r="S1120" s="3486"/>
      <c r="T1120" s="3486"/>
      <c r="U1120" s="3486"/>
      <c r="V1120" s="3486"/>
      <c r="W1120" s="3486"/>
      <c r="X1120" s="3486"/>
      <c r="Y1120" s="3943"/>
    </row>
    <row r="1121" spans="1:25" s="3492" customFormat="1">
      <c r="A1121" s="3485"/>
      <c r="B1121" s="3486"/>
      <c r="C1121" s="3486"/>
      <c r="D1121" s="3486"/>
      <c r="E1121" s="3486"/>
      <c r="F1121" s="3486"/>
      <c r="G1121" s="3486"/>
      <c r="H1121" s="3486"/>
      <c r="I1121" s="3486"/>
      <c r="J1121" s="3486"/>
      <c r="K1121" s="3486"/>
      <c r="L1121" s="3486"/>
      <c r="M1121" s="3486"/>
      <c r="N1121" s="3486"/>
      <c r="O1121" s="3486"/>
      <c r="P1121" s="3486"/>
      <c r="Q1121" s="3486"/>
      <c r="R1121" s="3486"/>
      <c r="S1121" s="3486"/>
      <c r="T1121" s="3486"/>
      <c r="U1121" s="3486"/>
      <c r="V1121" s="3486"/>
      <c r="W1121" s="3486"/>
      <c r="X1121" s="3486"/>
      <c r="Y1121" s="3943"/>
    </row>
    <row r="1122" spans="1:25" s="3492" customFormat="1">
      <c r="A1122" s="3485"/>
      <c r="B1122" s="3486"/>
      <c r="C1122" s="3486"/>
      <c r="D1122" s="3486"/>
      <c r="E1122" s="3486"/>
      <c r="F1122" s="3486"/>
      <c r="G1122" s="3486"/>
      <c r="H1122" s="3486"/>
      <c r="I1122" s="3486"/>
      <c r="J1122" s="3486"/>
      <c r="K1122" s="3486"/>
      <c r="L1122" s="3486"/>
      <c r="M1122" s="3486"/>
      <c r="N1122" s="3486"/>
      <c r="O1122" s="3486"/>
      <c r="P1122" s="3486"/>
      <c r="Q1122" s="3486"/>
      <c r="R1122" s="3486"/>
      <c r="S1122" s="3486"/>
      <c r="T1122" s="3486"/>
      <c r="U1122" s="3486"/>
      <c r="V1122" s="3486"/>
      <c r="W1122" s="3486"/>
      <c r="X1122" s="3486"/>
      <c r="Y1122" s="3943"/>
    </row>
    <row r="1123" spans="1:25" s="3492" customFormat="1">
      <c r="A1123" s="3485"/>
      <c r="B1123" s="3486"/>
      <c r="C1123" s="3486"/>
      <c r="D1123" s="3486"/>
      <c r="E1123" s="3486"/>
      <c r="F1123" s="3486"/>
      <c r="G1123" s="3486"/>
      <c r="H1123" s="3486"/>
      <c r="I1123" s="3486"/>
      <c r="J1123" s="3486"/>
      <c r="K1123" s="3486"/>
      <c r="L1123" s="3486"/>
      <c r="M1123" s="3486"/>
      <c r="N1123" s="3486"/>
      <c r="O1123" s="3486"/>
      <c r="P1123" s="3486"/>
      <c r="Q1123" s="3486"/>
      <c r="R1123" s="3486"/>
      <c r="S1123" s="3486"/>
      <c r="T1123" s="3486"/>
      <c r="U1123" s="3486"/>
      <c r="V1123" s="3486"/>
      <c r="W1123" s="3486"/>
      <c r="X1123" s="3486"/>
      <c r="Y1123" s="3943"/>
    </row>
    <row r="1124" spans="1:25" s="3492" customFormat="1">
      <c r="A1124" s="3485"/>
      <c r="B1124" s="3486"/>
      <c r="C1124" s="3486"/>
      <c r="D1124" s="3486"/>
      <c r="E1124" s="3486"/>
      <c r="F1124" s="3486"/>
      <c r="G1124" s="3486"/>
      <c r="H1124" s="3486"/>
      <c r="I1124" s="3486"/>
      <c r="J1124" s="3486"/>
      <c r="K1124" s="3486"/>
      <c r="L1124" s="3486"/>
      <c r="M1124" s="3486"/>
      <c r="N1124" s="3486"/>
      <c r="O1124" s="3486"/>
      <c r="P1124" s="3486"/>
      <c r="Q1124" s="3486"/>
      <c r="R1124" s="3486"/>
      <c r="S1124" s="3486"/>
      <c r="T1124" s="3486"/>
      <c r="U1124" s="3486"/>
      <c r="V1124" s="3486"/>
      <c r="W1124" s="3486"/>
      <c r="X1124" s="3486"/>
      <c r="Y1124" s="3943"/>
    </row>
    <row r="1125" spans="1:25" s="3492" customFormat="1">
      <c r="A1125" s="3485"/>
      <c r="B1125" s="3486"/>
      <c r="C1125" s="3486"/>
      <c r="D1125" s="3486"/>
      <c r="E1125" s="3486"/>
      <c r="F1125" s="3486"/>
      <c r="G1125" s="3486"/>
      <c r="H1125" s="3486"/>
      <c r="I1125" s="3486"/>
      <c r="J1125" s="3486"/>
      <c r="K1125" s="3486"/>
      <c r="L1125" s="3486"/>
      <c r="M1125" s="3486"/>
      <c r="N1125" s="3486"/>
      <c r="O1125" s="3486"/>
      <c r="P1125" s="3486"/>
      <c r="Q1125" s="3486"/>
      <c r="R1125" s="3486"/>
      <c r="S1125" s="3486"/>
      <c r="T1125" s="3486"/>
      <c r="U1125" s="3486"/>
      <c r="V1125" s="3486"/>
      <c r="W1125" s="3486"/>
      <c r="X1125" s="3486"/>
      <c r="Y1125" s="3943"/>
    </row>
    <row r="1126" spans="1:25" s="3492" customFormat="1">
      <c r="A1126" s="3485"/>
      <c r="B1126" s="3486"/>
      <c r="C1126" s="3486"/>
      <c r="D1126" s="3486"/>
      <c r="E1126" s="3486"/>
      <c r="F1126" s="3486"/>
      <c r="G1126" s="3486"/>
      <c r="H1126" s="3486"/>
      <c r="I1126" s="3486"/>
      <c r="J1126" s="3486"/>
      <c r="K1126" s="3486"/>
      <c r="L1126" s="3486"/>
      <c r="M1126" s="3486"/>
      <c r="N1126" s="3486"/>
      <c r="O1126" s="3486"/>
      <c r="P1126" s="3486"/>
      <c r="Q1126" s="3486"/>
      <c r="R1126" s="3486"/>
      <c r="S1126" s="3486"/>
      <c r="T1126" s="3486"/>
      <c r="U1126" s="3486"/>
      <c r="V1126" s="3486"/>
      <c r="W1126" s="3486"/>
      <c r="X1126" s="3486"/>
      <c r="Y1126" s="3943"/>
    </row>
    <row r="1127" spans="1:25" s="3492" customFormat="1">
      <c r="A1127" s="3485"/>
      <c r="B1127" s="3486"/>
      <c r="C1127" s="3486"/>
      <c r="D1127" s="3486"/>
      <c r="E1127" s="3486"/>
      <c r="F1127" s="3486"/>
      <c r="G1127" s="3486"/>
      <c r="H1127" s="3486"/>
      <c r="I1127" s="3486"/>
      <c r="J1127" s="3486"/>
      <c r="K1127" s="3486"/>
      <c r="L1127" s="3486"/>
      <c r="M1127" s="3486"/>
      <c r="N1127" s="3486"/>
      <c r="O1127" s="3486"/>
      <c r="P1127" s="3486"/>
      <c r="Q1127" s="3486"/>
      <c r="R1127" s="3486"/>
      <c r="S1127" s="3486"/>
      <c r="T1127" s="3486"/>
      <c r="U1127" s="3486"/>
      <c r="V1127" s="3486"/>
      <c r="W1127" s="3486"/>
      <c r="X1127" s="3486"/>
      <c r="Y1127" s="3943"/>
    </row>
    <row r="1128" spans="1:25" s="3492" customFormat="1">
      <c r="A1128" s="3485"/>
      <c r="B1128" s="3486"/>
      <c r="C1128" s="3486"/>
      <c r="D1128" s="3486"/>
      <c r="E1128" s="3486"/>
      <c r="F1128" s="3486"/>
      <c r="G1128" s="3486"/>
      <c r="H1128" s="3486"/>
      <c r="I1128" s="3486"/>
      <c r="J1128" s="3486"/>
      <c r="K1128" s="3486"/>
      <c r="L1128" s="3486"/>
      <c r="M1128" s="3486"/>
      <c r="N1128" s="3486"/>
      <c r="O1128" s="3486"/>
      <c r="P1128" s="3486"/>
      <c r="Q1128" s="3486"/>
      <c r="R1128" s="3486"/>
      <c r="S1128" s="3486"/>
      <c r="T1128" s="3486"/>
      <c r="U1128" s="3486"/>
      <c r="V1128" s="3486"/>
      <c r="W1128" s="3486"/>
      <c r="X1128" s="3486"/>
      <c r="Y1128" s="3943"/>
    </row>
    <row r="1129" spans="1:25" s="3492" customFormat="1">
      <c r="A1129" s="3485"/>
      <c r="B1129" s="3486"/>
      <c r="C1129" s="3486"/>
      <c r="D1129" s="3486"/>
      <c r="E1129" s="3486"/>
      <c r="F1129" s="3486"/>
      <c r="G1129" s="3486"/>
      <c r="H1129" s="3486"/>
      <c r="I1129" s="3486"/>
      <c r="J1129" s="3486"/>
      <c r="K1129" s="3486"/>
      <c r="L1129" s="3486"/>
      <c r="M1129" s="3486"/>
      <c r="N1129" s="3486"/>
      <c r="O1129" s="3486"/>
      <c r="P1129" s="3486"/>
      <c r="Q1129" s="3486"/>
      <c r="R1129" s="3486"/>
      <c r="S1129" s="3486"/>
      <c r="T1129" s="3486"/>
      <c r="U1129" s="3486"/>
      <c r="V1129" s="3486"/>
      <c r="W1129" s="3486"/>
      <c r="X1129" s="3486"/>
      <c r="Y1129" s="3943"/>
    </row>
    <row r="1130" spans="1:25" s="3492" customFormat="1">
      <c r="A1130" s="3485"/>
      <c r="B1130" s="3486"/>
      <c r="C1130" s="3486"/>
      <c r="D1130" s="3486"/>
      <c r="E1130" s="3486"/>
      <c r="F1130" s="3486"/>
      <c r="G1130" s="3486"/>
      <c r="H1130" s="3486"/>
      <c r="I1130" s="3486"/>
      <c r="J1130" s="3486"/>
      <c r="K1130" s="3486"/>
      <c r="L1130" s="3486"/>
      <c r="M1130" s="3486"/>
      <c r="N1130" s="3486"/>
      <c r="O1130" s="3486"/>
      <c r="P1130" s="3486"/>
      <c r="Q1130" s="3486"/>
      <c r="R1130" s="3486"/>
      <c r="S1130" s="3486"/>
      <c r="T1130" s="3486"/>
      <c r="U1130" s="3486"/>
      <c r="V1130" s="3486"/>
      <c r="W1130" s="3486"/>
      <c r="X1130" s="3486"/>
      <c r="Y1130" s="3943"/>
    </row>
    <row r="1131" spans="1:25" s="3492" customFormat="1">
      <c r="A1131" s="3485"/>
      <c r="B1131" s="3486"/>
      <c r="C1131" s="3486"/>
      <c r="D1131" s="3486"/>
      <c r="E1131" s="3486"/>
      <c r="F1131" s="3486"/>
      <c r="G1131" s="3486"/>
      <c r="H1131" s="3486"/>
      <c r="I1131" s="3486"/>
      <c r="J1131" s="3486"/>
      <c r="K1131" s="3486"/>
      <c r="L1131" s="3486"/>
      <c r="M1131" s="3486"/>
      <c r="N1131" s="3486"/>
      <c r="O1131" s="3486"/>
      <c r="P1131" s="3486"/>
      <c r="Q1131" s="3486"/>
      <c r="R1131" s="3486"/>
      <c r="S1131" s="3486"/>
      <c r="T1131" s="3486"/>
      <c r="U1131" s="3486"/>
      <c r="V1131" s="3486"/>
      <c r="W1131" s="3486"/>
      <c r="X1131" s="3486"/>
      <c r="Y1131" s="3943"/>
    </row>
    <row r="1132" spans="1:25" s="3492" customFormat="1">
      <c r="A1132" s="3485"/>
      <c r="B1132" s="3486"/>
      <c r="C1132" s="3486"/>
      <c r="D1132" s="3486"/>
      <c r="E1132" s="3486"/>
      <c r="F1132" s="3486"/>
      <c r="G1132" s="3486"/>
      <c r="H1132" s="3486"/>
      <c r="I1132" s="3486"/>
      <c r="J1132" s="3486"/>
      <c r="K1132" s="3486"/>
      <c r="L1132" s="3486"/>
      <c r="M1132" s="3486"/>
      <c r="N1132" s="3486"/>
      <c r="O1132" s="3486"/>
      <c r="P1132" s="3486"/>
      <c r="Q1132" s="3486"/>
      <c r="R1132" s="3486"/>
      <c r="S1132" s="3486"/>
      <c r="T1132" s="3486"/>
      <c r="U1132" s="3486"/>
      <c r="V1132" s="3486"/>
      <c r="W1132" s="3486"/>
      <c r="X1132" s="3486"/>
      <c r="Y1132" s="3943"/>
    </row>
    <row r="1133" spans="1:25" s="3492" customFormat="1">
      <c r="A1133" s="3485"/>
      <c r="B1133" s="3486"/>
      <c r="C1133" s="3486"/>
      <c r="D1133" s="3486"/>
      <c r="E1133" s="3486"/>
      <c r="F1133" s="3486"/>
      <c r="G1133" s="3486"/>
      <c r="H1133" s="3486"/>
      <c r="I1133" s="3486"/>
      <c r="J1133" s="3486"/>
      <c r="K1133" s="3486"/>
      <c r="L1133" s="3486"/>
      <c r="M1133" s="3486"/>
      <c r="N1133" s="3486"/>
      <c r="O1133" s="3486"/>
      <c r="P1133" s="3486"/>
      <c r="Q1133" s="3486"/>
      <c r="R1133" s="3486"/>
      <c r="S1133" s="3486"/>
      <c r="T1133" s="3486"/>
      <c r="U1133" s="3486"/>
      <c r="V1133" s="3486"/>
      <c r="W1133" s="3486"/>
      <c r="X1133" s="3486"/>
      <c r="Y1133" s="3943"/>
    </row>
    <row r="1134" spans="1:25" s="3492" customFormat="1">
      <c r="A1134" s="3485"/>
      <c r="B1134" s="3486"/>
      <c r="C1134" s="3486"/>
      <c r="D1134" s="3486"/>
      <c r="E1134" s="3486"/>
      <c r="F1134" s="3486"/>
      <c r="G1134" s="3486"/>
      <c r="H1134" s="3486"/>
      <c r="I1134" s="3486"/>
      <c r="J1134" s="3486"/>
      <c r="K1134" s="3486"/>
      <c r="L1134" s="3486"/>
      <c r="M1134" s="3486"/>
      <c r="N1134" s="3486"/>
      <c r="O1134" s="3486"/>
      <c r="P1134" s="3486"/>
      <c r="Q1134" s="3486"/>
      <c r="R1134" s="3486"/>
      <c r="S1134" s="3486"/>
      <c r="T1134" s="3486"/>
      <c r="U1134" s="3486"/>
      <c r="V1134" s="3486"/>
      <c r="W1134" s="3486"/>
      <c r="X1134" s="3486"/>
      <c r="Y1134" s="3943"/>
    </row>
    <row r="1135" spans="1:25" s="3492" customFormat="1">
      <c r="A1135" s="3485"/>
      <c r="B1135" s="3486"/>
      <c r="C1135" s="3486"/>
      <c r="D1135" s="3486"/>
      <c r="E1135" s="3486"/>
      <c r="F1135" s="3486"/>
      <c r="G1135" s="3486"/>
      <c r="H1135" s="3486"/>
      <c r="I1135" s="3486"/>
      <c r="J1135" s="3486"/>
      <c r="K1135" s="3486"/>
      <c r="L1135" s="3486"/>
      <c r="M1135" s="3486"/>
      <c r="N1135" s="3486"/>
      <c r="O1135" s="3486"/>
      <c r="P1135" s="3486"/>
      <c r="Q1135" s="3486"/>
      <c r="R1135" s="3486"/>
      <c r="S1135" s="3486"/>
      <c r="T1135" s="3486"/>
      <c r="U1135" s="3486"/>
      <c r="V1135" s="3486"/>
      <c r="W1135" s="3486"/>
      <c r="X1135" s="3486"/>
      <c r="Y1135" s="3943"/>
    </row>
    <row r="1136" spans="1:25" s="3492" customFormat="1">
      <c r="A1136" s="3485"/>
      <c r="B1136" s="3486"/>
      <c r="C1136" s="3486"/>
      <c r="D1136" s="3486"/>
      <c r="E1136" s="3486"/>
      <c r="F1136" s="3486"/>
      <c r="G1136" s="3486"/>
      <c r="H1136" s="3486"/>
      <c r="I1136" s="3486"/>
      <c r="J1136" s="3486"/>
      <c r="K1136" s="3486"/>
      <c r="L1136" s="3486"/>
      <c r="M1136" s="3486"/>
      <c r="N1136" s="3486"/>
      <c r="O1136" s="3486"/>
      <c r="P1136" s="3486"/>
      <c r="Q1136" s="3486"/>
      <c r="R1136" s="3486"/>
      <c r="S1136" s="3486"/>
      <c r="T1136" s="3486"/>
      <c r="U1136" s="3486"/>
      <c r="V1136" s="3486"/>
      <c r="W1136" s="3486"/>
      <c r="X1136" s="3486"/>
      <c r="Y1136" s="3943"/>
    </row>
    <row r="1137" spans="1:25" s="3492" customFormat="1">
      <c r="A1137" s="3485"/>
      <c r="B1137" s="3486"/>
      <c r="C1137" s="3486"/>
      <c r="D1137" s="3486"/>
      <c r="E1137" s="3486"/>
      <c r="F1137" s="3486"/>
      <c r="G1137" s="3486"/>
      <c r="H1137" s="3486"/>
      <c r="I1137" s="3486"/>
      <c r="J1137" s="3486"/>
      <c r="K1137" s="3486"/>
      <c r="L1137" s="3486"/>
      <c r="M1137" s="3486"/>
      <c r="N1137" s="3486"/>
      <c r="O1137" s="3486"/>
      <c r="P1137" s="3486"/>
      <c r="Q1137" s="3486"/>
      <c r="R1137" s="3486"/>
      <c r="S1137" s="3486"/>
      <c r="T1137" s="3486"/>
      <c r="U1137" s="3486"/>
      <c r="V1137" s="3486"/>
      <c r="W1137" s="3486"/>
      <c r="X1137" s="3486"/>
      <c r="Y1137" s="3943"/>
    </row>
    <row r="1138" spans="1:25" s="3492" customFormat="1">
      <c r="A1138" s="3485"/>
      <c r="B1138" s="3486"/>
      <c r="C1138" s="3486"/>
      <c r="D1138" s="3486"/>
      <c r="E1138" s="3486"/>
      <c r="F1138" s="3486"/>
      <c r="G1138" s="3486"/>
      <c r="H1138" s="3486"/>
      <c r="I1138" s="3486"/>
      <c r="J1138" s="3486"/>
      <c r="K1138" s="3486"/>
      <c r="L1138" s="3486"/>
      <c r="M1138" s="3486"/>
      <c r="N1138" s="3486"/>
      <c r="O1138" s="3486"/>
      <c r="P1138" s="3486"/>
      <c r="Q1138" s="3486"/>
      <c r="R1138" s="3486"/>
      <c r="S1138" s="3486"/>
      <c r="T1138" s="3486"/>
      <c r="U1138" s="3486"/>
      <c r="V1138" s="3486"/>
      <c r="W1138" s="3486"/>
      <c r="X1138" s="3486"/>
      <c r="Y1138" s="3943"/>
    </row>
    <row r="1139" spans="1:25" s="3492" customFormat="1">
      <c r="A1139" s="3485"/>
      <c r="B1139" s="3486"/>
      <c r="C1139" s="3486"/>
      <c r="D1139" s="3486"/>
      <c r="E1139" s="3486"/>
      <c r="F1139" s="3486"/>
      <c r="G1139" s="3486"/>
      <c r="H1139" s="3486"/>
      <c r="I1139" s="3486"/>
      <c r="J1139" s="3486"/>
      <c r="K1139" s="3486"/>
      <c r="L1139" s="3486"/>
      <c r="M1139" s="3486"/>
      <c r="N1139" s="3486"/>
      <c r="O1139" s="3486"/>
      <c r="P1139" s="3486"/>
      <c r="Q1139" s="3486"/>
      <c r="R1139" s="3486"/>
      <c r="S1139" s="3486"/>
      <c r="T1139" s="3486"/>
      <c r="U1139" s="3486"/>
      <c r="V1139" s="3486"/>
      <c r="W1139" s="3486"/>
      <c r="X1139" s="3486"/>
      <c r="Y1139" s="3943"/>
    </row>
    <row r="1140" spans="1:25" s="3492" customFormat="1">
      <c r="A1140" s="3485"/>
      <c r="B1140" s="3486"/>
      <c r="C1140" s="3486"/>
      <c r="D1140" s="3486"/>
      <c r="E1140" s="3486"/>
      <c r="F1140" s="3486"/>
      <c r="G1140" s="3486"/>
      <c r="H1140" s="3486"/>
      <c r="I1140" s="3486"/>
      <c r="J1140" s="3486"/>
      <c r="K1140" s="3486"/>
      <c r="L1140" s="3486"/>
      <c r="M1140" s="3486"/>
      <c r="N1140" s="3486"/>
      <c r="O1140" s="3486"/>
      <c r="P1140" s="3486"/>
      <c r="Q1140" s="3486"/>
      <c r="R1140" s="3486"/>
      <c r="S1140" s="3486"/>
      <c r="T1140" s="3486"/>
      <c r="U1140" s="3486"/>
      <c r="V1140" s="3486"/>
      <c r="W1140" s="3486"/>
      <c r="X1140" s="3486"/>
      <c r="Y1140" s="3943"/>
    </row>
    <row r="1141" spans="1:25" s="3492" customFormat="1">
      <c r="A1141" s="3485"/>
      <c r="B1141" s="3486"/>
      <c r="C1141" s="3486"/>
      <c r="D1141" s="3486"/>
      <c r="E1141" s="3486"/>
      <c r="F1141" s="3486"/>
      <c r="G1141" s="3486"/>
      <c r="H1141" s="3486"/>
      <c r="I1141" s="3486"/>
      <c r="J1141" s="3486"/>
      <c r="K1141" s="3486"/>
      <c r="L1141" s="3486"/>
      <c r="M1141" s="3486"/>
      <c r="N1141" s="3486"/>
      <c r="O1141" s="3486"/>
      <c r="P1141" s="3486"/>
      <c r="Q1141" s="3486"/>
      <c r="R1141" s="3486"/>
      <c r="S1141" s="3486"/>
      <c r="T1141" s="3486"/>
      <c r="U1141" s="3486"/>
      <c r="V1141" s="3486"/>
      <c r="W1141" s="3486"/>
      <c r="X1141" s="3486"/>
      <c r="Y1141" s="3943"/>
    </row>
    <row r="1142" spans="1:25" s="3492" customFormat="1">
      <c r="A1142" s="3485"/>
      <c r="B1142" s="3486"/>
      <c r="C1142" s="3486"/>
      <c r="D1142" s="3486"/>
      <c r="E1142" s="3486"/>
      <c r="F1142" s="3486"/>
      <c r="G1142" s="3486"/>
      <c r="H1142" s="3486"/>
      <c r="I1142" s="3486"/>
      <c r="J1142" s="3486"/>
      <c r="K1142" s="3486"/>
      <c r="L1142" s="3486"/>
      <c r="M1142" s="3486"/>
      <c r="N1142" s="3486"/>
      <c r="O1142" s="3486"/>
      <c r="P1142" s="3486"/>
      <c r="Q1142" s="3486"/>
      <c r="R1142" s="3486"/>
      <c r="S1142" s="3486"/>
      <c r="T1142" s="3486"/>
      <c r="U1142" s="3486"/>
      <c r="V1142" s="3486"/>
      <c r="W1142" s="3486"/>
      <c r="X1142" s="3486"/>
      <c r="Y1142" s="3943"/>
    </row>
    <row r="1143" spans="1:25" s="3492" customFormat="1">
      <c r="A1143" s="3485"/>
      <c r="B1143" s="3486"/>
      <c r="C1143" s="3486"/>
      <c r="D1143" s="3486"/>
      <c r="E1143" s="3486"/>
      <c r="F1143" s="3486"/>
      <c r="G1143" s="3486"/>
      <c r="H1143" s="3486"/>
      <c r="I1143" s="3486"/>
      <c r="J1143" s="3486"/>
      <c r="K1143" s="3486"/>
      <c r="L1143" s="3486"/>
      <c r="M1143" s="3486"/>
      <c r="N1143" s="3486"/>
      <c r="O1143" s="3486"/>
      <c r="P1143" s="3486"/>
      <c r="Q1143" s="3486"/>
      <c r="R1143" s="3486"/>
      <c r="S1143" s="3486"/>
      <c r="T1143" s="3486"/>
      <c r="U1143" s="3486"/>
      <c r="V1143" s="3486"/>
      <c r="W1143" s="3486"/>
      <c r="X1143" s="3486"/>
      <c r="Y1143" s="3943"/>
    </row>
    <row r="1144" spans="1:25" s="3492" customFormat="1">
      <c r="A1144" s="3485"/>
      <c r="B1144" s="3486"/>
      <c r="C1144" s="3486"/>
      <c r="D1144" s="3486"/>
      <c r="E1144" s="3486"/>
      <c r="F1144" s="3486"/>
      <c r="G1144" s="3486"/>
      <c r="H1144" s="3486"/>
      <c r="I1144" s="3486"/>
      <c r="J1144" s="3486"/>
      <c r="K1144" s="3486"/>
      <c r="L1144" s="3486"/>
      <c r="M1144" s="3486"/>
      <c r="N1144" s="3486"/>
      <c r="O1144" s="3486"/>
      <c r="P1144" s="3486"/>
      <c r="Q1144" s="3486"/>
      <c r="R1144" s="3486"/>
      <c r="S1144" s="3486"/>
      <c r="T1144" s="3486"/>
      <c r="U1144" s="3486"/>
      <c r="V1144" s="3486"/>
      <c r="W1144" s="3486"/>
      <c r="X1144" s="3486"/>
      <c r="Y1144" s="3943"/>
    </row>
    <row r="1145" spans="1:25" s="3492" customFormat="1">
      <c r="A1145" s="3485"/>
      <c r="B1145" s="3486"/>
      <c r="C1145" s="3486"/>
      <c r="D1145" s="3486"/>
      <c r="E1145" s="3486"/>
      <c r="F1145" s="3486"/>
      <c r="G1145" s="3486"/>
      <c r="H1145" s="3486"/>
      <c r="I1145" s="3486"/>
      <c r="J1145" s="3486"/>
      <c r="K1145" s="3486"/>
      <c r="L1145" s="3486"/>
      <c r="M1145" s="3486"/>
      <c r="N1145" s="3486"/>
      <c r="O1145" s="3486"/>
      <c r="P1145" s="3486"/>
      <c r="Q1145" s="3486"/>
      <c r="R1145" s="3486"/>
      <c r="S1145" s="3486"/>
      <c r="T1145" s="3486"/>
      <c r="U1145" s="3486"/>
      <c r="V1145" s="3486"/>
      <c r="W1145" s="3486"/>
      <c r="X1145" s="3486"/>
      <c r="Y1145" s="3943"/>
    </row>
    <row r="1146" spans="1:25" s="3492" customFormat="1">
      <c r="A1146" s="3485"/>
      <c r="B1146" s="3486"/>
      <c r="C1146" s="3486"/>
      <c r="D1146" s="3486"/>
      <c r="E1146" s="3486"/>
      <c r="F1146" s="3486"/>
      <c r="G1146" s="3486"/>
      <c r="H1146" s="3486"/>
      <c r="I1146" s="3486"/>
      <c r="J1146" s="3486"/>
      <c r="K1146" s="3486"/>
      <c r="L1146" s="3486"/>
      <c r="M1146" s="3486"/>
      <c r="N1146" s="3486"/>
      <c r="O1146" s="3486"/>
      <c r="P1146" s="3486"/>
      <c r="Q1146" s="3486"/>
      <c r="R1146" s="3486"/>
      <c r="S1146" s="3486"/>
      <c r="T1146" s="3486"/>
      <c r="U1146" s="3486"/>
      <c r="V1146" s="3486"/>
      <c r="W1146" s="3486"/>
      <c r="X1146" s="3486"/>
      <c r="Y1146" s="3943"/>
    </row>
    <row r="1147" spans="1:25" s="3492" customFormat="1">
      <c r="A1147" s="3485"/>
      <c r="B1147" s="3486"/>
      <c r="C1147" s="3486"/>
      <c r="D1147" s="3486"/>
      <c r="E1147" s="3486"/>
      <c r="F1147" s="3486"/>
      <c r="G1147" s="3486"/>
      <c r="H1147" s="3486"/>
      <c r="I1147" s="3486"/>
      <c r="J1147" s="3486"/>
      <c r="K1147" s="3486"/>
      <c r="L1147" s="3486"/>
      <c r="M1147" s="3486"/>
      <c r="N1147" s="3486"/>
      <c r="O1147" s="3486"/>
      <c r="P1147" s="3486"/>
      <c r="Q1147" s="3486"/>
      <c r="R1147" s="3486"/>
      <c r="S1147" s="3486"/>
      <c r="T1147" s="3486"/>
      <c r="U1147" s="3486"/>
      <c r="V1147" s="3486"/>
      <c r="W1147" s="3486"/>
      <c r="X1147" s="3486"/>
      <c r="Y1147" s="3943"/>
    </row>
    <row r="1148" spans="1:25" s="3492" customFormat="1">
      <c r="A1148" s="3485"/>
      <c r="B1148" s="3486"/>
      <c r="C1148" s="3486"/>
      <c r="D1148" s="3486"/>
      <c r="E1148" s="3486"/>
      <c r="F1148" s="3486"/>
      <c r="G1148" s="3486"/>
      <c r="H1148" s="3486"/>
      <c r="I1148" s="3486"/>
      <c r="J1148" s="3486"/>
      <c r="K1148" s="3486"/>
      <c r="L1148" s="3486"/>
      <c r="M1148" s="3486"/>
      <c r="N1148" s="3486"/>
      <c r="O1148" s="3486"/>
      <c r="P1148" s="3486"/>
      <c r="Q1148" s="3486"/>
      <c r="R1148" s="3486"/>
      <c r="S1148" s="3486"/>
      <c r="T1148" s="3486"/>
      <c r="U1148" s="3486"/>
      <c r="V1148" s="3486"/>
      <c r="W1148" s="3486"/>
      <c r="X1148" s="3486"/>
      <c r="Y1148" s="3943"/>
    </row>
    <row r="1149" spans="1:25" s="3492" customFormat="1">
      <c r="A1149" s="3485"/>
      <c r="B1149" s="3486"/>
      <c r="C1149" s="3486"/>
      <c r="D1149" s="3486"/>
      <c r="E1149" s="3486"/>
      <c r="F1149" s="3486"/>
      <c r="G1149" s="3486"/>
      <c r="H1149" s="3486"/>
      <c r="I1149" s="3486"/>
      <c r="J1149" s="3486"/>
      <c r="K1149" s="3486"/>
      <c r="L1149" s="3486"/>
      <c r="M1149" s="3486"/>
      <c r="N1149" s="3486"/>
      <c r="O1149" s="3486"/>
      <c r="P1149" s="3486"/>
      <c r="Q1149" s="3486"/>
      <c r="R1149" s="3486"/>
      <c r="S1149" s="3486"/>
      <c r="T1149" s="3486"/>
      <c r="U1149" s="3486"/>
      <c r="V1149" s="3486"/>
      <c r="W1149" s="3486"/>
      <c r="X1149" s="3486"/>
      <c r="Y1149" s="3943"/>
    </row>
    <row r="1150" spans="1:25" s="3492" customFormat="1">
      <c r="A1150" s="3485"/>
      <c r="B1150" s="3486"/>
      <c r="C1150" s="3486"/>
      <c r="D1150" s="3486"/>
      <c r="E1150" s="3486"/>
      <c r="F1150" s="3486"/>
      <c r="G1150" s="3486"/>
      <c r="H1150" s="3486"/>
      <c r="I1150" s="3486"/>
      <c r="J1150" s="3486"/>
      <c r="K1150" s="3486"/>
      <c r="L1150" s="3486"/>
      <c r="M1150" s="3486"/>
      <c r="N1150" s="3486"/>
      <c r="O1150" s="3486"/>
      <c r="P1150" s="3486"/>
      <c r="Q1150" s="3486"/>
      <c r="R1150" s="3486"/>
      <c r="S1150" s="3486"/>
      <c r="T1150" s="3486"/>
      <c r="U1150" s="3486"/>
      <c r="V1150" s="3486"/>
      <c r="W1150" s="3486"/>
      <c r="X1150" s="3486"/>
      <c r="Y1150" s="3943"/>
    </row>
    <row r="1151" spans="1:25" s="3492" customFormat="1">
      <c r="A1151" s="3485"/>
      <c r="B1151" s="3486"/>
      <c r="C1151" s="3486"/>
      <c r="D1151" s="3486"/>
      <c r="E1151" s="3486"/>
      <c r="F1151" s="3486"/>
      <c r="G1151" s="3486"/>
      <c r="H1151" s="3486"/>
      <c r="I1151" s="3486"/>
      <c r="J1151" s="3486"/>
      <c r="K1151" s="3486"/>
      <c r="L1151" s="3486"/>
      <c r="M1151" s="3486"/>
      <c r="N1151" s="3486"/>
      <c r="O1151" s="3486"/>
      <c r="P1151" s="3486"/>
      <c r="Q1151" s="3486"/>
      <c r="R1151" s="3486"/>
      <c r="S1151" s="3486"/>
      <c r="T1151" s="3486"/>
      <c r="U1151" s="3486"/>
      <c r="V1151" s="3486"/>
      <c r="W1151" s="3486"/>
      <c r="X1151" s="3486"/>
      <c r="Y1151" s="3943"/>
    </row>
    <row r="1152" spans="1:25" s="3492" customFormat="1">
      <c r="A1152" s="3485"/>
      <c r="B1152" s="3486"/>
      <c r="C1152" s="3486"/>
      <c r="D1152" s="3486"/>
      <c r="E1152" s="3486"/>
      <c r="F1152" s="3486"/>
      <c r="G1152" s="3486"/>
      <c r="H1152" s="3486"/>
      <c r="I1152" s="3486"/>
      <c r="J1152" s="3486"/>
      <c r="K1152" s="3486"/>
      <c r="L1152" s="3486"/>
      <c r="M1152" s="3486"/>
      <c r="N1152" s="3486"/>
      <c r="O1152" s="3486"/>
      <c r="P1152" s="3486"/>
      <c r="Q1152" s="3486"/>
      <c r="R1152" s="3486"/>
      <c r="S1152" s="3486"/>
      <c r="T1152" s="3486"/>
      <c r="U1152" s="3486"/>
      <c r="V1152" s="3486"/>
      <c r="W1152" s="3486"/>
      <c r="X1152" s="3486"/>
      <c r="Y1152" s="3943"/>
    </row>
    <row r="1153" spans="1:25" s="3492" customFormat="1">
      <c r="A1153" s="3485"/>
      <c r="B1153" s="3486"/>
      <c r="C1153" s="3486"/>
      <c r="D1153" s="3486"/>
      <c r="E1153" s="3486"/>
      <c r="F1153" s="3486"/>
      <c r="G1153" s="3486"/>
      <c r="H1153" s="3486"/>
      <c r="I1153" s="3486"/>
      <c r="J1153" s="3486"/>
      <c r="K1153" s="3486"/>
      <c r="L1153" s="3486"/>
      <c r="M1153" s="3486"/>
      <c r="N1153" s="3486"/>
      <c r="O1153" s="3486"/>
      <c r="P1153" s="3486"/>
      <c r="Q1153" s="3486"/>
      <c r="R1153" s="3486"/>
      <c r="S1153" s="3486"/>
      <c r="T1153" s="3486"/>
      <c r="U1153" s="3486"/>
      <c r="V1153" s="3486"/>
      <c r="W1153" s="3486"/>
      <c r="X1153" s="3486"/>
      <c r="Y1153" s="3943"/>
    </row>
    <row r="1154" spans="1:25" s="3492" customFormat="1">
      <c r="A1154" s="3485"/>
      <c r="B1154" s="3486"/>
      <c r="C1154" s="3486"/>
      <c r="D1154" s="3486"/>
      <c r="E1154" s="3486"/>
      <c r="F1154" s="3486"/>
      <c r="G1154" s="3486"/>
      <c r="H1154" s="3486"/>
      <c r="I1154" s="3486"/>
      <c r="J1154" s="3486"/>
      <c r="K1154" s="3486"/>
      <c r="L1154" s="3486"/>
      <c r="M1154" s="3486"/>
      <c r="N1154" s="3486"/>
      <c r="O1154" s="3486"/>
      <c r="P1154" s="3486"/>
      <c r="Q1154" s="3486"/>
      <c r="R1154" s="3486"/>
      <c r="S1154" s="3486"/>
      <c r="T1154" s="3486"/>
      <c r="U1154" s="3486"/>
      <c r="V1154" s="3486"/>
      <c r="W1154" s="3486"/>
      <c r="X1154" s="3486"/>
      <c r="Y1154" s="3943"/>
    </row>
    <row r="1155" spans="1:25" s="3492" customFormat="1">
      <c r="A1155" s="3485"/>
      <c r="B1155" s="3486"/>
      <c r="C1155" s="3486"/>
      <c r="D1155" s="3486"/>
      <c r="E1155" s="3486"/>
      <c r="F1155" s="3486"/>
      <c r="G1155" s="3486"/>
      <c r="H1155" s="3486"/>
      <c r="I1155" s="3486"/>
      <c r="J1155" s="3486"/>
      <c r="K1155" s="3486"/>
      <c r="L1155" s="3486"/>
      <c r="M1155" s="3486"/>
      <c r="N1155" s="3486"/>
      <c r="O1155" s="3486"/>
      <c r="P1155" s="3486"/>
      <c r="Q1155" s="3486"/>
      <c r="R1155" s="3486"/>
      <c r="S1155" s="3486"/>
      <c r="T1155" s="3486"/>
      <c r="U1155" s="3486"/>
      <c r="V1155" s="3486"/>
      <c r="W1155" s="3486"/>
      <c r="X1155" s="3486"/>
      <c r="Y1155" s="3943"/>
    </row>
    <row r="1156" spans="1:25" s="3492" customFormat="1">
      <c r="A1156" s="3485"/>
      <c r="B1156" s="3486"/>
      <c r="C1156" s="3486"/>
      <c r="D1156" s="3486"/>
      <c r="E1156" s="3486"/>
      <c r="F1156" s="3486"/>
      <c r="G1156" s="3486"/>
      <c r="H1156" s="3486"/>
      <c r="I1156" s="3486"/>
      <c r="J1156" s="3486"/>
      <c r="K1156" s="3486"/>
      <c r="L1156" s="3486"/>
      <c r="M1156" s="3486"/>
      <c r="N1156" s="3486"/>
      <c r="O1156" s="3486"/>
      <c r="P1156" s="3486"/>
      <c r="Q1156" s="3486"/>
      <c r="R1156" s="3486"/>
      <c r="S1156" s="3486"/>
      <c r="T1156" s="3486"/>
      <c r="U1156" s="3486"/>
      <c r="V1156" s="3486"/>
      <c r="W1156" s="3486"/>
      <c r="X1156" s="3486"/>
      <c r="Y1156" s="3943"/>
    </row>
    <row r="1157" spans="1:25" s="3492" customFormat="1">
      <c r="A1157" s="3485"/>
      <c r="B1157" s="3486"/>
      <c r="C1157" s="3486"/>
      <c r="D1157" s="3486"/>
      <c r="E1157" s="3486"/>
      <c r="F1157" s="3486"/>
      <c r="G1157" s="3486"/>
      <c r="H1157" s="3486"/>
      <c r="I1157" s="3486"/>
      <c r="J1157" s="3486"/>
      <c r="K1157" s="3486"/>
      <c r="L1157" s="3486"/>
      <c r="M1157" s="3486"/>
      <c r="N1157" s="3486"/>
      <c r="O1157" s="3486"/>
      <c r="P1157" s="3486"/>
      <c r="Q1157" s="3486"/>
      <c r="R1157" s="3486"/>
      <c r="S1157" s="3486"/>
      <c r="T1157" s="3486"/>
      <c r="U1157" s="3486"/>
      <c r="V1157" s="3486"/>
      <c r="W1157" s="3486"/>
      <c r="X1157" s="3486"/>
      <c r="Y1157" s="3943"/>
    </row>
    <row r="1158" spans="1:25" s="3492" customFormat="1">
      <c r="A1158" s="3485"/>
      <c r="B1158" s="3486"/>
      <c r="C1158" s="3486"/>
      <c r="D1158" s="3486"/>
      <c r="E1158" s="3486"/>
      <c r="F1158" s="3486"/>
      <c r="G1158" s="3486"/>
      <c r="H1158" s="3486"/>
      <c r="I1158" s="3486"/>
      <c r="J1158" s="3486"/>
      <c r="K1158" s="3486"/>
      <c r="L1158" s="3486"/>
      <c r="M1158" s="3486"/>
      <c r="N1158" s="3486"/>
      <c r="O1158" s="3486"/>
      <c r="P1158" s="3486"/>
      <c r="Q1158" s="3486"/>
      <c r="R1158" s="3486"/>
      <c r="S1158" s="3486"/>
      <c r="T1158" s="3486"/>
      <c r="U1158" s="3486"/>
      <c r="V1158" s="3486"/>
      <c r="W1158" s="3486"/>
      <c r="X1158" s="3486"/>
      <c r="Y1158" s="3943"/>
    </row>
    <row r="1159" spans="1:25" s="3492" customFormat="1">
      <c r="A1159" s="3485"/>
      <c r="B1159" s="3486"/>
      <c r="C1159" s="3486"/>
      <c r="D1159" s="3486"/>
      <c r="E1159" s="3486"/>
      <c r="F1159" s="3486"/>
      <c r="G1159" s="3486"/>
      <c r="H1159" s="3486"/>
      <c r="I1159" s="3486"/>
      <c r="J1159" s="3486"/>
      <c r="K1159" s="3486"/>
      <c r="L1159" s="3486"/>
      <c r="M1159" s="3486"/>
      <c r="N1159" s="3486"/>
      <c r="O1159" s="3486"/>
      <c r="P1159" s="3486"/>
      <c r="Q1159" s="3486"/>
      <c r="R1159" s="3486"/>
      <c r="S1159" s="3486"/>
      <c r="T1159" s="3486"/>
      <c r="U1159" s="3486"/>
      <c r="V1159" s="3486"/>
      <c r="W1159" s="3486"/>
      <c r="X1159" s="3486"/>
      <c r="Y1159" s="3943"/>
    </row>
    <row r="1160" spans="1:25" s="3492" customFormat="1">
      <c r="A1160" s="3485"/>
      <c r="B1160" s="3486"/>
      <c r="C1160" s="3486"/>
      <c r="D1160" s="3486"/>
      <c r="E1160" s="3486"/>
      <c r="F1160" s="3486"/>
      <c r="G1160" s="3486"/>
      <c r="H1160" s="3486"/>
      <c r="I1160" s="3486"/>
      <c r="J1160" s="3486"/>
      <c r="K1160" s="3486"/>
      <c r="L1160" s="3486"/>
      <c r="M1160" s="3486"/>
      <c r="N1160" s="3486"/>
      <c r="O1160" s="3486"/>
      <c r="P1160" s="3486"/>
      <c r="Q1160" s="3486"/>
      <c r="R1160" s="3486"/>
      <c r="S1160" s="3486"/>
      <c r="T1160" s="3486"/>
      <c r="U1160" s="3486"/>
      <c r="V1160" s="3486"/>
      <c r="W1160" s="3486"/>
      <c r="X1160" s="3486"/>
      <c r="Y1160" s="3943"/>
    </row>
    <row r="1161" spans="1:25" s="3492" customFormat="1">
      <c r="A1161" s="3485"/>
      <c r="B1161" s="3486"/>
      <c r="C1161" s="3486"/>
      <c r="D1161" s="3486"/>
      <c r="E1161" s="3486"/>
      <c r="F1161" s="3486"/>
      <c r="G1161" s="3486"/>
      <c r="H1161" s="3486"/>
      <c r="I1161" s="3486"/>
      <c r="J1161" s="3486"/>
      <c r="K1161" s="3486"/>
      <c r="L1161" s="3486"/>
      <c r="M1161" s="3486"/>
      <c r="N1161" s="3486"/>
      <c r="O1161" s="3486"/>
      <c r="P1161" s="3486"/>
      <c r="Q1161" s="3486"/>
      <c r="R1161" s="3486"/>
      <c r="S1161" s="3486"/>
      <c r="T1161" s="3486"/>
      <c r="U1161" s="3486"/>
      <c r="V1161" s="3486"/>
      <c r="W1161" s="3486"/>
      <c r="X1161" s="3486"/>
      <c r="Y1161" s="3943"/>
    </row>
    <row r="1162" spans="1:25" s="3492" customFormat="1">
      <c r="A1162" s="3485"/>
      <c r="B1162" s="3486"/>
      <c r="C1162" s="3486"/>
      <c r="D1162" s="3486"/>
      <c r="E1162" s="3486"/>
      <c r="F1162" s="3486"/>
      <c r="G1162" s="3486"/>
      <c r="H1162" s="3486"/>
      <c r="I1162" s="3486"/>
      <c r="J1162" s="3486"/>
      <c r="K1162" s="3486"/>
      <c r="L1162" s="3486"/>
      <c r="M1162" s="3486"/>
      <c r="N1162" s="3486"/>
      <c r="O1162" s="3486"/>
      <c r="P1162" s="3486"/>
      <c r="Q1162" s="3486"/>
      <c r="R1162" s="3486"/>
      <c r="S1162" s="3486"/>
      <c r="T1162" s="3486"/>
      <c r="U1162" s="3486"/>
      <c r="V1162" s="3486"/>
      <c r="W1162" s="3486"/>
      <c r="X1162" s="3486"/>
      <c r="Y1162" s="3943"/>
    </row>
    <row r="1163" spans="1:25" s="3492" customFormat="1">
      <c r="A1163" s="3485"/>
      <c r="B1163" s="3486"/>
      <c r="C1163" s="3486"/>
      <c r="D1163" s="3486"/>
      <c r="E1163" s="3486"/>
      <c r="F1163" s="3486"/>
      <c r="G1163" s="3486"/>
      <c r="H1163" s="3486"/>
      <c r="I1163" s="3486"/>
      <c r="J1163" s="3486"/>
      <c r="K1163" s="3486"/>
      <c r="L1163" s="3486"/>
      <c r="M1163" s="3486"/>
      <c r="N1163" s="3486"/>
      <c r="O1163" s="3486"/>
      <c r="P1163" s="3486"/>
      <c r="Q1163" s="3486"/>
      <c r="R1163" s="3486"/>
      <c r="S1163" s="3486"/>
      <c r="T1163" s="3486"/>
      <c r="U1163" s="3486"/>
      <c r="V1163" s="3486"/>
      <c r="W1163" s="3486"/>
      <c r="X1163" s="3486"/>
      <c r="Y1163" s="3943"/>
    </row>
    <row r="1164" spans="1:25" s="3492" customFormat="1">
      <c r="A1164" s="3485"/>
      <c r="B1164" s="3486"/>
      <c r="C1164" s="3486"/>
      <c r="D1164" s="3486"/>
      <c r="E1164" s="3486"/>
      <c r="F1164" s="3486"/>
      <c r="G1164" s="3486"/>
      <c r="H1164" s="3486"/>
      <c r="I1164" s="3486"/>
      <c r="J1164" s="3486"/>
      <c r="K1164" s="3486"/>
      <c r="L1164" s="3486"/>
      <c r="M1164" s="3486"/>
      <c r="N1164" s="3486"/>
      <c r="O1164" s="3486"/>
      <c r="P1164" s="3486"/>
      <c r="Q1164" s="3486"/>
      <c r="R1164" s="3486"/>
      <c r="S1164" s="3486"/>
      <c r="T1164" s="3486"/>
      <c r="U1164" s="3486"/>
      <c r="V1164" s="3486"/>
      <c r="W1164" s="3486"/>
      <c r="X1164" s="3486"/>
      <c r="Y1164" s="3943"/>
    </row>
    <row r="1165" spans="1:25" s="3492" customFormat="1">
      <c r="A1165" s="3485"/>
      <c r="B1165" s="3486"/>
      <c r="C1165" s="3486"/>
      <c r="D1165" s="3486"/>
      <c r="E1165" s="3486"/>
      <c r="F1165" s="3486"/>
      <c r="G1165" s="3486"/>
      <c r="H1165" s="3486"/>
      <c r="I1165" s="3486"/>
      <c r="J1165" s="3486"/>
      <c r="K1165" s="3486"/>
      <c r="L1165" s="3486"/>
      <c r="M1165" s="3486"/>
      <c r="N1165" s="3486"/>
      <c r="O1165" s="3486"/>
      <c r="P1165" s="3486"/>
      <c r="Q1165" s="3486"/>
      <c r="R1165" s="3486"/>
      <c r="S1165" s="3486"/>
      <c r="T1165" s="3486"/>
      <c r="U1165" s="3486"/>
      <c r="V1165" s="3486"/>
      <c r="W1165" s="3486"/>
      <c r="X1165" s="3486"/>
      <c r="Y1165" s="3943"/>
    </row>
    <row r="1166" spans="1:25" s="3492" customFormat="1">
      <c r="A1166" s="3485"/>
      <c r="B1166" s="3486"/>
      <c r="C1166" s="3486"/>
      <c r="D1166" s="3486"/>
      <c r="E1166" s="3486"/>
      <c r="F1166" s="3486"/>
      <c r="G1166" s="3486"/>
      <c r="H1166" s="3486"/>
      <c r="I1166" s="3486"/>
      <c r="J1166" s="3486"/>
      <c r="K1166" s="3486"/>
      <c r="L1166" s="3486"/>
      <c r="M1166" s="3486"/>
      <c r="N1166" s="3486"/>
      <c r="O1166" s="3486"/>
      <c r="P1166" s="3486"/>
      <c r="Q1166" s="3486"/>
      <c r="R1166" s="3486"/>
      <c r="S1166" s="3486"/>
      <c r="T1166" s="3486"/>
      <c r="U1166" s="3486"/>
      <c r="V1166" s="3486"/>
      <c r="W1166" s="3486"/>
      <c r="X1166" s="3486"/>
      <c r="Y1166" s="3943"/>
    </row>
    <row r="1167" spans="1:25" s="3492" customFormat="1">
      <c r="A1167" s="3485"/>
      <c r="B1167" s="3486"/>
      <c r="C1167" s="3486"/>
      <c r="D1167" s="3486"/>
      <c r="E1167" s="3486"/>
      <c r="F1167" s="3486"/>
      <c r="G1167" s="3486"/>
      <c r="H1167" s="3486"/>
      <c r="I1167" s="3486"/>
      <c r="J1167" s="3486"/>
      <c r="K1167" s="3486"/>
      <c r="L1167" s="3486"/>
      <c r="M1167" s="3486"/>
      <c r="N1167" s="3486"/>
      <c r="O1167" s="3486"/>
      <c r="P1167" s="3486"/>
      <c r="Q1167" s="3486"/>
      <c r="R1167" s="3486"/>
      <c r="S1167" s="3486"/>
      <c r="T1167" s="3486"/>
      <c r="U1167" s="3486"/>
      <c r="V1167" s="3486"/>
      <c r="W1167" s="3486"/>
      <c r="X1167" s="3486"/>
      <c r="Y1167" s="3943"/>
    </row>
    <row r="1168" spans="1:25" s="3492" customFormat="1">
      <c r="A1168" s="3485"/>
      <c r="B1168" s="3486"/>
      <c r="C1168" s="3486"/>
      <c r="D1168" s="3486"/>
      <c r="E1168" s="3486"/>
      <c r="F1168" s="3486"/>
      <c r="G1168" s="3486"/>
      <c r="H1168" s="3486"/>
      <c r="I1168" s="3486"/>
      <c r="J1168" s="3486"/>
      <c r="K1168" s="3486"/>
      <c r="L1168" s="3486"/>
      <c r="M1168" s="3486"/>
      <c r="N1168" s="3486"/>
      <c r="O1168" s="3486"/>
      <c r="P1168" s="3486"/>
      <c r="Q1168" s="3486"/>
      <c r="R1168" s="3486"/>
      <c r="S1168" s="3486"/>
      <c r="T1168" s="3486"/>
      <c r="U1168" s="3486"/>
      <c r="V1168" s="3486"/>
      <c r="W1168" s="3486"/>
      <c r="X1168" s="3486"/>
      <c r="Y1168" s="3943"/>
    </row>
    <row r="1169" spans="1:25" s="3492" customFormat="1">
      <c r="A1169" s="3485"/>
      <c r="B1169" s="3486"/>
      <c r="C1169" s="3486"/>
      <c r="D1169" s="3486"/>
      <c r="E1169" s="3486"/>
      <c r="F1169" s="3486"/>
      <c r="G1169" s="3486"/>
      <c r="H1169" s="3486"/>
      <c r="I1169" s="3486"/>
      <c r="J1169" s="3486"/>
      <c r="K1169" s="3486"/>
      <c r="L1169" s="3486"/>
      <c r="M1169" s="3486"/>
      <c r="N1169" s="3486"/>
      <c r="O1169" s="3486"/>
      <c r="P1169" s="3486"/>
      <c r="Q1169" s="3486"/>
      <c r="R1169" s="3486"/>
      <c r="S1169" s="3486"/>
      <c r="T1169" s="3486"/>
      <c r="U1169" s="3486"/>
      <c r="V1169" s="3486"/>
      <c r="W1169" s="3486"/>
      <c r="X1169" s="3486"/>
      <c r="Y1169" s="3943"/>
    </row>
    <row r="1170" spans="1:25" s="3492" customFormat="1">
      <c r="A1170" s="3485"/>
      <c r="B1170" s="3486"/>
      <c r="C1170" s="3486"/>
      <c r="D1170" s="3486"/>
      <c r="E1170" s="3486"/>
      <c r="F1170" s="3486"/>
      <c r="G1170" s="3486"/>
      <c r="H1170" s="3486"/>
      <c r="I1170" s="3486"/>
      <c r="J1170" s="3486"/>
      <c r="K1170" s="3486"/>
      <c r="L1170" s="3486"/>
      <c r="M1170" s="3486"/>
      <c r="N1170" s="3486"/>
      <c r="O1170" s="3486"/>
      <c r="P1170" s="3486"/>
      <c r="Q1170" s="3486"/>
      <c r="R1170" s="3486"/>
      <c r="S1170" s="3486"/>
      <c r="T1170" s="3486"/>
      <c r="U1170" s="3486"/>
      <c r="V1170" s="3486"/>
      <c r="W1170" s="3486"/>
      <c r="X1170" s="3486"/>
      <c r="Y1170" s="3943"/>
    </row>
    <row r="1171" spans="1:25" s="3492" customFormat="1">
      <c r="A1171" s="3485"/>
      <c r="B1171" s="3486"/>
      <c r="C1171" s="3486"/>
      <c r="D1171" s="3486"/>
      <c r="E1171" s="3486"/>
      <c r="F1171" s="3486"/>
      <c r="G1171" s="3486"/>
      <c r="H1171" s="3486"/>
      <c r="I1171" s="3486"/>
      <c r="J1171" s="3486"/>
      <c r="K1171" s="3486"/>
      <c r="L1171" s="3486"/>
      <c r="M1171" s="3486"/>
      <c r="N1171" s="3486"/>
      <c r="O1171" s="3486"/>
      <c r="P1171" s="3486"/>
      <c r="Q1171" s="3486"/>
      <c r="R1171" s="3486"/>
      <c r="S1171" s="3486"/>
      <c r="T1171" s="3486"/>
      <c r="U1171" s="3486"/>
      <c r="V1171" s="3486"/>
      <c r="W1171" s="3486"/>
      <c r="X1171" s="3486"/>
      <c r="Y1171" s="3943"/>
    </row>
    <row r="1172" spans="1:25" s="3492" customFormat="1">
      <c r="A1172" s="3485"/>
      <c r="B1172" s="3486"/>
      <c r="C1172" s="3486"/>
      <c r="D1172" s="3486"/>
      <c r="E1172" s="3486"/>
      <c r="F1172" s="3486"/>
      <c r="G1172" s="3486"/>
      <c r="H1172" s="3486"/>
      <c r="I1172" s="3486"/>
      <c r="J1172" s="3486"/>
      <c r="K1172" s="3486"/>
      <c r="L1172" s="3486"/>
      <c r="M1172" s="3486"/>
      <c r="N1172" s="3486"/>
      <c r="O1172" s="3486"/>
      <c r="P1172" s="3486"/>
      <c r="Q1172" s="3486"/>
      <c r="R1172" s="3486"/>
      <c r="S1172" s="3486"/>
      <c r="T1172" s="3486"/>
      <c r="U1172" s="3486"/>
      <c r="V1172" s="3486"/>
      <c r="W1172" s="3486"/>
      <c r="X1172" s="3486"/>
      <c r="Y1172" s="3943"/>
    </row>
    <row r="1173" spans="1:25" s="3492" customFormat="1">
      <c r="A1173" s="3485"/>
      <c r="B1173" s="3486"/>
      <c r="C1173" s="3486"/>
      <c r="D1173" s="3486"/>
      <c r="E1173" s="3486"/>
      <c r="F1173" s="3486"/>
      <c r="G1173" s="3486"/>
      <c r="H1173" s="3486"/>
      <c r="I1173" s="3486"/>
      <c r="J1173" s="3486"/>
      <c r="K1173" s="3486"/>
      <c r="L1173" s="3486"/>
      <c r="M1173" s="3486"/>
      <c r="N1173" s="3486"/>
      <c r="O1173" s="3486"/>
      <c r="P1173" s="3486"/>
      <c r="Q1173" s="3486"/>
      <c r="R1173" s="3486"/>
      <c r="S1173" s="3486"/>
      <c r="T1173" s="3486"/>
      <c r="U1173" s="3486"/>
      <c r="V1173" s="3486"/>
      <c r="W1173" s="3486"/>
      <c r="X1173" s="3486"/>
      <c r="Y1173" s="3943"/>
    </row>
    <row r="1174" spans="1:25" s="3492" customFormat="1">
      <c r="A1174" s="3485"/>
      <c r="B1174" s="3486"/>
      <c r="C1174" s="3486"/>
      <c r="D1174" s="3486"/>
      <c r="E1174" s="3486"/>
      <c r="F1174" s="3486"/>
      <c r="G1174" s="3486"/>
      <c r="H1174" s="3486"/>
      <c r="I1174" s="3486"/>
      <c r="J1174" s="3486"/>
      <c r="K1174" s="3486"/>
      <c r="L1174" s="3486"/>
      <c r="M1174" s="3486"/>
      <c r="N1174" s="3486"/>
      <c r="O1174" s="3486"/>
      <c r="P1174" s="3486"/>
      <c r="Q1174" s="3486"/>
      <c r="R1174" s="3486"/>
      <c r="S1174" s="3486"/>
      <c r="T1174" s="3486"/>
      <c r="U1174" s="3486"/>
      <c r="V1174" s="3486"/>
      <c r="W1174" s="3486"/>
      <c r="X1174" s="3486"/>
      <c r="Y1174" s="3943"/>
    </row>
    <row r="1175" spans="1:25" s="3492" customFormat="1">
      <c r="A1175" s="3485"/>
      <c r="B1175" s="3486"/>
      <c r="C1175" s="3486"/>
      <c r="D1175" s="3486"/>
      <c r="E1175" s="3486"/>
      <c r="F1175" s="3486"/>
      <c r="G1175" s="3486"/>
      <c r="H1175" s="3486"/>
      <c r="I1175" s="3486"/>
      <c r="J1175" s="3486"/>
      <c r="K1175" s="3486"/>
      <c r="L1175" s="3486"/>
      <c r="M1175" s="3486"/>
      <c r="N1175" s="3486"/>
      <c r="O1175" s="3486"/>
      <c r="P1175" s="3486"/>
      <c r="Q1175" s="3486"/>
      <c r="R1175" s="3486"/>
      <c r="S1175" s="3486"/>
      <c r="T1175" s="3486"/>
      <c r="U1175" s="3486"/>
      <c r="V1175" s="3486"/>
      <c r="W1175" s="3486"/>
      <c r="X1175" s="3486"/>
      <c r="Y1175" s="3943"/>
    </row>
    <row r="1176" spans="1:25" s="3492" customFormat="1">
      <c r="A1176" s="3485"/>
      <c r="B1176" s="3486"/>
      <c r="C1176" s="3486"/>
      <c r="D1176" s="3486"/>
      <c r="E1176" s="3486"/>
      <c r="F1176" s="3486"/>
      <c r="G1176" s="3486"/>
      <c r="H1176" s="3486"/>
      <c r="I1176" s="3486"/>
      <c r="J1176" s="3486"/>
      <c r="K1176" s="3486"/>
      <c r="L1176" s="3486"/>
      <c r="M1176" s="3486"/>
      <c r="N1176" s="3486"/>
      <c r="O1176" s="3486"/>
      <c r="P1176" s="3486"/>
      <c r="Q1176" s="3486"/>
      <c r="R1176" s="3486"/>
      <c r="S1176" s="3486"/>
      <c r="T1176" s="3486"/>
      <c r="U1176" s="3486"/>
      <c r="V1176" s="3486"/>
      <c r="W1176" s="3486"/>
      <c r="X1176" s="3486"/>
      <c r="Y1176" s="3943"/>
    </row>
    <row r="1177" spans="1:25" s="3492" customFormat="1">
      <c r="A1177" s="3485"/>
      <c r="B1177" s="3486"/>
      <c r="C1177" s="3486"/>
      <c r="D1177" s="3486"/>
      <c r="E1177" s="3486"/>
      <c r="F1177" s="3486"/>
      <c r="G1177" s="3486"/>
      <c r="H1177" s="3486"/>
      <c r="I1177" s="3486"/>
      <c r="J1177" s="3486"/>
      <c r="K1177" s="3486"/>
      <c r="L1177" s="3486"/>
      <c r="M1177" s="3486"/>
      <c r="N1177" s="3486"/>
      <c r="O1177" s="3486"/>
      <c r="P1177" s="3486"/>
      <c r="Q1177" s="3486"/>
      <c r="R1177" s="3486"/>
      <c r="S1177" s="3486"/>
      <c r="T1177" s="3486"/>
      <c r="U1177" s="3486"/>
      <c r="V1177" s="3486"/>
      <c r="W1177" s="3486"/>
      <c r="X1177" s="3486"/>
      <c r="Y1177" s="3943"/>
    </row>
    <row r="1178" spans="1:25" s="3492" customFormat="1">
      <c r="A1178" s="3485"/>
      <c r="B1178" s="3486"/>
      <c r="C1178" s="3486"/>
      <c r="D1178" s="3486"/>
      <c r="E1178" s="3486"/>
      <c r="F1178" s="3486"/>
      <c r="G1178" s="3486"/>
      <c r="H1178" s="3486"/>
      <c r="I1178" s="3486"/>
      <c r="J1178" s="3486"/>
      <c r="K1178" s="3486"/>
      <c r="L1178" s="3486"/>
      <c r="M1178" s="3486"/>
      <c r="N1178" s="3486"/>
      <c r="O1178" s="3486"/>
      <c r="P1178" s="3486"/>
      <c r="Q1178" s="3486"/>
      <c r="R1178" s="3486"/>
      <c r="S1178" s="3486"/>
      <c r="T1178" s="3486"/>
      <c r="U1178" s="3486"/>
      <c r="V1178" s="3486"/>
      <c r="W1178" s="3486"/>
      <c r="X1178" s="3486"/>
      <c r="Y1178" s="3943"/>
    </row>
    <row r="1179" spans="1:25" s="3492" customFormat="1">
      <c r="A1179" s="3485"/>
      <c r="B1179" s="3486"/>
      <c r="C1179" s="3486"/>
      <c r="D1179" s="3486"/>
      <c r="E1179" s="3486"/>
      <c r="F1179" s="3486"/>
      <c r="G1179" s="3486"/>
      <c r="H1179" s="3486"/>
      <c r="I1179" s="3486"/>
      <c r="J1179" s="3486"/>
      <c r="K1179" s="3486"/>
      <c r="L1179" s="3486"/>
      <c r="M1179" s="3486"/>
      <c r="N1179" s="3486"/>
      <c r="O1179" s="3486"/>
      <c r="P1179" s="3486"/>
      <c r="Q1179" s="3486"/>
      <c r="R1179" s="3486"/>
      <c r="S1179" s="3486"/>
      <c r="T1179" s="3486"/>
      <c r="U1179" s="3486"/>
      <c r="V1179" s="3486"/>
      <c r="W1179" s="3486"/>
      <c r="X1179" s="3486"/>
      <c r="Y1179" s="3943"/>
    </row>
    <row r="1180" spans="1:25" s="3492" customFormat="1">
      <c r="A1180" s="3485"/>
      <c r="B1180" s="3486"/>
      <c r="C1180" s="3486"/>
      <c r="D1180" s="3486"/>
      <c r="E1180" s="3486"/>
      <c r="F1180" s="3486"/>
      <c r="G1180" s="3486"/>
      <c r="H1180" s="3486"/>
      <c r="I1180" s="3486"/>
      <c r="J1180" s="3486"/>
      <c r="K1180" s="3486"/>
      <c r="L1180" s="3486"/>
      <c r="M1180" s="3486"/>
      <c r="N1180" s="3486"/>
      <c r="O1180" s="3486"/>
      <c r="P1180" s="3486"/>
      <c r="Q1180" s="3486"/>
      <c r="R1180" s="3486"/>
      <c r="S1180" s="3486"/>
      <c r="T1180" s="3486"/>
      <c r="U1180" s="3486"/>
      <c r="V1180" s="3486"/>
      <c r="W1180" s="3486"/>
      <c r="X1180" s="3486"/>
      <c r="Y1180" s="3943"/>
    </row>
    <row r="1181" spans="1:25" s="3492" customFormat="1">
      <c r="A1181" s="3485"/>
      <c r="B1181" s="3486"/>
      <c r="C1181" s="3486"/>
      <c r="D1181" s="3486"/>
      <c r="E1181" s="3486"/>
      <c r="F1181" s="3486"/>
      <c r="G1181" s="3486"/>
      <c r="H1181" s="3486"/>
      <c r="I1181" s="3486"/>
      <c r="J1181" s="3486"/>
      <c r="K1181" s="3486"/>
      <c r="L1181" s="3486"/>
      <c r="M1181" s="3486"/>
      <c r="N1181" s="3486"/>
      <c r="O1181" s="3486"/>
      <c r="P1181" s="3486"/>
      <c r="Q1181" s="3486"/>
      <c r="R1181" s="3486"/>
      <c r="S1181" s="3486"/>
      <c r="T1181" s="3486"/>
      <c r="U1181" s="3486"/>
      <c r="V1181" s="3486"/>
      <c r="W1181" s="3486"/>
      <c r="X1181" s="3486"/>
      <c r="Y1181" s="3943"/>
    </row>
    <row r="1182" spans="1:25" s="3492" customFormat="1">
      <c r="A1182" s="3485"/>
      <c r="B1182" s="3486"/>
      <c r="C1182" s="3486"/>
      <c r="D1182" s="3486"/>
      <c r="E1182" s="3486"/>
      <c r="F1182" s="3486"/>
      <c r="G1182" s="3486"/>
      <c r="H1182" s="3486"/>
      <c r="I1182" s="3486"/>
      <c r="J1182" s="3486"/>
      <c r="K1182" s="3486"/>
      <c r="L1182" s="3486"/>
      <c r="M1182" s="3486"/>
      <c r="N1182" s="3486"/>
      <c r="O1182" s="3486"/>
      <c r="P1182" s="3486"/>
      <c r="Q1182" s="3486"/>
      <c r="R1182" s="3486"/>
      <c r="S1182" s="3486"/>
      <c r="T1182" s="3486"/>
      <c r="U1182" s="3486"/>
      <c r="V1182" s="3486"/>
      <c r="W1182" s="3486"/>
      <c r="X1182" s="3486"/>
      <c r="Y1182" s="3943"/>
    </row>
    <row r="1183" spans="1:25" s="3492" customFormat="1">
      <c r="A1183" s="3485"/>
      <c r="B1183" s="3486"/>
      <c r="C1183" s="3486"/>
      <c r="D1183" s="3486"/>
      <c r="E1183" s="3486"/>
      <c r="F1183" s="3486"/>
      <c r="G1183" s="3486"/>
      <c r="H1183" s="3486"/>
      <c r="I1183" s="3486"/>
      <c r="J1183" s="3486"/>
      <c r="K1183" s="3486"/>
      <c r="L1183" s="3486"/>
      <c r="M1183" s="3486"/>
      <c r="N1183" s="3486"/>
      <c r="O1183" s="3486"/>
      <c r="P1183" s="3486"/>
      <c r="Q1183" s="3486"/>
      <c r="R1183" s="3486"/>
      <c r="S1183" s="3486"/>
      <c r="T1183" s="3486"/>
      <c r="U1183" s="3486"/>
      <c r="V1183" s="3486"/>
      <c r="W1183" s="3486"/>
      <c r="X1183" s="3486"/>
      <c r="Y1183" s="3943"/>
    </row>
    <row r="1184" spans="1:25" s="3492" customFormat="1">
      <c r="A1184" s="3485"/>
      <c r="B1184" s="3486"/>
      <c r="C1184" s="3486"/>
      <c r="D1184" s="3486"/>
      <c r="E1184" s="3486"/>
      <c r="F1184" s="3486"/>
      <c r="G1184" s="3486"/>
      <c r="H1184" s="3486"/>
      <c r="I1184" s="3486"/>
      <c r="J1184" s="3486"/>
      <c r="K1184" s="3486"/>
      <c r="L1184" s="3486"/>
      <c r="M1184" s="3486"/>
      <c r="N1184" s="3486"/>
      <c r="O1184" s="3486"/>
      <c r="P1184" s="3486"/>
      <c r="Q1184" s="3486"/>
      <c r="R1184" s="3486"/>
      <c r="S1184" s="3486"/>
      <c r="T1184" s="3486"/>
      <c r="U1184" s="3486"/>
      <c r="V1184" s="3486"/>
      <c r="W1184" s="3486"/>
      <c r="X1184" s="3486"/>
      <c r="Y1184" s="3943"/>
    </row>
    <row r="1185" spans="1:25" s="3492" customFormat="1">
      <c r="A1185" s="3485"/>
      <c r="B1185" s="3486"/>
      <c r="C1185" s="3486"/>
      <c r="D1185" s="3486"/>
      <c r="E1185" s="3486"/>
      <c r="F1185" s="3486"/>
      <c r="G1185" s="3486"/>
      <c r="H1185" s="3486"/>
      <c r="I1185" s="3486"/>
      <c r="J1185" s="3486"/>
      <c r="K1185" s="3486"/>
      <c r="L1185" s="3486"/>
      <c r="M1185" s="3486"/>
      <c r="N1185" s="3486"/>
      <c r="O1185" s="3486"/>
      <c r="P1185" s="3486"/>
      <c r="Q1185" s="3486"/>
      <c r="R1185" s="3486"/>
      <c r="S1185" s="3486"/>
      <c r="T1185" s="3486"/>
      <c r="U1185" s="3486"/>
      <c r="V1185" s="3486"/>
      <c r="W1185" s="3486"/>
      <c r="X1185" s="3486"/>
      <c r="Y1185" s="3943"/>
    </row>
    <row r="1186" spans="1:25" s="3492" customFormat="1">
      <c r="A1186" s="3485"/>
      <c r="B1186" s="3486"/>
      <c r="C1186" s="3486"/>
      <c r="D1186" s="3486"/>
      <c r="E1186" s="3486"/>
      <c r="F1186" s="3486"/>
      <c r="G1186" s="3486"/>
      <c r="H1186" s="3486"/>
      <c r="I1186" s="3486"/>
      <c r="J1186" s="3486"/>
      <c r="K1186" s="3486"/>
      <c r="L1186" s="3486"/>
      <c r="M1186" s="3486"/>
      <c r="N1186" s="3486"/>
      <c r="O1186" s="3486"/>
      <c r="P1186" s="3486"/>
      <c r="Q1186" s="3486"/>
      <c r="R1186" s="3486"/>
      <c r="S1186" s="3486"/>
      <c r="T1186" s="3486"/>
      <c r="U1186" s="3486"/>
      <c r="V1186" s="3486"/>
      <c r="W1186" s="3486"/>
      <c r="X1186" s="3486"/>
      <c r="Y1186" s="3943"/>
    </row>
    <row r="1187" spans="1:25" s="3492" customFormat="1">
      <c r="A1187" s="3485"/>
      <c r="B1187" s="3486"/>
      <c r="C1187" s="3486"/>
      <c r="D1187" s="3486"/>
      <c r="E1187" s="3486"/>
      <c r="F1187" s="3486"/>
      <c r="G1187" s="3486"/>
      <c r="H1187" s="3486"/>
      <c r="I1187" s="3486"/>
      <c r="J1187" s="3486"/>
      <c r="K1187" s="3486"/>
      <c r="L1187" s="3486"/>
      <c r="M1187" s="3486"/>
      <c r="N1187" s="3486"/>
      <c r="O1187" s="3486"/>
      <c r="P1187" s="3486"/>
      <c r="Q1187" s="3486"/>
      <c r="R1187" s="3486"/>
      <c r="S1187" s="3486"/>
      <c r="T1187" s="3486"/>
      <c r="U1187" s="3486"/>
      <c r="V1187" s="3486"/>
      <c r="W1187" s="3486"/>
      <c r="X1187" s="3486"/>
      <c r="Y1187" s="3943"/>
    </row>
    <row r="1188" spans="1:25" s="3492" customFormat="1">
      <c r="A1188" s="3485"/>
      <c r="B1188" s="3486"/>
      <c r="C1188" s="3486"/>
      <c r="D1188" s="3486"/>
      <c r="E1188" s="3486"/>
      <c r="F1188" s="3486"/>
      <c r="G1188" s="3486"/>
      <c r="H1188" s="3486"/>
      <c r="I1188" s="3486"/>
      <c r="J1188" s="3486"/>
      <c r="K1188" s="3486"/>
      <c r="L1188" s="3486"/>
      <c r="M1188" s="3486"/>
      <c r="N1188" s="3486"/>
      <c r="O1188" s="3486"/>
      <c r="P1188" s="3486"/>
      <c r="Q1188" s="3486"/>
      <c r="R1188" s="3486"/>
      <c r="S1188" s="3486"/>
      <c r="T1188" s="3486"/>
      <c r="U1188" s="3486"/>
      <c r="V1188" s="3486"/>
      <c r="W1188" s="3486"/>
      <c r="X1188" s="3486"/>
      <c r="Y1188" s="3943"/>
    </row>
    <row r="1189" spans="1:25" s="3492" customFormat="1">
      <c r="A1189" s="3485"/>
      <c r="B1189" s="3486"/>
      <c r="C1189" s="3486"/>
      <c r="D1189" s="3486"/>
      <c r="E1189" s="3486"/>
      <c r="F1189" s="3486"/>
      <c r="G1189" s="3486"/>
      <c r="H1189" s="3486"/>
      <c r="I1189" s="3486"/>
      <c r="J1189" s="3486"/>
      <c r="K1189" s="3486"/>
      <c r="L1189" s="3486"/>
      <c r="M1189" s="3486"/>
      <c r="N1189" s="3486"/>
      <c r="O1189" s="3486"/>
      <c r="P1189" s="3486"/>
      <c r="Q1189" s="3486"/>
      <c r="R1189" s="3486"/>
      <c r="S1189" s="3486"/>
      <c r="T1189" s="3486"/>
      <c r="U1189" s="3486"/>
      <c r="V1189" s="3486"/>
      <c r="W1189" s="3486"/>
      <c r="X1189" s="3486"/>
      <c r="Y1189" s="3943"/>
    </row>
    <row r="1190" spans="1:25" s="3492" customFormat="1">
      <c r="A1190" s="3485"/>
      <c r="B1190" s="3486"/>
      <c r="C1190" s="3486"/>
      <c r="D1190" s="3486"/>
      <c r="E1190" s="3486"/>
      <c r="F1190" s="3486"/>
      <c r="G1190" s="3486"/>
      <c r="H1190" s="3486"/>
      <c r="I1190" s="3486"/>
      <c r="J1190" s="3486"/>
      <c r="K1190" s="3486"/>
      <c r="L1190" s="3486"/>
      <c r="M1190" s="3486"/>
      <c r="N1190" s="3486"/>
      <c r="O1190" s="3486"/>
      <c r="P1190" s="3486"/>
      <c r="Q1190" s="3486"/>
      <c r="R1190" s="3486"/>
      <c r="S1190" s="3486"/>
      <c r="T1190" s="3486"/>
      <c r="U1190" s="3486"/>
      <c r="V1190" s="3486"/>
      <c r="W1190" s="3486"/>
      <c r="X1190" s="3486"/>
      <c r="Y1190" s="3943"/>
    </row>
    <row r="1191" spans="1:25" s="3492" customFormat="1">
      <c r="A1191" s="3485"/>
      <c r="B1191" s="3486"/>
      <c r="C1191" s="3486"/>
      <c r="D1191" s="3486"/>
      <c r="E1191" s="3486"/>
      <c r="F1191" s="3486"/>
      <c r="G1191" s="3486"/>
      <c r="H1191" s="3486"/>
      <c r="I1191" s="3486"/>
      <c r="J1191" s="3486"/>
      <c r="K1191" s="3486"/>
      <c r="L1191" s="3486"/>
      <c r="M1191" s="3486"/>
      <c r="N1191" s="3486"/>
      <c r="O1191" s="3486"/>
      <c r="P1191" s="3486"/>
      <c r="Q1191" s="3486"/>
      <c r="R1191" s="3486"/>
      <c r="S1191" s="3486"/>
      <c r="T1191" s="3486"/>
      <c r="U1191" s="3486"/>
      <c r="V1191" s="3486"/>
      <c r="W1191" s="3486"/>
      <c r="X1191" s="3486"/>
      <c r="Y1191" s="3943"/>
    </row>
    <row r="1192" spans="1:25" s="3492" customFormat="1">
      <c r="A1192" s="3485"/>
      <c r="B1192" s="3486"/>
      <c r="C1192" s="3486"/>
      <c r="D1192" s="3486"/>
      <c r="E1192" s="3486"/>
      <c r="F1192" s="3486"/>
      <c r="G1192" s="3486"/>
      <c r="H1192" s="3486"/>
      <c r="I1192" s="3486"/>
      <c r="J1192" s="3486"/>
      <c r="K1192" s="3486"/>
      <c r="L1192" s="3486"/>
      <c r="M1192" s="3486"/>
      <c r="N1192" s="3486"/>
      <c r="O1192" s="3486"/>
      <c r="P1192" s="3486"/>
      <c r="Q1192" s="3486"/>
      <c r="R1192" s="3486"/>
      <c r="S1192" s="3486"/>
      <c r="T1192" s="3486"/>
      <c r="U1192" s="3486"/>
      <c r="V1192" s="3486"/>
      <c r="W1192" s="3486"/>
      <c r="X1192" s="3486"/>
      <c r="Y1192" s="3943"/>
    </row>
    <row r="1193" spans="1:25" s="3492" customFormat="1">
      <c r="A1193" s="3485"/>
      <c r="B1193" s="3486"/>
      <c r="C1193" s="3486"/>
      <c r="D1193" s="3486"/>
      <c r="E1193" s="3486"/>
      <c r="F1193" s="3486"/>
      <c r="G1193" s="3486"/>
      <c r="H1193" s="3486"/>
      <c r="I1193" s="3486"/>
      <c r="J1193" s="3486"/>
      <c r="K1193" s="3486"/>
      <c r="L1193" s="3486"/>
      <c r="M1193" s="3486"/>
      <c r="N1193" s="3486"/>
      <c r="O1193" s="3486"/>
      <c r="P1193" s="3486"/>
      <c r="Q1193" s="3486"/>
      <c r="R1193" s="3486"/>
      <c r="S1193" s="3486"/>
      <c r="T1193" s="3486"/>
      <c r="U1193" s="3486"/>
      <c r="V1193" s="3486"/>
      <c r="W1193" s="3486"/>
      <c r="X1193" s="3486"/>
      <c r="Y1193" s="3943"/>
    </row>
    <row r="1194" spans="1:25" s="3492" customFormat="1">
      <c r="A1194" s="3485"/>
      <c r="B1194" s="3486"/>
      <c r="C1194" s="3486"/>
      <c r="D1194" s="3486"/>
      <c r="E1194" s="3486"/>
      <c r="F1194" s="3486"/>
      <c r="G1194" s="3486"/>
      <c r="H1194" s="3486"/>
      <c r="I1194" s="3486"/>
      <c r="J1194" s="3486"/>
      <c r="K1194" s="3486"/>
      <c r="L1194" s="3486"/>
      <c r="M1194" s="3486"/>
      <c r="N1194" s="3486"/>
      <c r="O1194" s="3486"/>
      <c r="P1194" s="3486"/>
      <c r="Q1194" s="3486"/>
      <c r="R1194" s="3486"/>
      <c r="S1194" s="3486"/>
      <c r="T1194" s="3486"/>
      <c r="U1194" s="3486"/>
      <c r="V1194" s="3486"/>
      <c r="W1194" s="3486"/>
      <c r="X1194" s="3486"/>
      <c r="Y1194" s="3943"/>
    </row>
    <row r="1195" spans="1:25" s="3492" customFormat="1">
      <c r="A1195" s="3485"/>
      <c r="B1195" s="3486"/>
      <c r="C1195" s="3486"/>
      <c r="D1195" s="3486"/>
      <c r="E1195" s="3486"/>
      <c r="F1195" s="3486"/>
      <c r="G1195" s="3486"/>
      <c r="H1195" s="3486"/>
      <c r="I1195" s="3486"/>
      <c r="J1195" s="3486"/>
      <c r="K1195" s="3486"/>
      <c r="L1195" s="3486"/>
      <c r="M1195" s="3486"/>
      <c r="N1195" s="3486"/>
      <c r="O1195" s="3486"/>
      <c r="P1195" s="3486"/>
      <c r="Q1195" s="3486"/>
      <c r="R1195" s="3486"/>
      <c r="S1195" s="3486"/>
      <c r="T1195" s="3486"/>
      <c r="U1195" s="3486"/>
      <c r="V1195" s="3486"/>
      <c r="W1195" s="3486"/>
      <c r="X1195" s="3486"/>
      <c r="Y1195" s="3943"/>
    </row>
    <row r="1196" spans="1:25" s="3492" customFormat="1">
      <c r="A1196" s="3485"/>
      <c r="B1196" s="3486"/>
      <c r="C1196" s="3486"/>
      <c r="D1196" s="3486"/>
      <c r="E1196" s="3486"/>
      <c r="F1196" s="3486"/>
      <c r="G1196" s="3486"/>
      <c r="H1196" s="3486"/>
      <c r="I1196" s="3486"/>
      <c r="J1196" s="3486"/>
      <c r="K1196" s="3486"/>
      <c r="L1196" s="3486"/>
      <c r="M1196" s="3486"/>
      <c r="N1196" s="3486"/>
      <c r="O1196" s="3486"/>
      <c r="P1196" s="3486"/>
      <c r="Q1196" s="3486"/>
      <c r="R1196" s="3486"/>
      <c r="S1196" s="3486"/>
      <c r="T1196" s="3486"/>
      <c r="U1196" s="3486"/>
      <c r="V1196" s="3486"/>
      <c r="W1196" s="3486"/>
      <c r="X1196" s="3486"/>
      <c r="Y1196" s="3943"/>
    </row>
    <row r="1197" spans="1:25" s="3492" customFormat="1">
      <c r="A1197" s="3485"/>
      <c r="B1197" s="3486"/>
      <c r="C1197" s="3486"/>
      <c r="D1197" s="3486"/>
      <c r="E1197" s="3486"/>
      <c r="F1197" s="3486"/>
      <c r="G1197" s="3486"/>
      <c r="H1197" s="3486"/>
      <c r="I1197" s="3486"/>
      <c r="J1197" s="3486"/>
      <c r="K1197" s="3486"/>
      <c r="L1197" s="3486"/>
      <c r="M1197" s="3486"/>
      <c r="N1197" s="3486"/>
      <c r="O1197" s="3486"/>
      <c r="P1197" s="3486"/>
      <c r="Q1197" s="3486"/>
      <c r="R1197" s="3486"/>
      <c r="S1197" s="3486"/>
      <c r="T1197" s="3486"/>
      <c r="U1197" s="3486"/>
      <c r="V1197" s="3486"/>
      <c r="W1197" s="3486"/>
      <c r="X1197" s="3486"/>
      <c r="Y1197" s="3943"/>
    </row>
    <row r="1198" spans="1:25" s="3492" customFormat="1">
      <c r="A1198" s="3485"/>
      <c r="B1198" s="3486"/>
      <c r="C1198" s="3486"/>
      <c r="D1198" s="3486"/>
      <c r="E1198" s="3486"/>
      <c r="F1198" s="3486"/>
      <c r="G1198" s="3486"/>
      <c r="H1198" s="3486"/>
      <c r="I1198" s="3486"/>
      <c r="J1198" s="3486"/>
      <c r="K1198" s="3486"/>
      <c r="L1198" s="3486"/>
      <c r="M1198" s="3486"/>
      <c r="N1198" s="3486"/>
      <c r="O1198" s="3486"/>
      <c r="P1198" s="3486"/>
      <c r="Q1198" s="3486"/>
      <c r="R1198" s="3486"/>
      <c r="S1198" s="3486"/>
      <c r="T1198" s="3486"/>
      <c r="U1198" s="3486"/>
      <c r="V1198" s="3486"/>
      <c r="W1198" s="3486"/>
      <c r="X1198" s="3486"/>
      <c r="Y1198" s="3943"/>
    </row>
    <row r="1199" spans="1:25" s="3492" customFormat="1">
      <c r="A1199" s="3485"/>
      <c r="B1199" s="3486"/>
      <c r="C1199" s="3486"/>
      <c r="D1199" s="3486"/>
      <c r="E1199" s="3486"/>
      <c r="F1199" s="3486"/>
      <c r="G1199" s="3486"/>
      <c r="H1199" s="3486"/>
      <c r="I1199" s="3486"/>
      <c r="J1199" s="3486"/>
      <c r="K1199" s="3486"/>
      <c r="L1199" s="3486"/>
      <c r="M1199" s="3486"/>
      <c r="N1199" s="3486"/>
      <c r="O1199" s="3486"/>
      <c r="P1199" s="3486"/>
      <c r="Q1199" s="3486"/>
      <c r="R1199" s="3486"/>
      <c r="S1199" s="3486"/>
      <c r="T1199" s="3486"/>
      <c r="U1199" s="3486"/>
      <c r="V1199" s="3486"/>
      <c r="W1199" s="3486"/>
      <c r="X1199" s="3486"/>
      <c r="Y1199" s="3943"/>
    </row>
    <row r="1200" spans="1:25" s="3492" customFormat="1">
      <c r="A1200" s="3485"/>
      <c r="B1200" s="3486"/>
      <c r="C1200" s="3486"/>
      <c r="D1200" s="3486"/>
      <c r="E1200" s="3486"/>
      <c r="F1200" s="3486"/>
      <c r="G1200" s="3486"/>
      <c r="H1200" s="3486"/>
      <c r="I1200" s="3486"/>
      <c r="J1200" s="3486"/>
      <c r="K1200" s="3486"/>
      <c r="L1200" s="3486"/>
      <c r="M1200" s="3486"/>
      <c r="N1200" s="3486"/>
      <c r="O1200" s="3486"/>
      <c r="P1200" s="3486"/>
      <c r="Q1200" s="3486"/>
      <c r="R1200" s="3486"/>
      <c r="S1200" s="3486"/>
      <c r="T1200" s="3486"/>
      <c r="U1200" s="3486"/>
      <c r="V1200" s="3486"/>
      <c r="W1200" s="3486"/>
      <c r="X1200" s="3486"/>
      <c r="Y1200" s="3943"/>
    </row>
    <row r="1201" spans="1:25" s="3492" customFormat="1">
      <c r="A1201" s="3485"/>
      <c r="B1201" s="3486"/>
      <c r="C1201" s="3486"/>
      <c r="D1201" s="3486"/>
      <c r="E1201" s="3486"/>
      <c r="F1201" s="3486"/>
      <c r="G1201" s="3486"/>
      <c r="H1201" s="3486"/>
      <c r="I1201" s="3486"/>
      <c r="J1201" s="3486"/>
      <c r="K1201" s="3486"/>
      <c r="L1201" s="3486"/>
      <c r="M1201" s="3486"/>
      <c r="N1201" s="3486"/>
      <c r="O1201" s="3486"/>
      <c r="P1201" s="3486"/>
      <c r="Q1201" s="3486"/>
      <c r="R1201" s="3486"/>
      <c r="S1201" s="3486"/>
      <c r="T1201" s="3486"/>
      <c r="U1201" s="3486"/>
      <c r="V1201" s="3486"/>
      <c r="W1201" s="3486"/>
      <c r="X1201" s="3486"/>
      <c r="Y1201" s="3943"/>
    </row>
    <row r="1202" spans="1:25" s="3492" customFormat="1">
      <c r="A1202" s="3485"/>
      <c r="B1202" s="3486"/>
      <c r="C1202" s="3486"/>
      <c r="D1202" s="3486"/>
      <c r="E1202" s="3486"/>
      <c r="F1202" s="3486"/>
      <c r="G1202" s="3486"/>
      <c r="H1202" s="3486"/>
      <c r="I1202" s="3486"/>
      <c r="J1202" s="3486"/>
      <c r="K1202" s="3486"/>
      <c r="L1202" s="3486"/>
      <c r="M1202" s="3486"/>
      <c r="N1202" s="3486"/>
      <c r="O1202" s="3486"/>
      <c r="P1202" s="3486"/>
      <c r="Q1202" s="3486"/>
      <c r="R1202" s="3486"/>
      <c r="S1202" s="3486"/>
      <c r="T1202" s="3486"/>
      <c r="U1202" s="3486"/>
      <c r="V1202" s="3486"/>
      <c r="W1202" s="3486"/>
      <c r="X1202" s="3486"/>
      <c r="Y1202" s="3943"/>
    </row>
    <row r="1203" spans="1:25" s="3492" customFormat="1">
      <c r="A1203" s="3485"/>
      <c r="B1203" s="3486"/>
      <c r="C1203" s="3486"/>
      <c r="D1203" s="3486"/>
      <c r="E1203" s="3486"/>
      <c r="F1203" s="3486"/>
      <c r="G1203" s="3486"/>
      <c r="H1203" s="3486"/>
      <c r="I1203" s="3486"/>
      <c r="J1203" s="3486"/>
      <c r="K1203" s="3486"/>
      <c r="L1203" s="3486"/>
      <c r="M1203" s="3486"/>
      <c r="N1203" s="3486"/>
      <c r="O1203" s="3486"/>
      <c r="P1203" s="3486"/>
      <c r="Q1203" s="3486"/>
      <c r="R1203" s="3486"/>
      <c r="S1203" s="3486"/>
      <c r="T1203" s="3486"/>
      <c r="U1203" s="3486"/>
      <c r="V1203" s="3486"/>
      <c r="W1203" s="3486"/>
      <c r="X1203" s="3486"/>
      <c r="Y1203" s="3943"/>
    </row>
    <row r="1204" spans="1:25" s="3492" customFormat="1">
      <c r="A1204" s="3485"/>
      <c r="B1204" s="3486"/>
      <c r="C1204" s="3486"/>
      <c r="D1204" s="3486"/>
      <c r="E1204" s="3486"/>
      <c r="F1204" s="3486"/>
      <c r="G1204" s="3486"/>
      <c r="H1204" s="3486"/>
      <c r="I1204" s="3486"/>
      <c r="J1204" s="3486"/>
      <c r="K1204" s="3486"/>
      <c r="L1204" s="3486"/>
      <c r="M1204" s="3486"/>
      <c r="N1204" s="3486"/>
      <c r="O1204" s="3486"/>
      <c r="P1204" s="3486"/>
      <c r="Q1204" s="3486"/>
      <c r="R1204" s="3486"/>
      <c r="S1204" s="3486"/>
      <c r="T1204" s="3486"/>
      <c r="U1204" s="3486"/>
      <c r="V1204" s="3486"/>
      <c r="W1204" s="3486"/>
      <c r="X1204" s="3486"/>
      <c r="Y1204" s="3943"/>
    </row>
    <row r="1205" spans="1:25" s="3492" customFormat="1">
      <c r="A1205" s="3485"/>
      <c r="B1205" s="3486"/>
      <c r="C1205" s="3486"/>
      <c r="D1205" s="3486"/>
      <c r="E1205" s="3486"/>
      <c r="F1205" s="3486"/>
      <c r="G1205" s="3486"/>
      <c r="H1205" s="3486"/>
      <c r="I1205" s="3486"/>
      <c r="J1205" s="3486"/>
      <c r="K1205" s="3486"/>
      <c r="L1205" s="3486"/>
      <c r="M1205" s="3486"/>
      <c r="N1205" s="3486"/>
      <c r="O1205" s="3486"/>
      <c r="P1205" s="3486"/>
      <c r="Q1205" s="3486"/>
      <c r="R1205" s="3486"/>
      <c r="S1205" s="3486"/>
      <c r="T1205" s="3486"/>
      <c r="U1205" s="3486"/>
      <c r="V1205" s="3486"/>
      <c r="W1205" s="3486"/>
      <c r="X1205" s="3486"/>
      <c r="Y1205" s="3943"/>
    </row>
    <row r="1206" spans="1:25" s="3492" customFormat="1">
      <c r="A1206" s="3485"/>
      <c r="B1206" s="3486"/>
      <c r="C1206" s="3486"/>
      <c r="D1206" s="3486"/>
      <c r="E1206" s="3486"/>
      <c r="F1206" s="3486"/>
      <c r="G1206" s="3486"/>
      <c r="H1206" s="3486"/>
      <c r="I1206" s="3486"/>
      <c r="J1206" s="3486"/>
      <c r="K1206" s="3486"/>
      <c r="L1206" s="3486"/>
      <c r="M1206" s="3486"/>
      <c r="N1206" s="3486"/>
      <c r="O1206" s="3486"/>
      <c r="P1206" s="3486"/>
      <c r="Q1206" s="3486"/>
      <c r="R1206" s="3486"/>
      <c r="S1206" s="3486"/>
      <c r="T1206" s="3486"/>
      <c r="U1206" s="3486"/>
      <c r="V1206" s="3486"/>
      <c r="W1206" s="3486"/>
      <c r="X1206" s="3486"/>
      <c r="Y1206" s="3943"/>
    </row>
    <row r="1207" spans="1:25" s="3492" customFormat="1">
      <c r="A1207" s="3485"/>
      <c r="B1207" s="3486"/>
      <c r="C1207" s="3486"/>
      <c r="D1207" s="3486"/>
      <c r="E1207" s="3486"/>
      <c r="F1207" s="3486"/>
      <c r="G1207" s="3486"/>
      <c r="H1207" s="3486"/>
      <c r="I1207" s="3486"/>
      <c r="J1207" s="3486"/>
      <c r="K1207" s="3486"/>
      <c r="L1207" s="3486"/>
      <c r="M1207" s="3486"/>
      <c r="N1207" s="3486"/>
      <c r="O1207" s="3486"/>
      <c r="P1207" s="3486"/>
      <c r="Q1207" s="3486"/>
      <c r="R1207" s="3486"/>
      <c r="S1207" s="3486"/>
      <c r="T1207" s="3486"/>
      <c r="U1207" s="3486"/>
      <c r="V1207" s="3486"/>
      <c r="W1207" s="3486"/>
      <c r="X1207" s="3486"/>
      <c r="Y1207" s="3943"/>
    </row>
    <row r="1208" spans="1:25" s="3492" customFormat="1">
      <c r="A1208" s="3485"/>
      <c r="B1208" s="3486"/>
      <c r="C1208" s="3486"/>
      <c r="D1208" s="3486"/>
      <c r="E1208" s="3486"/>
      <c r="F1208" s="3486"/>
      <c r="G1208" s="3486"/>
      <c r="H1208" s="3486"/>
      <c r="I1208" s="3486"/>
      <c r="J1208" s="3486"/>
      <c r="K1208" s="3486"/>
      <c r="L1208" s="3486"/>
      <c r="M1208" s="3486"/>
      <c r="N1208" s="3486"/>
      <c r="O1208" s="3486"/>
      <c r="P1208" s="3486"/>
      <c r="Q1208" s="3486"/>
      <c r="R1208" s="3486"/>
      <c r="S1208" s="3486"/>
      <c r="T1208" s="3486"/>
      <c r="U1208" s="3486"/>
      <c r="V1208" s="3486"/>
      <c r="W1208" s="3486"/>
      <c r="X1208" s="3486"/>
      <c r="Y1208" s="3943"/>
    </row>
    <row r="1209" spans="1:25" s="3492" customFormat="1">
      <c r="A1209" s="3485"/>
      <c r="B1209" s="3486"/>
      <c r="C1209" s="3486"/>
      <c r="D1209" s="3486"/>
      <c r="E1209" s="3486"/>
      <c r="F1209" s="3486"/>
      <c r="G1209" s="3486"/>
      <c r="H1209" s="3486"/>
      <c r="I1209" s="3486"/>
      <c r="J1209" s="3486"/>
      <c r="K1209" s="3486"/>
      <c r="L1209" s="3486"/>
      <c r="M1209" s="3486"/>
      <c r="N1209" s="3486"/>
      <c r="O1209" s="3486"/>
      <c r="P1209" s="3486"/>
      <c r="Q1209" s="3486"/>
      <c r="R1209" s="3486"/>
      <c r="S1209" s="3486"/>
      <c r="T1209" s="3486"/>
      <c r="U1209" s="3486"/>
      <c r="V1209" s="3486"/>
      <c r="W1209" s="3486"/>
      <c r="X1209" s="3486"/>
      <c r="Y1209" s="3943"/>
    </row>
    <row r="1210" spans="1:25" s="3492" customFormat="1">
      <c r="A1210" s="3485"/>
      <c r="B1210" s="3486"/>
      <c r="C1210" s="3486"/>
      <c r="D1210" s="3486"/>
      <c r="E1210" s="3486"/>
      <c r="F1210" s="3486"/>
      <c r="G1210" s="3486"/>
      <c r="H1210" s="3486"/>
      <c r="I1210" s="3486"/>
      <c r="J1210" s="3486"/>
      <c r="K1210" s="3486"/>
      <c r="L1210" s="3486"/>
      <c r="M1210" s="3486"/>
      <c r="N1210" s="3486"/>
      <c r="O1210" s="3486"/>
      <c r="P1210" s="3486"/>
      <c r="Q1210" s="3486"/>
      <c r="R1210" s="3486"/>
      <c r="S1210" s="3486"/>
      <c r="T1210" s="3486"/>
      <c r="U1210" s="3486"/>
      <c r="V1210" s="3486"/>
      <c r="W1210" s="3486"/>
      <c r="X1210" s="3486"/>
      <c r="Y1210" s="3943"/>
    </row>
    <row r="1211" spans="1:25" s="3492" customFormat="1">
      <c r="A1211" s="3485"/>
      <c r="B1211" s="3486"/>
      <c r="C1211" s="3486"/>
      <c r="D1211" s="3486"/>
      <c r="E1211" s="3486"/>
      <c r="F1211" s="3486"/>
      <c r="G1211" s="3486"/>
      <c r="H1211" s="3486"/>
      <c r="I1211" s="3486"/>
      <c r="J1211" s="3486"/>
      <c r="K1211" s="3486"/>
      <c r="L1211" s="3486"/>
      <c r="M1211" s="3486"/>
      <c r="N1211" s="3486"/>
      <c r="O1211" s="3486"/>
      <c r="P1211" s="3486"/>
      <c r="Q1211" s="3486"/>
      <c r="R1211" s="3486"/>
      <c r="S1211" s="3486"/>
      <c r="T1211" s="3486"/>
      <c r="U1211" s="3486"/>
      <c r="V1211" s="3486"/>
      <c r="W1211" s="3486"/>
      <c r="X1211" s="3486"/>
      <c r="Y1211" s="3943"/>
    </row>
    <row r="1212" spans="1:25" s="3492" customFormat="1">
      <c r="A1212" s="3485"/>
      <c r="B1212" s="3486"/>
      <c r="C1212" s="3486"/>
      <c r="D1212" s="3486"/>
      <c r="E1212" s="3486"/>
      <c r="F1212" s="3486"/>
      <c r="G1212" s="3486"/>
      <c r="H1212" s="3486"/>
      <c r="I1212" s="3486"/>
      <c r="J1212" s="3486"/>
      <c r="K1212" s="3486"/>
      <c r="L1212" s="3486"/>
      <c r="M1212" s="3486"/>
      <c r="N1212" s="3486"/>
      <c r="O1212" s="3486"/>
      <c r="P1212" s="3486"/>
      <c r="Q1212" s="3486"/>
      <c r="R1212" s="3486"/>
      <c r="S1212" s="3486"/>
      <c r="T1212" s="3486"/>
      <c r="U1212" s="3486"/>
      <c r="V1212" s="3486"/>
      <c r="W1212" s="3486"/>
      <c r="X1212" s="3486"/>
      <c r="Y1212" s="3943"/>
    </row>
    <row r="1213" spans="1:25" s="3492" customFormat="1">
      <c r="A1213" s="3485"/>
      <c r="B1213" s="3486"/>
      <c r="C1213" s="3486"/>
      <c r="D1213" s="3486"/>
      <c r="E1213" s="3486"/>
      <c r="F1213" s="3486"/>
      <c r="G1213" s="3486"/>
      <c r="H1213" s="3486"/>
      <c r="I1213" s="3486"/>
      <c r="J1213" s="3486"/>
      <c r="K1213" s="3486"/>
      <c r="L1213" s="3486"/>
      <c r="M1213" s="3486"/>
      <c r="N1213" s="3486"/>
      <c r="O1213" s="3486"/>
      <c r="P1213" s="3486"/>
      <c r="Q1213" s="3486"/>
      <c r="R1213" s="3486"/>
      <c r="S1213" s="3486"/>
      <c r="T1213" s="3486"/>
      <c r="U1213" s="3486"/>
      <c r="V1213" s="3486"/>
      <c r="W1213" s="3486"/>
      <c r="X1213" s="3486"/>
      <c r="Y1213" s="3943"/>
    </row>
    <row r="1214" spans="1:25" s="3492" customFormat="1">
      <c r="A1214" s="3485"/>
      <c r="B1214" s="3486"/>
      <c r="C1214" s="3486"/>
      <c r="D1214" s="3486"/>
      <c r="E1214" s="3486"/>
      <c r="F1214" s="3486"/>
      <c r="G1214" s="3486"/>
      <c r="H1214" s="3486"/>
      <c r="I1214" s="3486"/>
      <c r="J1214" s="3486"/>
      <c r="K1214" s="3486"/>
      <c r="L1214" s="3486"/>
      <c r="M1214" s="3486"/>
      <c r="N1214" s="3486"/>
      <c r="O1214" s="3486"/>
      <c r="P1214" s="3486"/>
      <c r="Q1214" s="3486"/>
      <c r="R1214" s="3486"/>
      <c r="S1214" s="3486"/>
      <c r="T1214" s="3486"/>
      <c r="U1214" s="3486"/>
      <c r="V1214" s="3486"/>
      <c r="W1214" s="3486"/>
      <c r="X1214" s="3486"/>
      <c r="Y1214" s="3943"/>
    </row>
    <row r="1215" spans="1:25" s="3492" customFormat="1">
      <c r="A1215" s="3485"/>
      <c r="B1215" s="3486"/>
      <c r="C1215" s="3486"/>
      <c r="D1215" s="3486"/>
      <c r="E1215" s="3486"/>
      <c r="F1215" s="3486"/>
      <c r="G1215" s="3486"/>
      <c r="H1215" s="3486"/>
      <c r="I1215" s="3486"/>
      <c r="J1215" s="3486"/>
      <c r="K1215" s="3486"/>
      <c r="L1215" s="3486"/>
      <c r="M1215" s="3486"/>
      <c r="N1215" s="3486"/>
      <c r="O1215" s="3486"/>
      <c r="P1215" s="3486"/>
      <c r="Q1215" s="3486"/>
      <c r="R1215" s="3486"/>
      <c r="S1215" s="3486"/>
      <c r="T1215" s="3486"/>
      <c r="U1215" s="3486"/>
      <c r="V1215" s="3486"/>
      <c r="W1215" s="3486"/>
      <c r="X1215" s="3486"/>
      <c r="Y1215" s="3943"/>
    </row>
    <row r="1216" spans="1:25" s="3492" customFormat="1">
      <c r="A1216" s="3485"/>
      <c r="B1216" s="3486"/>
      <c r="C1216" s="3486"/>
      <c r="D1216" s="3486"/>
      <c r="E1216" s="3486"/>
      <c r="F1216" s="3486"/>
      <c r="G1216" s="3486"/>
      <c r="H1216" s="3486"/>
      <c r="I1216" s="3486"/>
      <c r="J1216" s="3486"/>
      <c r="K1216" s="3486"/>
      <c r="L1216" s="3486"/>
      <c r="M1216" s="3486"/>
      <c r="N1216" s="3486"/>
      <c r="O1216" s="3486"/>
      <c r="P1216" s="3486"/>
      <c r="Q1216" s="3486"/>
      <c r="R1216" s="3486"/>
      <c r="S1216" s="3486"/>
      <c r="T1216" s="3486"/>
      <c r="U1216" s="3486"/>
      <c r="V1216" s="3486"/>
      <c r="W1216" s="3486"/>
      <c r="X1216" s="3486"/>
      <c r="Y1216" s="3943"/>
    </row>
    <row r="1217" spans="1:25" s="3492" customFormat="1">
      <c r="A1217" s="3485"/>
      <c r="B1217" s="3486"/>
      <c r="C1217" s="3486"/>
      <c r="D1217" s="3486"/>
      <c r="E1217" s="3486"/>
      <c r="F1217" s="3486"/>
      <c r="G1217" s="3486"/>
      <c r="H1217" s="3486"/>
      <c r="I1217" s="3486"/>
      <c r="J1217" s="3486"/>
      <c r="K1217" s="3486"/>
      <c r="L1217" s="3486"/>
      <c r="M1217" s="3486"/>
      <c r="N1217" s="3486"/>
      <c r="O1217" s="3486"/>
      <c r="P1217" s="3486"/>
      <c r="Q1217" s="3486"/>
      <c r="R1217" s="3486"/>
      <c r="S1217" s="3486"/>
      <c r="T1217" s="3486"/>
      <c r="U1217" s="3486"/>
      <c r="V1217" s="3486"/>
      <c r="W1217" s="3486"/>
      <c r="X1217" s="3486"/>
      <c r="Y1217" s="3943"/>
    </row>
    <row r="1218" spans="1:25" s="3492" customFormat="1">
      <c r="A1218" s="3485"/>
      <c r="B1218" s="3486"/>
      <c r="C1218" s="3486"/>
      <c r="D1218" s="3486"/>
      <c r="E1218" s="3486"/>
      <c r="F1218" s="3486"/>
      <c r="G1218" s="3486"/>
      <c r="H1218" s="3486"/>
      <c r="I1218" s="3486"/>
      <c r="J1218" s="3486"/>
      <c r="K1218" s="3486"/>
      <c r="L1218" s="3486"/>
      <c r="M1218" s="3486"/>
      <c r="N1218" s="3486"/>
      <c r="O1218" s="3486"/>
      <c r="P1218" s="3486"/>
      <c r="Q1218" s="3486"/>
      <c r="R1218" s="3486"/>
      <c r="S1218" s="3486"/>
      <c r="T1218" s="3486"/>
      <c r="U1218" s="3486"/>
      <c r="V1218" s="3486"/>
      <c r="W1218" s="3486"/>
      <c r="X1218" s="3486"/>
      <c r="Y1218" s="3943"/>
    </row>
    <row r="1219" spans="1:25" s="3492" customFormat="1">
      <c r="A1219" s="3485"/>
      <c r="B1219" s="3486"/>
      <c r="C1219" s="3486"/>
      <c r="D1219" s="3486"/>
      <c r="E1219" s="3486"/>
      <c r="F1219" s="3486"/>
      <c r="G1219" s="3486"/>
      <c r="H1219" s="3486"/>
      <c r="I1219" s="3486"/>
      <c r="J1219" s="3486"/>
      <c r="K1219" s="3486"/>
      <c r="L1219" s="3486"/>
      <c r="M1219" s="3486"/>
      <c r="N1219" s="3486"/>
      <c r="O1219" s="3486"/>
      <c r="P1219" s="3486"/>
      <c r="Q1219" s="3486"/>
      <c r="R1219" s="3486"/>
      <c r="S1219" s="3486"/>
      <c r="T1219" s="3486"/>
      <c r="U1219" s="3486"/>
      <c r="V1219" s="3486"/>
      <c r="W1219" s="3486"/>
      <c r="X1219" s="3486"/>
      <c r="Y1219" s="3943"/>
    </row>
    <row r="1220" spans="1:25" s="3492" customFormat="1">
      <c r="A1220" s="3485"/>
      <c r="B1220" s="3486"/>
      <c r="C1220" s="3486"/>
      <c r="D1220" s="3486"/>
      <c r="E1220" s="3486"/>
      <c r="F1220" s="3486"/>
      <c r="G1220" s="3486"/>
      <c r="H1220" s="3486"/>
      <c r="I1220" s="3486"/>
      <c r="J1220" s="3486"/>
      <c r="K1220" s="3486"/>
      <c r="L1220" s="3486"/>
      <c r="M1220" s="3486"/>
      <c r="N1220" s="3486"/>
      <c r="O1220" s="3486"/>
      <c r="P1220" s="3486"/>
      <c r="Q1220" s="3486"/>
      <c r="R1220" s="3486"/>
      <c r="S1220" s="3486"/>
      <c r="T1220" s="3486"/>
      <c r="U1220" s="3486"/>
      <c r="V1220" s="3486"/>
      <c r="W1220" s="3486"/>
      <c r="X1220" s="3486"/>
      <c r="Y1220" s="3943"/>
    </row>
    <row r="1221" spans="1:25" s="3492" customFormat="1">
      <c r="A1221" s="3485"/>
      <c r="B1221" s="3486"/>
      <c r="C1221" s="3486"/>
      <c r="D1221" s="3486"/>
      <c r="E1221" s="3486"/>
      <c r="F1221" s="3486"/>
      <c r="G1221" s="3486"/>
      <c r="H1221" s="3486"/>
      <c r="I1221" s="3486"/>
      <c r="J1221" s="3486"/>
      <c r="K1221" s="3486"/>
      <c r="L1221" s="3486"/>
      <c r="M1221" s="3486"/>
      <c r="N1221" s="3486"/>
      <c r="O1221" s="3486"/>
      <c r="P1221" s="3486"/>
      <c r="Q1221" s="3486"/>
      <c r="R1221" s="3486"/>
      <c r="S1221" s="3486"/>
      <c r="T1221" s="3486"/>
      <c r="U1221" s="3486"/>
      <c r="V1221" s="3486"/>
      <c r="W1221" s="3486"/>
      <c r="X1221" s="3486"/>
      <c r="Y1221" s="3943"/>
    </row>
    <row r="1222" spans="1:25" s="3492" customFormat="1">
      <c r="A1222" s="3485"/>
      <c r="B1222" s="3486"/>
      <c r="C1222" s="3486"/>
      <c r="D1222" s="3486"/>
      <c r="E1222" s="3486"/>
      <c r="F1222" s="3486"/>
      <c r="G1222" s="3486"/>
      <c r="H1222" s="3486"/>
      <c r="I1222" s="3486"/>
      <c r="J1222" s="3486"/>
      <c r="K1222" s="3486"/>
      <c r="L1222" s="3486"/>
      <c r="M1222" s="3486"/>
      <c r="N1222" s="3486"/>
      <c r="O1222" s="3486"/>
      <c r="P1222" s="3486"/>
      <c r="Q1222" s="3486"/>
      <c r="R1222" s="3486"/>
      <c r="S1222" s="3486"/>
      <c r="T1222" s="3486"/>
      <c r="U1222" s="3486"/>
      <c r="V1222" s="3486"/>
      <c r="W1222" s="3486"/>
      <c r="X1222" s="3486"/>
      <c r="Y1222" s="3943"/>
    </row>
    <row r="1223" spans="1:25" s="3492" customFormat="1">
      <c r="A1223" s="3485"/>
      <c r="B1223" s="3486"/>
      <c r="C1223" s="3486"/>
      <c r="D1223" s="3486"/>
      <c r="E1223" s="3486"/>
      <c r="F1223" s="3486"/>
      <c r="G1223" s="3486"/>
      <c r="H1223" s="3486"/>
      <c r="I1223" s="3486"/>
      <c r="J1223" s="3486"/>
      <c r="K1223" s="3486"/>
      <c r="L1223" s="3486"/>
      <c r="M1223" s="3486"/>
      <c r="N1223" s="3486"/>
      <c r="O1223" s="3486"/>
      <c r="P1223" s="3486"/>
      <c r="Q1223" s="3486"/>
      <c r="R1223" s="3486"/>
      <c r="S1223" s="3486"/>
      <c r="T1223" s="3486"/>
      <c r="U1223" s="3486"/>
      <c r="V1223" s="3486"/>
      <c r="W1223" s="3486"/>
      <c r="X1223" s="3486"/>
      <c r="Y1223" s="3943"/>
    </row>
    <row r="1224" spans="1:25" s="3492" customFormat="1">
      <c r="A1224" s="3485"/>
      <c r="B1224" s="3486"/>
      <c r="C1224" s="3486"/>
      <c r="D1224" s="3486"/>
      <c r="E1224" s="3486"/>
      <c r="F1224" s="3486"/>
      <c r="G1224" s="3486"/>
      <c r="H1224" s="3486"/>
      <c r="I1224" s="3486"/>
      <c r="J1224" s="3486"/>
      <c r="K1224" s="3486"/>
      <c r="L1224" s="3486"/>
      <c r="M1224" s="3486"/>
      <c r="N1224" s="3486"/>
      <c r="O1224" s="3486"/>
      <c r="P1224" s="3486"/>
      <c r="Q1224" s="3486"/>
      <c r="R1224" s="3486"/>
      <c r="S1224" s="3486"/>
      <c r="T1224" s="3486"/>
      <c r="U1224" s="3486"/>
      <c r="V1224" s="3486"/>
      <c r="W1224" s="3486"/>
      <c r="X1224" s="3486"/>
      <c r="Y1224" s="3943"/>
    </row>
    <row r="1225" spans="1:25" s="3492" customFormat="1">
      <c r="A1225" s="3485"/>
      <c r="B1225" s="3486"/>
      <c r="C1225" s="3486"/>
      <c r="D1225" s="3486"/>
      <c r="E1225" s="3486"/>
      <c r="F1225" s="3486"/>
      <c r="G1225" s="3486"/>
      <c r="H1225" s="3486"/>
      <c r="I1225" s="3486"/>
      <c r="J1225" s="3486"/>
      <c r="K1225" s="3486"/>
      <c r="L1225" s="3486"/>
      <c r="M1225" s="3486"/>
      <c r="N1225" s="3486"/>
      <c r="O1225" s="3486"/>
      <c r="P1225" s="3486"/>
      <c r="Q1225" s="3486"/>
      <c r="R1225" s="3486"/>
      <c r="S1225" s="3486"/>
      <c r="T1225" s="3486"/>
      <c r="U1225" s="3486"/>
      <c r="V1225" s="3486"/>
      <c r="W1225" s="3486"/>
      <c r="X1225" s="3486"/>
      <c r="Y1225" s="3943"/>
    </row>
    <row r="1226" spans="1:25" s="3492" customFormat="1">
      <c r="A1226" s="3485"/>
      <c r="B1226" s="3486"/>
      <c r="C1226" s="3486"/>
      <c r="D1226" s="3486"/>
      <c r="E1226" s="3486"/>
      <c r="F1226" s="3486"/>
      <c r="G1226" s="3486"/>
      <c r="H1226" s="3486"/>
      <c r="I1226" s="3486"/>
      <c r="J1226" s="3486"/>
      <c r="K1226" s="3486"/>
      <c r="L1226" s="3486"/>
      <c r="M1226" s="3486"/>
      <c r="N1226" s="3486"/>
      <c r="O1226" s="3486"/>
      <c r="P1226" s="3486"/>
      <c r="Q1226" s="3486"/>
      <c r="R1226" s="3486"/>
      <c r="S1226" s="3486"/>
      <c r="T1226" s="3486"/>
      <c r="U1226" s="3486"/>
      <c r="V1226" s="3486"/>
      <c r="W1226" s="3486"/>
      <c r="X1226" s="3486"/>
      <c r="Y1226" s="3943"/>
    </row>
    <row r="1227" spans="1:25" s="3492" customFormat="1">
      <c r="A1227" s="3485"/>
      <c r="B1227" s="3486"/>
      <c r="C1227" s="3486"/>
      <c r="D1227" s="3486"/>
      <c r="E1227" s="3486"/>
      <c r="F1227" s="3486"/>
      <c r="G1227" s="3486"/>
      <c r="H1227" s="3486"/>
      <c r="I1227" s="3486"/>
      <c r="J1227" s="3486"/>
      <c r="K1227" s="3486"/>
      <c r="L1227" s="3486"/>
      <c r="M1227" s="3486"/>
      <c r="N1227" s="3486"/>
      <c r="O1227" s="3486"/>
      <c r="P1227" s="3486"/>
      <c r="Q1227" s="3486"/>
      <c r="R1227" s="3486"/>
      <c r="S1227" s="3486"/>
      <c r="T1227" s="3486"/>
      <c r="U1227" s="3486"/>
      <c r="V1227" s="3486"/>
      <c r="W1227" s="3486"/>
      <c r="X1227" s="3486"/>
      <c r="Y1227" s="3943"/>
    </row>
    <row r="1228" spans="1:25" s="3492" customFormat="1">
      <c r="A1228" s="3485"/>
      <c r="B1228" s="3486"/>
      <c r="C1228" s="3486"/>
      <c r="D1228" s="3486"/>
      <c r="E1228" s="3486"/>
      <c r="F1228" s="3486"/>
      <c r="G1228" s="3486"/>
      <c r="H1228" s="3486"/>
      <c r="I1228" s="3486"/>
      <c r="J1228" s="3486"/>
      <c r="K1228" s="3486"/>
      <c r="L1228" s="3486"/>
      <c r="M1228" s="3486"/>
      <c r="N1228" s="3486"/>
      <c r="O1228" s="3486"/>
      <c r="P1228" s="3486"/>
      <c r="Q1228" s="3486"/>
      <c r="R1228" s="3486"/>
      <c r="S1228" s="3486"/>
      <c r="T1228" s="3486"/>
      <c r="U1228" s="3486"/>
      <c r="V1228" s="3486"/>
      <c r="W1228" s="3486"/>
      <c r="X1228" s="3486"/>
      <c r="Y1228" s="3943"/>
    </row>
    <row r="1229" spans="1:25" s="3492" customFormat="1">
      <c r="A1229" s="3485"/>
      <c r="B1229" s="3486"/>
      <c r="C1229" s="3486"/>
      <c r="D1229" s="3486"/>
      <c r="E1229" s="3486"/>
      <c r="F1229" s="3486"/>
      <c r="G1229" s="3486"/>
      <c r="H1229" s="3486"/>
      <c r="I1229" s="3486"/>
      <c r="J1229" s="3486"/>
      <c r="K1229" s="3486"/>
      <c r="L1229" s="3486"/>
      <c r="M1229" s="3486"/>
      <c r="N1229" s="3486"/>
      <c r="O1229" s="3486"/>
      <c r="P1229" s="3486"/>
      <c r="Q1229" s="3486"/>
      <c r="R1229" s="3486"/>
      <c r="S1229" s="3486"/>
      <c r="T1229" s="3486"/>
      <c r="U1229" s="3486"/>
      <c r="V1229" s="3486"/>
      <c r="W1229" s="3486"/>
      <c r="X1229" s="3486"/>
      <c r="Y1229" s="3943"/>
    </row>
    <row r="1230" spans="1:25" s="3492" customFormat="1">
      <c r="A1230" s="3485"/>
      <c r="B1230" s="3486"/>
      <c r="C1230" s="3486"/>
      <c r="D1230" s="3486"/>
      <c r="E1230" s="3486"/>
      <c r="F1230" s="3486"/>
      <c r="G1230" s="3486"/>
      <c r="H1230" s="3486"/>
      <c r="I1230" s="3486"/>
      <c r="J1230" s="3486"/>
      <c r="K1230" s="3486"/>
      <c r="L1230" s="3486"/>
      <c r="M1230" s="3486"/>
      <c r="N1230" s="3486"/>
      <c r="O1230" s="3486"/>
      <c r="P1230" s="3486"/>
      <c r="Q1230" s="3486"/>
      <c r="R1230" s="3486"/>
      <c r="S1230" s="3486"/>
      <c r="T1230" s="3486"/>
      <c r="U1230" s="3486"/>
      <c r="V1230" s="3486"/>
      <c r="W1230" s="3486"/>
      <c r="X1230" s="3486"/>
      <c r="Y1230" s="3943"/>
    </row>
    <row r="1231" spans="1:25" s="3492" customFormat="1">
      <c r="A1231" s="3485"/>
      <c r="B1231" s="3486"/>
      <c r="C1231" s="3486"/>
      <c r="D1231" s="3486"/>
      <c r="E1231" s="3486"/>
      <c r="F1231" s="3486"/>
      <c r="G1231" s="3486"/>
      <c r="H1231" s="3486"/>
      <c r="I1231" s="3486"/>
      <c r="J1231" s="3486"/>
      <c r="K1231" s="3486"/>
      <c r="L1231" s="3486"/>
      <c r="M1231" s="3486"/>
      <c r="N1231" s="3486"/>
      <c r="O1231" s="3486"/>
      <c r="P1231" s="3486"/>
      <c r="Q1231" s="3486"/>
      <c r="R1231" s="3486"/>
      <c r="S1231" s="3486"/>
      <c r="T1231" s="3486"/>
      <c r="U1231" s="3486"/>
      <c r="V1231" s="3486"/>
      <c r="W1231" s="3486"/>
      <c r="X1231" s="3486"/>
      <c r="Y1231" s="3943"/>
    </row>
    <row r="1232" spans="1:25" s="3492" customFormat="1">
      <c r="A1232" s="3485"/>
      <c r="B1232" s="3486"/>
      <c r="C1232" s="3486"/>
      <c r="D1232" s="3486"/>
      <c r="E1232" s="3486"/>
      <c r="F1232" s="3486"/>
      <c r="G1232" s="3486"/>
      <c r="H1232" s="3486"/>
      <c r="I1232" s="3486"/>
      <c r="J1232" s="3486"/>
      <c r="K1232" s="3486"/>
      <c r="L1232" s="3486"/>
      <c r="M1232" s="3486"/>
      <c r="N1232" s="3486"/>
      <c r="O1232" s="3486"/>
      <c r="P1232" s="3486"/>
      <c r="Q1232" s="3486"/>
      <c r="R1232" s="3486"/>
      <c r="S1232" s="3486"/>
      <c r="T1232" s="3486"/>
      <c r="U1232" s="3486"/>
      <c r="V1232" s="3486"/>
      <c r="W1232" s="3486"/>
      <c r="X1232" s="3486"/>
      <c r="Y1232" s="3943"/>
    </row>
    <row r="1233" spans="1:25" s="3492" customFormat="1">
      <c r="A1233" s="3485"/>
      <c r="B1233" s="3486"/>
      <c r="C1233" s="3486"/>
      <c r="D1233" s="3486"/>
      <c r="E1233" s="3486"/>
      <c r="F1233" s="3486"/>
      <c r="G1233" s="3486"/>
      <c r="H1233" s="3486"/>
      <c r="I1233" s="3486"/>
      <c r="J1233" s="3486"/>
      <c r="K1233" s="3486"/>
      <c r="L1233" s="3486"/>
      <c r="M1233" s="3486"/>
      <c r="N1233" s="3486"/>
      <c r="O1233" s="3486"/>
      <c r="P1233" s="3486"/>
      <c r="Q1233" s="3486"/>
      <c r="R1233" s="3486"/>
      <c r="S1233" s="3486"/>
      <c r="T1233" s="3486"/>
      <c r="U1233" s="3486"/>
      <c r="V1233" s="3486"/>
      <c r="W1233" s="3486"/>
      <c r="X1233" s="3486"/>
      <c r="Y1233" s="3943"/>
    </row>
    <row r="1234" spans="1:25" s="3492" customFormat="1">
      <c r="A1234" s="3485"/>
      <c r="B1234" s="3486"/>
      <c r="C1234" s="3486"/>
      <c r="D1234" s="3486"/>
      <c r="E1234" s="3486"/>
      <c r="F1234" s="3486"/>
      <c r="G1234" s="3486"/>
      <c r="H1234" s="3486"/>
      <c r="I1234" s="3486"/>
      <c r="J1234" s="3486"/>
      <c r="K1234" s="3486"/>
      <c r="L1234" s="3486"/>
      <c r="M1234" s="3486"/>
      <c r="N1234" s="3486"/>
      <c r="O1234" s="3486"/>
      <c r="P1234" s="3486"/>
      <c r="Q1234" s="3486"/>
      <c r="R1234" s="3486"/>
      <c r="S1234" s="3486"/>
      <c r="T1234" s="3486"/>
      <c r="U1234" s="3486"/>
      <c r="V1234" s="3486"/>
      <c r="W1234" s="3486"/>
      <c r="X1234" s="3486"/>
      <c r="Y1234" s="3943"/>
    </row>
    <row r="1235" spans="1:25" s="3492" customFormat="1">
      <c r="A1235" s="3485"/>
      <c r="B1235" s="3486"/>
      <c r="C1235" s="3486"/>
      <c r="D1235" s="3486"/>
      <c r="E1235" s="3486"/>
      <c r="F1235" s="3486"/>
      <c r="G1235" s="3486"/>
      <c r="H1235" s="3486"/>
      <c r="I1235" s="3486"/>
      <c r="J1235" s="3486"/>
      <c r="K1235" s="3486"/>
      <c r="L1235" s="3486"/>
      <c r="M1235" s="3486"/>
      <c r="N1235" s="3486"/>
      <c r="O1235" s="3486"/>
      <c r="P1235" s="3486"/>
      <c r="Q1235" s="3486"/>
      <c r="R1235" s="3486"/>
      <c r="S1235" s="3486"/>
      <c r="T1235" s="3486"/>
      <c r="U1235" s="3486"/>
      <c r="V1235" s="3486"/>
      <c r="W1235" s="3486"/>
      <c r="X1235" s="3486"/>
      <c r="Y1235" s="3943"/>
    </row>
    <row r="1236" spans="1:25" s="3492" customFormat="1">
      <c r="A1236" s="3485"/>
      <c r="B1236" s="3486"/>
      <c r="C1236" s="3486"/>
      <c r="D1236" s="3486"/>
      <c r="E1236" s="3486"/>
      <c r="F1236" s="3486"/>
      <c r="G1236" s="3486"/>
      <c r="H1236" s="3486"/>
      <c r="I1236" s="3486"/>
      <c r="J1236" s="3486"/>
      <c r="K1236" s="3486"/>
      <c r="L1236" s="3486"/>
      <c r="M1236" s="3486"/>
      <c r="N1236" s="3486"/>
      <c r="O1236" s="3486"/>
      <c r="P1236" s="3486"/>
      <c r="Q1236" s="3486"/>
      <c r="R1236" s="3486"/>
      <c r="S1236" s="3486"/>
      <c r="T1236" s="3486"/>
      <c r="U1236" s="3486"/>
      <c r="V1236" s="3486"/>
      <c r="W1236" s="3486"/>
      <c r="X1236" s="3486"/>
      <c r="Y1236" s="3943"/>
    </row>
    <row r="1237" spans="1:25" s="3492" customFormat="1">
      <c r="A1237" s="3485"/>
      <c r="B1237" s="3486"/>
      <c r="C1237" s="3486"/>
      <c r="D1237" s="3486"/>
      <c r="E1237" s="3486"/>
      <c r="F1237" s="3486"/>
      <c r="G1237" s="3486"/>
      <c r="H1237" s="3486"/>
      <c r="I1237" s="3486"/>
      <c r="J1237" s="3486"/>
      <c r="K1237" s="3486"/>
      <c r="L1237" s="3486"/>
      <c r="M1237" s="3486"/>
      <c r="N1237" s="3486"/>
      <c r="O1237" s="3486"/>
      <c r="P1237" s="3486"/>
      <c r="Q1237" s="3486"/>
      <c r="R1237" s="3486"/>
      <c r="S1237" s="3486"/>
      <c r="T1237" s="3486"/>
      <c r="U1237" s="3486"/>
      <c r="V1237" s="3486"/>
      <c r="W1237" s="3486"/>
      <c r="X1237" s="3486"/>
      <c r="Y1237" s="3943"/>
    </row>
    <row r="1238" spans="1:25" s="3492" customFormat="1">
      <c r="A1238" s="3485"/>
      <c r="B1238" s="3486"/>
      <c r="C1238" s="3486"/>
      <c r="D1238" s="3486"/>
      <c r="E1238" s="3486"/>
      <c r="F1238" s="3486"/>
      <c r="G1238" s="3486"/>
      <c r="H1238" s="3486"/>
      <c r="I1238" s="3486"/>
      <c r="J1238" s="3486"/>
      <c r="K1238" s="3486"/>
      <c r="L1238" s="3486"/>
      <c r="M1238" s="3486"/>
      <c r="N1238" s="3486"/>
      <c r="O1238" s="3486"/>
      <c r="P1238" s="3486"/>
      <c r="Q1238" s="3486"/>
      <c r="R1238" s="3486"/>
      <c r="S1238" s="3486"/>
      <c r="T1238" s="3486"/>
      <c r="U1238" s="3486"/>
      <c r="V1238" s="3486"/>
      <c r="W1238" s="3486"/>
      <c r="X1238" s="3486"/>
      <c r="Y1238" s="3943"/>
    </row>
    <row r="1239" spans="1:25" s="3492" customFormat="1">
      <c r="A1239" s="3485"/>
      <c r="B1239" s="3486"/>
      <c r="C1239" s="3486"/>
      <c r="D1239" s="3486"/>
      <c r="E1239" s="3486"/>
      <c r="F1239" s="3486"/>
      <c r="G1239" s="3486"/>
      <c r="H1239" s="3486"/>
      <c r="I1239" s="3486"/>
      <c r="J1239" s="3486"/>
      <c r="K1239" s="3486"/>
      <c r="L1239" s="3486"/>
      <c r="M1239" s="3486"/>
      <c r="N1239" s="3486"/>
      <c r="O1239" s="3486"/>
      <c r="P1239" s="3486"/>
      <c r="Q1239" s="3486"/>
      <c r="R1239" s="3486"/>
      <c r="S1239" s="3486"/>
      <c r="T1239" s="3486"/>
      <c r="U1239" s="3486"/>
      <c r="V1239" s="3486"/>
      <c r="W1239" s="3486"/>
      <c r="X1239" s="3486"/>
      <c r="Y1239" s="3943"/>
    </row>
    <row r="1240" spans="1:25" s="3492" customFormat="1">
      <c r="A1240" s="3485"/>
      <c r="B1240" s="3486"/>
      <c r="C1240" s="3486"/>
      <c r="D1240" s="3486"/>
      <c r="E1240" s="3486"/>
      <c r="F1240" s="3486"/>
      <c r="G1240" s="3486"/>
      <c r="H1240" s="3486"/>
      <c r="I1240" s="3486"/>
      <c r="J1240" s="3486"/>
      <c r="K1240" s="3486"/>
      <c r="L1240" s="3486"/>
      <c r="M1240" s="3486"/>
      <c r="N1240" s="3486"/>
      <c r="O1240" s="3486"/>
      <c r="P1240" s="3486"/>
      <c r="Q1240" s="3486"/>
      <c r="R1240" s="3486"/>
      <c r="S1240" s="3486"/>
      <c r="T1240" s="3486"/>
      <c r="U1240" s="3486"/>
      <c r="V1240" s="3486"/>
      <c r="W1240" s="3486"/>
      <c r="X1240" s="3486"/>
      <c r="Y1240" s="3943"/>
    </row>
    <row r="1241" spans="1:25" s="3492" customFormat="1">
      <c r="A1241" s="3485"/>
      <c r="B1241" s="3486"/>
      <c r="C1241" s="3486"/>
      <c r="D1241" s="3486"/>
      <c r="E1241" s="3486"/>
      <c r="F1241" s="3486"/>
      <c r="G1241" s="3486"/>
      <c r="H1241" s="3486"/>
      <c r="I1241" s="3486"/>
      <c r="J1241" s="3486"/>
      <c r="K1241" s="3486"/>
      <c r="L1241" s="3486"/>
      <c r="M1241" s="3486"/>
      <c r="N1241" s="3486"/>
      <c r="O1241" s="3486"/>
      <c r="P1241" s="3486"/>
      <c r="Q1241" s="3486"/>
      <c r="R1241" s="3486"/>
      <c r="S1241" s="3486"/>
      <c r="T1241" s="3486"/>
      <c r="U1241" s="3486"/>
      <c r="V1241" s="3486"/>
      <c r="W1241" s="3486"/>
      <c r="X1241" s="3486"/>
      <c r="Y1241" s="3943"/>
    </row>
    <row r="1242" spans="1:25" s="3492" customFormat="1">
      <c r="A1242" s="3485"/>
      <c r="B1242" s="3486"/>
      <c r="C1242" s="3486"/>
      <c r="D1242" s="3486"/>
      <c r="E1242" s="3486"/>
      <c r="F1242" s="3486"/>
      <c r="G1242" s="3486"/>
      <c r="H1242" s="3486"/>
      <c r="I1242" s="3486"/>
      <c r="J1242" s="3486"/>
      <c r="K1242" s="3486"/>
      <c r="L1242" s="3486"/>
      <c r="M1242" s="3486"/>
      <c r="N1242" s="3486"/>
      <c r="O1242" s="3486"/>
      <c r="P1242" s="3486"/>
      <c r="Q1242" s="3486"/>
      <c r="R1242" s="3486"/>
      <c r="S1242" s="3486"/>
      <c r="T1242" s="3486"/>
      <c r="U1242" s="3486"/>
      <c r="V1242" s="3486"/>
      <c r="W1242" s="3486"/>
      <c r="X1242" s="3486"/>
      <c r="Y1242" s="3943"/>
    </row>
    <row r="1243" spans="1:25" s="3492" customFormat="1">
      <c r="A1243" s="3485"/>
      <c r="B1243" s="3486"/>
      <c r="C1243" s="3486"/>
      <c r="D1243" s="3486"/>
      <c r="E1243" s="3486"/>
      <c r="F1243" s="3486"/>
      <c r="G1243" s="3486"/>
      <c r="H1243" s="3486"/>
      <c r="I1243" s="3486"/>
      <c r="J1243" s="3486"/>
      <c r="K1243" s="3486"/>
      <c r="L1243" s="3486"/>
      <c r="M1243" s="3486"/>
      <c r="N1243" s="3486"/>
      <c r="O1243" s="3486"/>
      <c r="P1243" s="3486"/>
      <c r="Q1243" s="3486"/>
      <c r="R1243" s="3486"/>
      <c r="S1243" s="3486"/>
      <c r="T1243" s="3486"/>
      <c r="U1243" s="3486"/>
      <c r="V1243" s="3486"/>
      <c r="W1243" s="3486"/>
      <c r="X1243" s="3486"/>
      <c r="Y1243" s="3943"/>
    </row>
    <row r="1244" spans="1:25" s="3492" customFormat="1">
      <c r="A1244" s="3485"/>
      <c r="B1244" s="3486"/>
      <c r="C1244" s="3486"/>
      <c r="D1244" s="3486"/>
      <c r="E1244" s="3486"/>
      <c r="F1244" s="3486"/>
      <c r="G1244" s="3486"/>
      <c r="H1244" s="3486"/>
      <c r="I1244" s="3486"/>
      <c r="J1244" s="3486"/>
      <c r="K1244" s="3486"/>
      <c r="L1244" s="3486"/>
      <c r="M1244" s="3486"/>
      <c r="N1244" s="3486"/>
      <c r="O1244" s="3486"/>
      <c r="P1244" s="3486"/>
      <c r="Q1244" s="3486"/>
      <c r="R1244" s="3486"/>
      <c r="S1244" s="3486"/>
      <c r="T1244" s="3486"/>
      <c r="U1244" s="3486"/>
      <c r="V1244" s="3486"/>
      <c r="W1244" s="3486"/>
      <c r="X1244" s="3486"/>
      <c r="Y1244" s="3943"/>
    </row>
    <row r="1245" spans="1:25" s="3492" customFormat="1">
      <c r="A1245" s="3485"/>
      <c r="B1245" s="3486"/>
      <c r="C1245" s="3486"/>
      <c r="D1245" s="3486"/>
      <c r="E1245" s="3486"/>
      <c r="F1245" s="3486"/>
      <c r="G1245" s="3486"/>
      <c r="H1245" s="3486"/>
      <c r="I1245" s="3486"/>
      <c r="J1245" s="3486"/>
      <c r="K1245" s="3486"/>
      <c r="L1245" s="3486"/>
      <c r="M1245" s="3486"/>
      <c r="N1245" s="3486"/>
      <c r="O1245" s="3486"/>
      <c r="P1245" s="3486"/>
      <c r="Q1245" s="3486"/>
      <c r="R1245" s="3486"/>
      <c r="S1245" s="3486"/>
      <c r="T1245" s="3486"/>
      <c r="U1245" s="3486"/>
      <c r="V1245" s="3486"/>
      <c r="W1245" s="3486"/>
      <c r="X1245" s="3486"/>
      <c r="Y1245" s="3943"/>
    </row>
    <row r="1246" spans="1:25" s="3492" customFormat="1">
      <c r="A1246" s="3485"/>
      <c r="B1246" s="3486"/>
      <c r="C1246" s="3486"/>
      <c r="D1246" s="3486"/>
      <c r="E1246" s="3486"/>
      <c r="F1246" s="3486"/>
      <c r="G1246" s="3486"/>
      <c r="H1246" s="3486"/>
      <c r="I1246" s="3486"/>
      <c r="J1246" s="3486"/>
      <c r="K1246" s="3486"/>
      <c r="L1246" s="3486"/>
      <c r="M1246" s="3486"/>
      <c r="N1246" s="3486"/>
      <c r="O1246" s="3486"/>
      <c r="P1246" s="3486"/>
      <c r="Q1246" s="3486"/>
      <c r="R1246" s="3486"/>
      <c r="S1246" s="3486"/>
      <c r="T1246" s="3486"/>
      <c r="U1246" s="3486"/>
      <c r="V1246" s="3486"/>
      <c r="W1246" s="3486"/>
      <c r="X1246" s="3486"/>
      <c r="Y1246" s="3943"/>
    </row>
    <row r="1247" spans="1:25" s="3492" customFormat="1">
      <c r="A1247" s="3485"/>
      <c r="B1247" s="3486"/>
      <c r="C1247" s="3486"/>
      <c r="D1247" s="3486"/>
      <c r="E1247" s="3486"/>
      <c r="F1247" s="3486"/>
      <c r="G1247" s="3486"/>
      <c r="H1247" s="3486"/>
      <c r="I1247" s="3486"/>
      <c r="J1247" s="3486"/>
      <c r="K1247" s="3486"/>
      <c r="L1247" s="3486"/>
      <c r="M1247" s="3486"/>
      <c r="N1247" s="3486"/>
      <c r="O1247" s="3486"/>
      <c r="P1247" s="3486"/>
      <c r="Q1247" s="3486"/>
      <c r="R1247" s="3486"/>
      <c r="S1247" s="3486"/>
      <c r="T1247" s="3486"/>
      <c r="U1247" s="3486"/>
      <c r="V1247" s="3486"/>
      <c r="W1247" s="3486"/>
      <c r="X1247" s="3486"/>
      <c r="Y1247" s="3943"/>
    </row>
    <row r="1248" spans="1:25" s="3492" customFormat="1">
      <c r="A1248" s="3485"/>
      <c r="B1248" s="3486"/>
      <c r="C1248" s="3486"/>
      <c r="D1248" s="3486"/>
      <c r="E1248" s="3486"/>
      <c r="F1248" s="3486"/>
      <c r="G1248" s="3486"/>
      <c r="H1248" s="3486"/>
      <c r="I1248" s="3486"/>
      <c r="J1248" s="3486"/>
      <c r="K1248" s="3486"/>
      <c r="L1248" s="3486"/>
      <c r="M1248" s="3486"/>
      <c r="N1248" s="3486"/>
      <c r="O1248" s="3486"/>
      <c r="P1248" s="3486"/>
      <c r="Q1248" s="3486"/>
      <c r="R1248" s="3486"/>
      <c r="S1248" s="3486"/>
      <c r="T1248" s="3486"/>
      <c r="U1248" s="3486"/>
      <c r="V1248" s="3486"/>
      <c r="W1248" s="3486"/>
      <c r="X1248" s="3486"/>
      <c r="Y1248" s="3943"/>
    </row>
    <row r="1249" spans="1:25" s="3492" customFormat="1">
      <c r="A1249" s="3485"/>
      <c r="B1249" s="3486"/>
      <c r="C1249" s="3486"/>
      <c r="D1249" s="3486"/>
      <c r="E1249" s="3486"/>
      <c r="F1249" s="3486"/>
      <c r="G1249" s="3486"/>
      <c r="H1249" s="3486"/>
      <c r="I1249" s="3486"/>
      <c r="J1249" s="3486"/>
      <c r="K1249" s="3486"/>
      <c r="L1249" s="3486"/>
      <c r="M1249" s="3486"/>
      <c r="N1249" s="3486"/>
      <c r="O1249" s="3486"/>
      <c r="P1249" s="3486"/>
      <c r="Q1249" s="3486"/>
      <c r="R1249" s="3486"/>
      <c r="S1249" s="3486"/>
      <c r="T1249" s="3486"/>
      <c r="U1249" s="3486"/>
      <c r="V1249" s="3486"/>
      <c r="W1249" s="3486"/>
      <c r="X1249" s="3486"/>
      <c r="Y1249" s="3943"/>
    </row>
    <row r="1250" spans="1:25" s="3492" customFormat="1">
      <c r="A1250" s="3485"/>
      <c r="B1250" s="3486"/>
      <c r="C1250" s="3486"/>
      <c r="D1250" s="3486"/>
      <c r="E1250" s="3486"/>
      <c r="F1250" s="3486"/>
      <c r="G1250" s="3486"/>
      <c r="H1250" s="3486"/>
      <c r="I1250" s="3486"/>
      <c r="J1250" s="3486"/>
      <c r="K1250" s="3486"/>
      <c r="L1250" s="3486"/>
      <c r="M1250" s="3486"/>
      <c r="N1250" s="3486"/>
      <c r="O1250" s="3486"/>
      <c r="P1250" s="3486"/>
      <c r="Q1250" s="3486"/>
      <c r="R1250" s="3486"/>
      <c r="S1250" s="3486"/>
      <c r="T1250" s="3486"/>
      <c r="U1250" s="3486"/>
      <c r="V1250" s="3486"/>
      <c r="W1250" s="3486"/>
      <c r="X1250" s="3486"/>
      <c r="Y1250" s="3943"/>
    </row>
    <row r="1251" spans="1:25" s="3492" customFormat="1">
      <c r="A1251" s="3485"/>
      <c r="B1251" s="3486"/>
      <c r="C1251" s="3486"/>
      <c r="D1251" s="3486"/>
      <c r="E1251" s="3486"/>
      <c r="F1251" s="3486"/>
      <c r="G1251" s="3486"/>
      <c r="H1251" s="3486"/>
      <c r="I1251" s="3486"/>
      <c r="J1251" s="3486"/>
      <c r="K1251" s="3486"/>
      <c r="L1251" s="3486"/>
      <c r="M1251" s="3486"/>
      <c r="N1251" s="3486"/>
      <c r="O1251" s="3486"/>
      <c r="P1251" s="3486"/>
      <c r="Q1251" s="3486"/>
      <c r="R1251" s="3486"/>
      <c r="S1251" s="3486"/>
      <c r="T1251" s="3486"/>
      <c r="U1251" s="3486"/>
      <c r="V1251" s="3486"/>
      <c r="W1251" s="3486"/>
      <c r="X1251" s="3486"/>
      <c r="Y1251" s="3943"/>
    </row>
    <row r="1252" spans="1:25" s="3492" customFormat="1">
      <c r="A1252" s="3485"/>
      <c r="B1252" s="3486"/>
      <c r="C1252" s="3486"/>
      <c r="D1252" s="3486"/>
      <c r="E1252" s="3486"/>
      <c r="F1252" s="3486"/>
      <c r="G1252" s="3486"/>
      <c r="H1252" s="3486"/>
      <c r="I1252" s="3486"/>
      <c r="J1252" s="3486"/>
      <c r="K1252" s="3486"/>
      <c r="L1252" s="3486"/>
      <c r="M1252" s="3486"/>
      <c r="N1252" s="3486"/>
      <c r="O1252" s="3486"/>
      <c r="P1252" s="3486"/>
      <c r="Q1252" s="3486"/>
      <c r="R1252" s="3486"/>
      <c r="S1252" s="3486"/>
      <c r="T1252" s="3486"/>
      <c r="U1252" s="3486"/>
      <c r="V1252" s="3486"/>
      <c r="W1252" s="3486"/>
      <c r="X1252" s="3486"/>
      <c r="Y1252" s="3943"/>
    </row>
    <row r="1253" spans="1:25" s="3492" customFormat="1">
      <c r="A1253" s="3485"/>
      <c r="B1253" s="3486"/>
      <c r="C1253" s="3486"/>
      <c r="D1253" s="3486"/>
      <c r="E1253" s="3486"/>
      <c r="F1253" s="3486"/>
      <c r="G1253" s="3486"/>
      <c r="H1253" s="3486"/>
      <c r="I1253" s="3486"/>
      <c r="J1253" s="3486"/>
      <c r="K1253" s="3486"/>
      <c r="L1253" s="3486"/>
      <c r="M1253" s="3486"/>
      <c r="N1253" s="3486"/>
      <c r="O1253" s="3486"/>
      <c r="P1253" s="3486"/>
      <c r="Q1253" s="3486"/>
      <c r="R1253" s="3486"/>
      <c r="S1253" s="3486"/>
      <c r="T1253" s="3486"/>
      <c r="U1253" s="3486"/>
      <c r="V1253" s="3486"/>
      <c r="W1253" s="3486"/>
      <c r="X1253" s="3486"/>
      <c r="Y1253" s="3943"/>
    </row>
    <row r="1254" spans="1:25" s="3492" customFormat="1">
      <c r="A1254" s="3485"/>
      <c r="B1254" s="3486"/>
      <c r="C1254" s="3486"/>
      <c r="D1254" s="3486"/>
      <c r="E1254" s="3486"/>
      <c r="F1254" s="3486"/>
      <c r="G1254" s="3486"/>
      <c r="H1254" s="3486"/>
      <c r="I1254" s="3486"/>
      <c r="J1254" s="3486"/>
      <c r="K1254" s="3486"/>
      <c r="L1254" s="3486"/>
      <c r="M1254" s="3486"/>
      <c r="N1254" s="3486"/>
      <c r="O1254" s="3486"/>
      <c r="P1254" s="3486"/>
      <c r="Q1254" s="3486"/>
      <c r="R1254" s="3486"/>
      <c r="S1254" s="3486"/>
      <c r="T1254" s="3486"/>
      <c r="U1254" s="3486"/>
      <c r="V1254" s="3486"/>
      <c r="W1254" s="3486"/>
      <c r="X1254" s="3486"/>
      <c r="Y1254" s="3943"/>
    </row>
    <row r="1255" spans="1:25" s="3492" customFormat="1">
      <c r="A1255" s="3485"/>
      <c r="B1255" s="3486"/>
      <c r="C1255" s="3486"/>
      <c r="D1255" s="3486"/>
      <c r="E1255" s="3486"/>
      <c r="F1255" s="3486"/>
      <c r="G1255" s="3486"/>
      <c r="H1255" s="3486"/>
      <c r="I1255" s="3486"/>
      <c r="J1255" s="3486"/>
      <c r="K1255" s="3486"/>
      <c r="L1255" s="3486"/>
      <c r="M1255" s="3486"/>
      <c r="N1255" s="3486"/>
      <c r="O1255" s="3486"/>
      <c r="P1255" s="3486"/>
      <c r="Q1255" s="3486"/>
      <c r="R1255" s="3486"/>
      <c r="S1255" s="3486"/>
      <c r="T1255" s="3486"/>
      <c r="U1255" s="3486"/>
      <c r="V1255" s="3486"/>
      <c r="W1255" s="3486"/>
      <c r="X1255" s="3486"/>
      <c r="Y1255" s="3943"/>
    </row>
    <row r="1256" spans="1:25" s="3492" customFormat="1">
      <c r="A1256" s="3485"/>
      <c r="B1256" s="3486"/>
      <c r="C1256" s="3486"/>
      <c r="D1256" s="3486"/>
      <c r="E1256" s="3486"/>
      <c r="F1256" s="3486"/>
      <c r="G1256" s="3486"/>
      <c r="H1256" s="3486"/>
      <c r="I1256" s="3486"/>
      <c r="J1256" s="3486"/>
      <c r="K1256" s="3486"/>
      <c r="L1256" s="3486"/>
      <c r="M1256" s="3486"/>
      <c r="N1256" s="3486"/>
      <c r="O1256" s="3486"/>
      <c r="P1256" s="3486"/>
      <c r="Q1256" s="3486"/>
      <c r="R1256" s="3486"/>
      <c r="S1256" s="3486"/>
      <c r="T1256" s="3486"/>
      <c r="U1256" s="3486"/>
      <c r="V1256" s="3486"/>
      <c r="W1256" s="3486"/>
      <c r="X1256" s="3486"/>
      <c r="Y1256" s="3943"/>
    </row>
    <row r="1257" spans="1:25" s="3492" customFormat="1">
      <c r="A1257" s="3485"/>
      <c r="B1257" s="3486"/>
      <c r="C1257" s="3486"/>
      <c r="D1257" s="3486"/>
      <c r="E1257" s="3486"/>
      <c r="F1257" s="3486"/>
      <c r="G1257" s="3486"/>
      <c r="H1257" s="3486"/>
      <c r="I1257" s="3486"/>
      <c r="J1257" s="3486"/>
      <c r="K1257" s="3486"/>
      <c r="L1257" s="3486"/>
      <c r="M1257" s="3486"/>
      <c r="N1257" s="3486"/>
      <c r="O1257" s="3486"/>
      <c r="P1257" s="3486"/>
      <c r="Q1257" s="3486"/>
      <c r="R1257" s="3486"/>
      <c r="S1257" s="3486"/>
      <c r="T1257" s="3486"/>
      <c r="U1257" s="3486"/>
      <c r="V1257" s="3486"/>
      <c r="W1257" s="3486"/>
      <c r="X1257" s="3486"/>
      <c r="Y1257" s="3943"/>
    </row>
    <row r="1258" spans="1:25" s="3492" customFormat="1">
      <c r="A1258" s="3485"/>
      <c r="B1258" s="3486"/>
      <c r="C1258" s="3486"/>
      <c r="D1258" s="3486"/>
      <c r="E1258" s="3486"/>
      <c r="F1258" s="3486"/>
      <c r="G1258" s="3486"/>
      <c r="H1258" s="3486"/>
      <c r="I1258" s="3486"/>
      <c r="J1258" s="3486"/>
      <c r="K1258" s="3486"/>
      <c r="L1258" s="3486"/>
      <c r="M1258" s="3486"/>
      <c r="N1258" s="3486"/>
      <c r="O1258" s="3486"/>
      <c r="P1258" s="3486"/>
      <c r="Q1258" s="3486"/>
      <c r="R1258" s="3486"/>
      <c r="S1258" s="3486"/>
      <c r="T1258" s="3486"/>
      <c r="U1258" s="3486"/>
      <c r="V1258" s="3486"/>
      <c r="W1258" s="3486"/>
      <c r="X1258" s="3486"/>
      <c r="Y1258" s="3943"/>
    </row>
    <row r="1259" spans="1:25" s="3492" customFormat="1">
      <c r="A1259" s="3485"/>
      <c r="B1259" s="3486"/>
      <c r="C1259" s="3486"/>
      <c r="D1259" s="3486"/>
      <c r="E1259" s="3486"/>
      <c r="F1259" s="3486"/>
      <c r="G1259" s="3486"/>
      <c r="H1259" s="3486"/>
      <c r="I1259" s="3486"/>
      <c r="J1259" s="3486"/>
      <c r="K1259" s="3486"/>
      <c r="L1259" s="3486"/>
      <c r="M1259" s="3486"/>
      <c r="N1259" s="3486"/>
      <c r="O1259" s="3486"/>
      <c r="P1259" s="3486"/>
      <c r="Q1259" s="3486"/>
      <c r="R1259" s="3486"/>
      <c r="S1259" s="3486"/>
      <c r="T1259" s="3486"/>
      <c r="U1259" s="3486"/>
      <c r="V1259" s="3486"/>
      <c r="W1259" s="3486"/>
      <c r="X1259" s="3486"/>
      <c r="Y1259" s="3943"/>
    </row>
    <row r="1260" spans="1:25" s="3492" customFormat="1">
      <c r="A1260" s="3485"/>
      <c r="B1260" s="3486"/>
      <c r="C1260" s="3486"/>
      <c r="D1260" s="3486"/>
      <c r="E1260" s="3486"/>
      <c r="F1260" s="3486"/>
      <c r="G1260" s="3486"/>
      <c r="H1260" s="3486"/>
      <c r="I1260" s="3486"/>
      <c r="J1260" s="3486"/>
      <c r="K1260" s="3486"/>
      <c r="L1260" s="3486"/>
      <c r="M1260" s="3486"/>
      <c r="N1260" s="3486"/>
      <c r="O1260" s="3486"/>
      <c r="P1260" s="3486"/>
      <c r="Q1260" s="3486"/>
      <c r="R1260" s="3486"/>
      <c r="S1260" s="3486"/>
      <c r="T1260" s="3486"/>
      <c r="U1260" s="3486"/>
      <c r="V1260" s="3486"/>
      <c r="W1260" s="3486"/>
      <c r="X1260" s="3486"/>
      <c r="Y1260" s="3943"/>
    </row>
    <row r="1261" spans="1:25" s="3492" customFormat="1">
      <c r="A1261" s="3485"/>
      <c r="B1261" s="3486"/>
      <c r="C1261" s="3486"/>
      <c r="D1261" s="3486"/>
      <c r="E1261" s="3486"/>
      <c r="F1261" s="3486"/>
      <c r="G1261" s="3486"/>
      <c r="H1261" s="3486"/>
      <c r="I1261" s="3486"/>
      <c r="J1261" s="3486"/>
      <c r="K1261" s="3486"/>
      <c r="L1261" s="3486"/>
      <c r="M1261" s="3486"/>
      <c r="N1261" s="3486"/>
      <c r="O1261" s="3486"/>
      <c r="P1261" s="3486"/>
      <c r="Q1261" s="3486"/>
      <c r="R1261" s="3486"/>
      <c r="S1261" s="3486"/>
      <c r="T1261" s="3486"/>
      <c r="U1261" s="3486"/>
      <c r="V1261" s="3486"/>
      <c r="W1261" s="3486"/>
      <c r="X1261" s="3486"/>
      <c r="Y1261" s="3943"/>
    </row>
    <row r="1262" spans="1:25" s="3492" customFormat="1">
      <c r="A1262" s="3485"/>
      <c r="B1262" s="3486"/>
      <c r="C1262" s="3486"/>
      <c r="D1262" s="3486"/>
      <c r="E1262" s="3486"/>
      <c r="F1262" s="3486"/>
      <c r="G1262" s="3486"/>
      <c r="H1262" s="3486"/>
      <c r="I1262" s="3486"/>
      <c r="J1262" s="3486"/>
      <c r="K1262" s="3486"/>
      <c r="L1262" s="3486"/>
      <c r="M1262" s="3486"/>
      <c r="N1262" s="3486"/>
      <c r="O1262" s="3486"/>
      <c r="P1262" s="3486"/>
      <c r="Q1262" s="3486"/>
      <c r="R1262" s="3486"/>
      <c r="S1262" s="3486"/>
      <c r="T1262" s="3486"/>
      <c r="U1262" s="3486"/>
      <c r="V1262" s="3486"/>
      <c r="W1262" s="3486"/>
      <c r="X1262" s="3486"/>
      <c r="Y1262" s="3943"/>
    </row>
    <row r="1263" spans="1:25" s="3492" customFormat="1">
      <c r="A1263" s="3485"/>
      <c r="B1263" s="3486"/>
      <c r="C1263" s="3486"/>
      <c r="D1263" s="3486"/>
      <c r="E1263" s="3486"/>
      <c r="F1263" s="3486"/>
      <c r="G1263" s="3486"/>
      <c r="H1263" s="3486"/>
      <c r="I1263" s="3486"/>
      <c r="J1263" s="3486"/>
      <c r="K1263" s="3486"/>
      <c r="L1263" s="3486"/>
      <c r="M1263" s="3486"/>
      <c r="N1263" s="3486"/>
      <c r="O1263" s="3486"/>
      <c r="P1263" s="3486"/>
      <c r="Q1263" s="3486"/>
      <c r="R1263" s="3486"/>
      <c r="S1263" s="3486"/>
      <c r="T1263" s="3486"/>
      <c r="U1263" s="3486"/>
      <c r="V1263" s="3486"/>
      <c r="W1263" s="3486"/>
      <c r="X1263" s="3486"/>
      <c r="Y1263" s="3943"/>
    </row>
    <row r="1264" spans="1:25" s="3492" customFormat="1">
      <c r="A1264" s="3485"/>
      <c r="B1264" s="3486"/>
      <c r="C1264" s="3486"/>
      <c r="D1264" s="3486"/>
      <c r="E1264" s="3486"/>
      <c r="F1264" s="3486"/>
      <c r="G1264" s="3486"/>
      <c r="H1264" s="3486"/>
      <c r="I1264" s="3486"/>
      <c r="J1264" s="3486"/>
      <c r="K1264" s="3486"/>
      <c r="L1264" s="3486"/>
      <c r="M1264" s="3486"/>
      <c r="N1264" s="3486"/>
      <c r="O1264" s="3486"/>
      <c r="P1264" s="3486"/>
      <c r="Q1264" s="3486"/>
      <c r="R1264" s="3486"/>
      <c r="S1264" s="3486"/>
      <c r="T1264" s="3486"/>
      <c r="U1264" s="3486"/>
      <c r="V1264" s="3486"/>
      <c r="W1264" s="3486"/>
      <c r="X1264" s="3486"/>
      <c r="Y1264" s="3943"/>
    </row>
    <row r="1265" spans="1:25" s="3492" customFormat="1">
      <c r="A1265" s="3485"/>
      <c r="B1265" s="3486"/>
      <c r="C1265" s="3486"/>
      <c r="D1265" s="3486"/>
      <c r="E1265" s="3486"/>
      <c r="F1265" s="3486"/>
      <c r="G1265" s="3486"/>
      <c r="H1265" s="3486"/>
      <c r="I1265" s="3486"/>
      <c r="J1265" s="3486"/>
      <c r="K1265" s="3486"/>
      <c r="L1265" s="3486"/>
      <c r="M1265" s="3486"/>
      <c r="N1265" s="3486"/>
      <c r="O1265" s="3486"/>
      <c r="P1265" s="3486"/>
      <c r="Q1265" s="3486"/>
      <c r="R1265" s="3486"/>
      <c r="S1265" s="3486"/>
      <c r="T1265" s="3486"/>
      <c r="U1265" s="3486"/>
      <c r="V1265" s="3486"/>
      <c r="W1265" s="3486"/>
      <c r="X1265" s="3486"/>
      <c r="Y1265" s="3943"/>
    </row>
    <row r="1266" spans="1:25" s="3492" customFormat="1">
      <c r="A1266" s="3485"/>
      <c r="B1266" s="3486"/>
      <c r="C1266" s="3486"/>
      <c r="D1266" s="3486"/>
      <c r="E1266" s="3486"/>
      <c r="F1266" s="3486"/>
      <c r="G1266" s="3486"/>
      <c r="H1266" s="3486"/>
      <c r="I1266" s="3486"/>
      <c r="J1266" s="3486"/>
      <c r="K1266" s="3486"/>
      <c r="L1266" s="3486"/>
      <c r="M1266" s="3486"/>
      <c r="N1266" s="3486"/>
      <c r="O1266" s="3486"/>
      <c r="P1266" s="3486"/>
      <c r="Q1266" s="3486"/>
      <c r="R1266" s="3486"/>
      <c r="S1266" s="3486"/>
      <c r="T1266" s="3486"/>
      <c r="U1266" s="3486"/>
      <c r="V1266" s="3486"/>
      <c r="W1266" s="3486"/>
      <c r="X1266" s="3486"/>
      <c r="Y1266" s="3943"/>
    </row>
    <row r="1267" spans="1:25" s="3492" customFormat="1">
      <c r="A1267" s="3485"/>
      <c r="B1267" s="3486"/>
      <c r="C1267" s="3486"/>
      <c r="D1267" s="3486"/>
      <c r="E1267" s="3486"/>
      <c r="F1267" s="3486"/>
      <c r="G1267" s="3486"/>
      <c r="H1267" s="3486"/>
      <c r="I1267" s="3486"/>
      <c r="J1267" s="3486"/>
      <c r="K1267" s="3486"/>
      <c r="L1267" s="3486"/>
      <c r="M1267" s="3486"/>
      <c r="N1267" s="3486"/>
      <c r="O1267" s="3486"/>
      <c r="P1267" s="3486"/>
      <c r="Q1267" s="3486"/>
      <c r="R1267" s="3486"/>
      <c r="S1267" s="3486"/>
      <c r="T1267" s="3486"/>
      <c r="U1267" s="3486"/>
      <c r="V1267" s="3486"/>
      <c r="W1267" s="3486"/>
      <c r="X1267" s="3486"/>
      <c r="Y1267" s="3943"/>
    </row>
    <row r="1268" spans="1:25" s="3492" customFormat="1">
      <c r="A1268" s="3485"/>
      <c r="B1268" s="3486"/>
      <c r="C1268" s="3486"/>
      <c r="D1268" s="3486"/>
      <c r="E1268" s="3486"/>
      <c r="F1268" s="3486"/>
      <c r="G1268" s="3486"/>
      <c r="H1268" s="3486"/>
      <c r="I1268" s="3486"/>
      <c r="J1268" s="3486"/>
      <c r="K1268" s="3486"/>
      <c r="L1268" s="3486"/>
      <c r="M1268" s="3486"/>
      <c r="N1268" s="3486"/>
      <c r="O1268" s="3486"/>
      <c r="P1268" s="3486"/>
      <c r="Q1268" s="3486"/>
      <c r="R1268" s="3486"/>
      <c r="S1268" s="3486"/>
      <c r="T1268" s="3486"/>
      <c r="U1268" s="3486"/>
      <c r="V1268" s="3486"/>
      <c r="W1268" s="3486"/>
      <c r="X1268" s="3486"/>
      <c r="Y1268" s="3943"/>
    </row>
    <row r="1269" spans="1:25" s="3492" customFormat="1">
      <c r="A1269" s="3485"/>
      <c r="B1269" s="3486"/>
      <c r="C1269" s="3486"/>
      <c r="D1269" s="3486"/>
      <c r="E1269" s="3486"/>
      <c r="F1269" s="3486"/>
      <c r="G1269" s="3486"/>
      <c r="H1269" s="3486"/>
      <c r="I1269" s="3486"/>
      <c r="J1269" s="3486"/>
      <c r="K1269" s="3486"/>
      <c r="L1269" s="3486"/>
      <c r="M1269" s="3486"/>
      <c r="N1269" s="3486"/>
      <c r="O1269" s="3486"/>
      <c r="P1269" s="3486"/>
      <c r="Q1269" s="3486"/>
      <c r="R1269" s="3486"/>
      <c r="S1269" s="3486"/>
      <c r="T1269" s="3486"/>
      <c r="U1269" s="3486"/>
      <c r="V1269" s="3486"/>
      <c r="W1269" s="3486"/>
      <c r="X1269" s="3486"/>
      <c r="Y1269" s="3943"/>
    </row>
    <row r="1270" spans="1:25" s="3492" customFormat="1">
      <c r="A1270" s="3485"/>
      <c r="B1270" s="3486"/>
      <c r="C1270" s="3486"/>
      <c r="D1270" s="3486"/>
      <c r="E1270" s="3486"/>
      <c r="F1270" s="3486"/>
      <c r="G1270" s="3486"/>
      <c r="H1270" s="3486"/>
      <c r="I1270" s="3486"/>
      <c r="J1270" s="3486"/>
      <c r="K1270" s="3486"/>
      <c r="L1270" s="3486"/>
      <c r="M1270" s="3486"/>
      <c r="N1270" s="3486"/>
      <c r="O1270" s="3486"/>
      <c r="P1270" s="3486"/>
      <c r="Q1270" s="3486"/>
      <c r="R1270" s="3486"/>
      <c r="S1270" s="3486"/>
      <c r="T1270" s="3486"/>
      <c r="U1270" s="3486"/>
      <c r="V1270" s="3486"/>
      <c r="W1270" s="3486"/>
      <c r="X1270" s="3486"/>
      <c r="Y1270" s="3943"/>
    </row>
    <row r="1271" spans="1:25" s="3492" customFormat="1">
      <c r="A1271" s="3485"/>
      <c r="B1271" s="3486"/>
      <c r="C1271" s="3486"/>
      <c r="D1271" s="3486"/>
      <c r="E1271" s="3486"/>
      <c r="F1271" s="3486"/>
      <c r="G1271" s="3486"/>
      <c r="H1271" s="3486"/>
      <c r="I1271" s="3486"/>
      <c r="J1271" s="3486"/>
      <c r="K1271" s="3486"/>
      <c r="L1271" s="3486"/>
      <c r="M1271" s="3486"/>
      <c r="N1271" s="3486"/>
      <c r="O1271" s="3486"/>
      <c r="P1271" s="3486"/>
      <c r="Q1271" s="3486"/>
      <c r="R1271" s="3486"/>
      <c r="S1271" s="3486"/>
      <c r="T1271" s="3486"/>
      <c r="U1271" s="3486"/>
      <c r="V1271" s="3486"/>
      <c r="W1271" s="3486"/>
      <c r="X1271" s="3486"/>
      <c r="Y1271" s="3943"/>
    </row>
    <row r="1272" spans="1:25" s="3492" customFormat="1">
      <c r="A1272" s="3485"/>
      <c r="B1272" s="3486"/>
      <c r="C1272" s="3486"/>
      <c r="D1272" s="3486"/>
      <c r="E1272" s="3486"/>
      <c r="F1272" s="3486"/>
      <c r="G1272" s="3486"/>
      <c r="H1272" s="3486"/>
      <c r="I1272" s="3486"/>
      <c r="J1272" s="3486"/>
      <c r="K1272" s="3486"/>
      <c r="L1272" s="3486"/>
      <c r="M1272" s="3486"/>
      <c r="N1272" s="3486"/>
      <c r="O1272" s="3486"/>
      <c r="P1272" s="3486"/>
      <c r="Q1272" s="3486"/>
      <c r="R1272" s="3486"/>
      <c r="S1272" s="3486"/>
      <c r="T1272" s="3486"/>
      <c r="U1272" s="3486"/>
      <c r="V1272" s="3486"/>
      <c r="W1272" s="3486"/>
      <c r="X1272" s="3486"/>
      <c r="Y1272" s="3943"/>
    </row>
    <row r="1273" spans="1:25" s="3492" customFormat="1">
      <c r="A1273" s="3485"/>
      <c r="B1273" s="3486"/>
      <c r="C1273" s="3486"/>
      <c r="D1273" s="3486"/>
      <c r="E1273" s="3486"/>
      <c r="F1273" s="3486"/>
      <c r="G1273" s="3486"/>
      <c r="H1273" s="3486"/>
      <c r="I1273" s="3486"/>
      <c r="J1273" s="3486"/>
      <c r="K1273" s="3486"/>
      <c r="L1273" s="3486"/>
      <c r="M1273" s="3486"/>
      <c r="N1273" s="3486"/>
      <c r="O1273" s="3486"/>
      <c r="P1273" s="3486"/>
      <c r="Q1273" s="3486"/>
      <c r="R1273" s="3486"/>
      <c r="S1273" s="3486"/>
      <c r="T1273" s="3486"/>
      <c r="U1273" s="3486"/>
      <c r="V1273" s="3486"/>
      <c r="W1273" s="3486"/>
      <c r="X1273" s="3486"/>
      <c r="Y1273" s="3943"/>
    </row>
    <row r="1274" spans="1:25" s="3492" customFormat="1">
      <c r="A1274" s="3485"/>
      <c r="B1274" s="3486"/>
      <c r="C1274" s="3486"/>
      <c r="D1274" s="3486"/>
      <c r="E1274" s="3486"/>
      <c r="F1274" s="3486"/>
      <c r="G1274" s="3486"/>
      <c r="H1274" s="3486"/>
      <c r="I1274" s="3486"/>
      <c r="J1274" s="3486"/>
      <c r="K1274" s="3486"/>
      <c r="L1274" s="3486"/>
      <c r="M1274" s="3486"/>
      <c r="N1274" s="3486"/>
      <c r="O1274" s="3486"/>
      <c r="P1274" s="3486"/>
      <c r="Q1274" s="3486"/>
      <c r="R1274" s="3486"/>
      <c r="S1274" s="3486"/>
      <c r="T1274" s="3486"/>
      <c r="U1274" s="3486"/>
      <c r="V1274" s="3486"/>
      <c r="W1274" s="3486"/>
      <c r="X1274" s="3486"/>
      <c r="Y1274" s="3943"/>
    </row>
    <row r="1275" spans="1:25" s="3492" customFormat="1">
      <c r="A1275" s="3485"/>
      <c r="B1275" s="3486"/>
      <c r="C1275" s="3486"/>
      <c r="D1275" s="3486"/>
      <c r="E1275" s="3486"/>
      <c r="F1275" s="3486"/>
      <c r="G1275" s="3486"/>
      <c r="H1275" s="3486"/>
      <c r="I1275" s="3486"/>
      <c r="J1275" s="3486"/>
      <c r="K1275" s="3486"/>
      <c r="L1275" s="3486"/>
      <c r="M1275" s="3486"/>
      <c r="N1275" s="3486"/>
      <c r="O1275" s="3486"/>
      <c r="P1275" s="3486"/>
      <c r="Q1275" s="3486"/>
      <c r="R1275" s="3486"/>
      <c r="S1275" s="3486"/>
      <c r="T1275" s="3486"/>
      <c r="U1275" s="3486"/>
      <c r="V1275" s="3486"/>
      <c r="W1275" s="3486"/>
      <c r="X1275" s="3486"/>
      <c r="Y1275" s="3943"/>
    </row>
    <row r="1276" spans="1:25" s="3492" customFormat="1">
      <c r="A1276" s="3485"/>
      <c r="B1276" s="3486"/>
      <c r="C1276" s="3486"/>
      <c r="D1276" s="3486"/>
      <c r="E1276" s="3486"/>
      <c r="F1276" s="3486"/>
      <c r="G1276" s="3486"/>
      <c r="H1276" s="3486"/>
      <c r="I1276" s="3486"/>
      <c r="J1276" s="3486"/>
      <c r="K1276" s="3486"/>
      <c r="L1276" s="3486"/>
      <c r="M1276" s="3486"/>
      <c r="N1276" s="3486"/>
      <c r="O1276" s="3486"/>
      <c r="P1276" s="3486"/>
      <c r="Q1276" s="3486"/>
      <c r="R1276" s="3486"/>
      <c r="S1276" s="3486"/>
      <c r="T1276" s="3486"/>
      <c r="U1276" s="3486"/>
      <c r="V1276" s="3486"/>
      <c r="W1276" s="3486"/>
      <c r="X1276" s="3486"/>
      <c r="Y1276" s="3943"/>
    </row>
    <row r="1277" spans="1:25" s="3492" customFormat="1">
      <c r="A1277" s="3485"/>
      <c r="B1277" s="3486"/>
      <c r="C1277" s="3486"/>
      <c r="D1277" s="3486"/>
      <c r="E1277" s="3486"/>
      <c r="F1277" s="3486"/>
      <c r="G1277" s="3486"/>
      <c r="H1277" s="3486"/>
      <c r="I1277" s="3486"/>
      <c r="J1277" s="3486"/>
      <c r="K1277" s="3486"/>
      <c r="L1277" s="3486"/>
      <c r="M1277" s="3486"/>
      <c r="N1277" s="3486"/>
      <c r="O1277" s="3486"/>
      <c r="P1277" s="3486"/>
      <c r="Q1277" s="3486"/>
      <c r="R1277" s="3486"/>
      <c r="S1277" s="3486"/>
      <c r="T1277" s="3486"/>
      <c r="U1277" s="3486"/>
      <c r="V1277" s="3486"/>
      <c r="W1277" s="3486"/>
      <c r="X1277" s="3486"/>
      <c r="Y1277" s="3943"/>
    </row>
    <row r="1278" spans="1:25" s="3492" customFormat="1">
      <c r="A1278" s="3485"/>
      <c r="B1278" s="3486"/>
      <c r="C1278" s="3486"/>
      <c r="D1278" s="3486"/>
      <c r="E1278" s="3486"/>
      <c r="F1278" s="3486"/>
      <c r="G1278" s="3486"/>
      <c r="H1278" s="3486"/>
      <c r="I1278" s="3486"/>
      <c r="J1278" s="3486"/>
      <c r="K1278" s="3486"/>
      <c r="L1278" s="3486"/>
      <c r="M1278" s="3486"/>
      <c r="N1278" s="3486"/>
      <c r="O1278" s="3486"/>
      <c r="P1278" s="3486"/>
      <c r="Q1278" s="3486"/>
      <c r="R1278" s="3486"/>
      <c r="S1278" s="3486"/>
      <c r="T1278" s="3486"/>
      <c r="U1278" s="3486"/>
      <c r="V1278" s="3486"/>
      <c r="W1278" s="3486"/>
      <c r="X1278" s="3486"/>
      <c r="Y1278" s="3943"/>
    </row>
    <row r="1279" spans="1:25" s="3492" customFormat="1">
      <c r="A1279" s="3485"/>
      <c r="B1279" s="3486"/>
      <c r="C1279" s="3486"/>
      <c r="D1279" s="3486"/>
      <c r="E1279" s="3486"/>
      <c r="F1279" s="3486"/>
      <c r="G1279" s="3486"/>
      <c r="H1279" s="3486"/>
      <c r="I1279" s="3486"/>
      <c r="J1279" s="3486"/>
      <c r="K1279" s="3486"/>
      <c r="L1279" s="3486"/>
      <c r="M1279" s="3486"/>
      <c r="N1279" s="3486"/>
      <c r="O1279" s="3486"/>
      <c r="P1279" s="3486"/>
      <c r="Q1279" s="3486"/>
      <c r="R1279" s="3486"/>
      <c r="S1279" s="3486"/>
      <c r="T1279" s="3486"/>
      <c r="U1279" s="3486"/>
      <c r="V1279" s="3486"/>
      <c r="W1279" s="3486"/>
      <c r="X1279" s="3486"/>
      <c r="Y1279" s="3943"/>
    </row>
    <row r="1280" spans="1:25" s="3492" customFormat="1">
      <c r="A1280" s="3485"/>
      <c r="B1280" s="3486"/>
      <c r="C1280" s="3486"/>
      <c r="D1280" s="3486"/>
      <c r="E1280" s="3486"/>
      <c r="F1280" s="3486"/>
      <c r="G1280" s="3486"/>
      <c r="H1280" s="3486"/>
      <c r="I1280" s="3486"/>
      <c r="J1280" s="3486"/>
      <c r="K1280" s="3486"/>
      <c r="L1280" s="3486"/>
      <c r="M1280" s="3486"/>
      <c r="N1280" s="3486"/>
      <c r="O1280" s="3486"/>
      <c r="P1280" s="3486"/>
      <c r="Q1280" s="3486"/>
      <c r="R1280" s="3486"/>
      <c r="S1280" s="3486"/>
      <c r="T1280" s="3486"/>
      <c r="U1280" s="3486"/>
      <c r="V1280" s="3486"/>
      <c r="W1280" s="3486"/>
      <c r="X1280" s="3486"/>
      <c r="Y1280" s="3943"/>
    </row>
    <row r="1281" spans="1:25" s="3492" customFormat="1">
      <c r="A1281" s="3485"/>
      <c r="B1281" s="3486"/>
      <c r="C1281" s="3486"/>
      <c r="D1281" s="3486"/>
      <c r="E1281" s="3486"/>
      <c r="F1281" s="3486"/>
      <c r="G1281" s="3486"/>
      <c r="H1281" s="3486"/>
      <c r="I1281" s="3486"/>
      <c r="J1281" s="3486"/>
      <c r="K1281" s="3486"/>
      <c r="L1281" s="3486"/>
      <c r="M1281" s="3486"/>
      <c r="N1281" s="3486"/>
      <c r="O1281" s="3486"/>
      <c r="P1281" s="3486"/>
      <c r="Q1281" s="3486"/>
      <c r="R1281" s="3486"/>
      <c r="S1281" s="3486"/>
      <c r="T1281" s="3486"/>
      <c r="U1281" s="3486"/>
      <c r="V1281" s="3486"/>
      <c r="W1281" s="3486"/>
      <c r="X1281" s="3486"/>
      <c r="Y1281" s="3943"/>
    </row>
    <row r="1282" spans="1:25" s="3492" customFormat="1">
      <c r="A1282" s="3485"/>
      <c r="B1282" s="3486"/>
      <c r="C1282" s="3486"/>
      <c r="D1282" s="3486"/>
      <c r="E1282" s="3486"/>
      <c r="F1282" s="3486"/>
      <c r="G1282" s="3486"/>
      <c r="H1282" s="3486"/>
      <c r="I1282" s="3486"/>
      <c r="J1282" s="3486"/>
      <c r="K1282" s="3486"/>
      <c r="L1282" s="3486"/>
      <c r="M1282" s="3486"/>
      <c r="N1282" s="3486"/>
      <c r="O1282" s="3486"/>
      <c r="P1282" s="3486"/>
      <c r="Q1282" s="3486"/>
      <c r="R1282" s="3486"/>
      <c r="S1282" s="3486"/>
      <c r="T1282" s="3486"/>
      <c r="U1282" s="3486"/>
      <c r="V1282" s="3486"/>
      <c r="W1282" s="3486"/>
      <c r="X1282" s="3486"/>
      <c r="Y1282" s="3943"/>
    </row>
    <row r="1283" spans="1:25" s="3492" customFormat="1">
      <c r="A1283" s="3485"/>
      <c r="B1283" s="3486"/>
      <c r="C1283" s="3486"/>
      <c r="D1283" s="3486"/>
      <c r="E1283" s="3486"/>
      <c r="F1283" s="3486"/>
      <c r="G1283" s="3486"/>
      <c r="H1283" s="3486"/>
      <c r="I1283" s="3486"/>
      <c r="J1283" s="3486"/>
      <c r="K1283" s="3486"/>
      <c r="L1283" s="3486"/>
      <c r="M1283" s="3486"/>
      <c r="N1283" s="3486"/>
      <c r="O1283" s="3486"/>
      <c r="P1283" s="3486"/>
      <c r="Q1283" s="3486"/>
      <c r="R1283" s="3486"/>
      <c r="S1283" s="3486"/>
      <c r="T1283" s="3486"/>
      <c r="U1283" s="3486"/>
      <c r="V1283" s="3486"/>
      <c r="W1283" s="3486"/>
      <c r="X1283" s="3486"/>
      <c r="Y1283" s="3943"/>
    </row>
    <row r="1284" spans="1:25" s="3492" customFormat="1">
      <c r="A1284" s="3485"/>
      <c r="B1284" s="3486"/>
      <c r="C1284" s="3486"/>
      <c r="D1284" s="3486"/>
      <c r="E1284" s="3486"/>
      <c r="F1284" s="3486"/>
      <c r="G1284" s="3486"/>
      <c r="H1284" s="3486"/>
      <c r="I1284" s="3486"/>
      <c r="J1284" s="3486"/>
      <c r="K1284" s="3486"/>
      <c r="L1284" s="3486"/>
      <c r="M1284" s="3486"/>
      <c r="N1284" s="3486"/>
      <c r="O1284" s="3486"/>
      <c r="P1284" s="3486"/>
      <c r="Q1284" s="3486"/>
      <c r="R1284" s="3486"/>
      <c r="S1284" s="3486"/>
      <c r="T1284" s="3486"/>
      <c r="U1284" s="3486"/>
      <c r="V1284" s="3486"/>
      <c r="W1284" s="3486"/>
      <c r="X1284" s="3486"/>
      <c r="Y1284" s="3943"/>
    </row>
    <row r="1285" spans="1:25" s="3492" customFormat="1">
      <c r="A1285" s="3485"/>
      <c r="B1285" s="3486"/>
      <c r="C1285" s="3486"/>
      <c r="D1285" s="3486"/>
      <c r="E1285" s="3486"/>
      <c r="F1285" s="3486"/>
      <c r="G1285" s="3486"/>
      <c r="H1285" s="3486"/>
      <c r="I1285" s="3486"/>
      <c r="J1285" s="3486"/>
      <c r="K1285" s="3486"/>
      <c r="L1285" s="3486"/>
      <c r="M1285" s="3486"/>
      <c r="N1285" s="3486"/>
      <c r="O1285" s="3486"/>
      <c r="P1285" s="3486"/>
      <c r="Q1285" s="3486"/>
      <c r="R1285" s="3486"/>
      <c r="S1285" s="3486"/>
      <c r="T1285" s="3486"/>
      <c r="U1285" s="3486"/>
      <c r="V1285" s="3486"/>
      <c r="W1285" s="3486"/>
      <c r="X1285" s="3486"/>
      <c r="Y1285" s="3943"/>
    </row>
    <row r="1286" spans="1:25" s="3492" customFormat="1">
      <c r="A1286" s="3485"/>
      <c r="B1286" s="3486"/>
      <c r="C1286" s="3486"/>
      <c r="D1286" s="3486"/>
      <c r="E1286" s="3486"/>
      <c r="F1286" s="3486"/>
      <c r="G1286" s="3486"/>
      <c r="H1286" s="3486"/>
      <c r="I1286" s="3486"/>
      <c r="J1286" s="3486"/>
      <c r="K1286" s="3486"/>
      <c r="L1286" s="3486"/>
      <c r="M1286" s="3486"/>
      <c r="N1286" s="3486"/>
      <c r="O1286" s="3486"/>
      <c r="P1286" s="3486"/>
      <c r="Q1286" s="3486"/>
      <c r="R1286" s="3486"/>
      <c r="S1286" s="3486"/>
      <c r="T1286" s="3486"/>
      <c r="U1286" s="3486"/>
      <c r="V1286" s="3486"/>
      <c r="W1286" s="3486"/>
      <c r="X1286" s="3486"/>
      <c r="Y1286" s="3943"/>
    </row>
    <row r="1287" spans="1:25" s="3492" customFormat="1">
      <c r="A1287" s="3485"/>
      <c r="B1287" s="3486"/>
      <c r="C1287" s="3486"/>
      <c r="D1287" s="3486"/>
      <c r="E1287" s="3486"/>
      <c r="F1287" s="3486"/>
      <c r="G1287" s="3486"/>
      <c r="H1287" s="3486"/>
      <c r="I1287" s="3486"/>
      <c r="J1287" s="3486"/>
      <c r="K1287" s="3486"/>
      <c r="L1287" s="3486"/>
      <c r="M1287" s="3486"/>
      <c r="N1287" s="3486"/>
      <c r="O1287" s="3486"/>
      <c r="P1287" s="3486"/>
      <c r="Q1287" s="3486"/>
      <c r="R1287" s="3486"/>
      <c r="S1287" s="3486"/>
      <c r="T1287" s="3486"/>
      <c r="U1287" s="3486"/>
      <c r="V1287" s="3486"/>
      <c r="W1287" s="3486"/>
      <c r="X1287" s="3486"/>
      <c r="Y1287" s="3943"/>
    </row>
    <row r="1288" spans="1:25" s="3492" customFormat="1">
      <c r="A1288" s="3485"/>
      <c r="B1288" s="3486"/>
      <c r="C1288" s="3486"/>
      <c r="D1288" s="3486"/>
      <c r="E1288" s="3486"/>
      <c r="F1288" s="3486"/>
      <c r="G1288" s="3486"/>
      <c r="H1288" s="3486"/>
      <c r="I1288" s="3486"/>
      <c r="J1288" s="3486"/>
      <c r="K1288" s="3486"/>
      <c r="L1288" s="3486"/>
      <c r="M1288" s="3486"/>
      <c r="N1288" s="3486"/>
      <c r="O1288" s="3486"/>
      <c r="P1288" s="3486"/>
      <c r="Q1288" s="3486"/>
      <c r="R1288" s="3486"/>
      <c r="S1288" s="3486"/>
      <c r="T1288" s="3486"/>
      <c r="U1288" s="3486"/>
      <c r="V1288" s="3486"/>
      <c r="W1288" s="3486"/>
      <c r="X1288" s="3486"/>
      <c r="Y1288" s="3943"/>
    </row>
    <row r="1289" spans="1:25" s="3492" customFormat="1">
      <c r="A1289" s="3485"/>
      <c r="B1289" s="3486"/>
      <c r="C1289" s="3486"/>
      <c r="D1289" s="3486"/>
      <c r="E1289" s="3486"/>
      <c r="F1289" s="3486"/>
      <c r="G1289" s="3486"/>
      <c r="H1289" s="3486"/>
      <c r="I1289" s="3486"/>
      <c r="J1289" s="3486"/>
      <c r="K1289" s="3486"/>
      <c r="L1289" s="3486"/>
      <c r="M1289" s="3486"/>
      <c r="N1289" s="3486"/>
      <c r="O1289" s="3486"/>
      <c r="P1289" s="3486"/>
      <c r="Q1289" s="3486"/>
      <c r="R1289" s="3486"/>
      <c r="S1289" s="3486"/>
      <c r="T1289" s="3486"/>
      <c r="U1289" s="3486"/>
      <c r="V1289" s="3486"/>
      <c r="W1289" s="3486"/>
      <c r="X1289" s="3486"/>
      <c r="Y1289" s="3943"/>
    </row>
    <row r="1290" spans="1:25" s="3492" customFormat="1">
      <c r="A1290" s="3485"/>
      <c r="B1290" s="3486"/>
      <c r="C1290" s="3486"/>
      <c r="D1290" s="3486"/>
      <c r="E1290" s="3486"/>
      <c r="F1290" s="3486"/>
      <c r="G1290" s="3486"/>
      <c r="H1290" s="3486"/>
      <c r="I1290" s="3486"/>
      <c r="J1290" s="3486"/>
      <c r="K1290" s="3486"/>
      <c r="L1290" s="3486"/>
      <c r="M1290" s="3486"/>
      <c r="N1290" s="3486"/>
      <c r="O1290" s="3486"/>
      <c r="P1290" s="3486"/>
      <c r="Q1290" s="3486"/>
      <c r="R1290" s="3486"/>
      <c r="S1290" s="3486"/>
      <c r="T1290" s="3486"/>
      <c r="U1290" s="3486"/>
      <c r="V1290" s="3486"/>
      <c r="W1290" s="3486"/>
      <c r="X1290" s="3486"/>
      <c r="Y1290" s="3943"/>
    </row>
    <row r="1291" spans="1:25" s="3492" customFormat="1">
      <c r="A1291" s="3485"/>
      <c r="B1291" s="3486"/>
      <c r="C1291" s="3486"/>
      <c r="D1291" s="3486"/>
      <c r="E1291" s="3486"/>
      <c r="F1291" s="3486"/>
      <c r="G1291" s="3486"/>
      <c r="H1291" s="3486"/>
      <c r="I1291" s="3486"/>
      <c r="J1291" s="3486"/>
      <c r="K1291" s="3486"/>
      <c r="L1291" s="3486"/>
      <c r="M1291" s="3486"/>
      <c r="N1291" s="3486"/>
      <c r="O1291" s="3486"/>
      <c r="P1291" s="3486"/>
      <c r="Q1291" s="3486"/>
      <c r="R1291" s="3486"/>
      <c r="S1291" s="3486"/>
      <c r="T1291" s="3486"/>
      <c r="U1291" s="3486"/>
      <c r="V1291" s="3486"/>
      <c r="W1291" s="3486"/>
      <c r="X1291" s="3486"/>
      <c r="Y1291" s="3943"/>
    </row>
    <row r="1292" spans="1:25" s="3492" customFormat="1">
      <c r="A1292" s="3485"/>
      <c r="B1292" s="3486"/>
      <c r="C1292" s="3486"/>
      <c r="D1292" s="3486"/>
      <c r="E1292" s="3486"/>
      <c r="F1292" s="3486"/>
      <c r="G1292" s="3486"/>
      <c r="H1292" s="3486"/>
      <c r="I1292" s="3486"/>
      <c r="J1292" s="3486"/>
      <c r="K1292" s="3486"/>
      <c r="L1292" s="3486"/>
      <c r="M1292" s="3486"/>
      <c r="N1292" s="3486"/>
      <c r="O1292" s="3486"/>
      <c r="P1292" s="3486"/>
      <c r="Q1292" s="3486"/>
      <c r="R1292" s="3486"/>
      <c r="S1292" s="3486"/>
      <c r="T1292" s="3486"/>
      <c r="U1292" s="3486"/>
      <c r="V1292" s="3486"/>
      <c r="W1292" s="3486"/>
      <c r="X1292" s="3486"/>
      <c r="Y1292" s="3943"/>
    </row>
    <row r="1293" spans="1:25" s="3492" customFormat="1">
      <c r="A1293" s="3485"/>
      <c r="B1293" s="3486"/>
      <c r="C1293" s="3486"/>
      <c r="D1293" s="3486"/>
      <c r="E1293" s="3486"/>
      <c r="F1293" s="3486"/>
      <c r="G1293" s="3486"/>
      <c r="H1293" s="3486"/>
      <c r="I1293" s="3486"/>
      <c r="J1293" s="3486"/>
      <c r="K1293" s="3486"/>
      <c r="L1293" s="3486"/>
      <c r="M1293" s="3486"/>
      <c r="N1293" s="3486"/>
      <c r="O1293" s="3486"/>
      <c r="P1293" s="3486"/>
      <c r="Q1293" s="3486"/>
      <c r="R1293" s="3486"/>
      <c r="S1293" s="3486"/>
      <c r="T1293" s="3486"/>
      <c r="U1293" s="3486"/>
      <c r="V1293" s="3486"/>
      <c r="W1293" s="3486"/>
      <c r="X1293" s="3486"/>
      <c r="Y1293" s="3943"/>
    </row>
    <row r="1294" spans="1:25" s="3492" customFormat="1">
      <c r="A1294" s="3485"/>
      <c r="B1294" s="3486"/>
      <c r="C1294" s="3486"/>
      <c r="D1294" s="3486"/>
      <c r="E1294" s="3486"/>
      <c r="F1294" s="3486"/>
      <c r="G1294" s="3486"/>
      <c r="H1294" s="3486"/>
      <c r="I1294" s="3486"/>
      <c r="J1294" s="3486"/>
      <c r="K1294" s="3486"/>
      <c r="L1294" s="3486"/>
      <c r="M1294" s="3486"/>
      <c r="N1294" s="3486"/>
      <c r="O1294" s="3486"/>
      <c r="P1294" s="3486"/>
      <c r="Q1294" s="3486"/>
      <c r="R1294" s="3486"/>
      <c r="S1294" s="3486"/>
      <c r="T1294" s="3486"/>
      <c r="U1294" s="3486"/>
      <c r="V1294" s="3486"/>
      <c r="W1294" s="3486"/>
      <c r="X1294" s="3486"/>
      <c r="Y1294" s="3943"/>
    </row>
    <row r="1295" spans="1:25" s="3492" customFormat="1">
      <c r="A1295" s="3485"/>
      <c r="B1295" s="3486"/>
      <c r="C1295" s="3486"/>
      <c r="D1295" s="3486"/>
      <c r="E1295" s="3486"/>
      <c r="F1295" s="3486"/>
      <c r="G1295" s="3486"/>
      <c r="H1295" s="3486"/>
      <c r="I1295" s="3486"/>
      <c r="J1295" s="3486"/>
      <c r="K1295" s="3486"/>
      <c r="L1295" s="3486"/>
      <c r="M1295" s="3486"/>
      <c r="N1295" s="3486"/>
      <c r="O1295" s="3486"/>
      <c r="P1295" s="3486"/>
      <c r="Q1295" s="3486"/>
      <c r="R1295" s="3486"/>
      <c r="S1295" s="3486"/>
      <c r="T1295" s="3486"/>
      <c r="U1295" s="3486"/>
      <c r="V1295" s="3486"/>
      <c r="W1295" s="3486"/>
      <c r="X1295" s="3486"/>
      <c r="Y1295" s="3943"/>
    </row>
    <row r="1296" spans="1:25" s="3492" customFormat="1">
      <c r="A1296" s="3485"/>
      <c r="B1296" s="3486"/>
      <c r="C1296" s="3486"/>
      <c r="D1296" s="3486"/>
      <c r="E1296" s="3486"/>
      <c r="F1296" s="3486"/>
      <c r="G1296" s="3486"/>
      <c r="H1296" s="3486"/>
      <c r="I1296" s="3486"/>
      <c r="J1296" s="3486"/>
      <c r="K1296" s="3486"/>
      <c r="L1296" s="3486"/>
      <c r="M1296" s="3486"/>
      <c r="N1296" s="3486"/>
      <c r="O1296" s="3486"/>
      <c r="P1296" s="3486"/>
      <c r="Q1296" s="3486"/>
      <c r="R1296" s="3486"/>
      <c r="S1296" s="3486"/>
      <c r="T1296" s="3486"/>
      <c r="U1296" s="3486"/>
      <c r="V1296" s="3486"/>
      <c r="W1296" s="3486"/>
      <c r="X1296" s="3486"/>
      <c r="Y1296" s="3943"/>
    </row>
    <row r="1297" spans="1:25" s="3492" customFormat="1">
      <c r="A1297" s="3485"/>
      <c r="B1297" s="3486"/>
      <c r="C1297" s="3486"/>
      <c r="D1297" s="3486"/>
      <c r="E1297" s="3486"/>
      <c r="F1297" s="3486"/>
      <c r="G1297" s="3486"/>
      <c r="H1297" s="3486"/>
      <c r="I1297" s="3486"/>
      <c r="J1297" s="3486"/>
      <c r="K1297" s="3486"/>
      <c r="L1297" s="3486"/>
      <c r="M1297" s="3486"/>
      <c r="N1297" s="3486"/>
      <c r="O1297" s="3486"/>
      <c r="P1297" s="3486"/>
      <c r="Q1297" s="3486"/>
      <c r="R1297" s="3486"/>
      <c r="S1297" s="3486"/>
      <c r="T1297" s="3486"/>
      <c r="U1297" s="3486"/>
      <c r="V1297" s="3486"/>
      <c r="W1297" s="3486"/>
      <c r="X1297" s="3486"/>
      <c r="Y1297" s="3943"/>
    </row>
    <row r="1298" spans="1:25" s="3492" customFormat="1">
      <c r="A1298" s="3485"/>
      <c r="B1298" s="3486"/>
      <c r="C1298" s="3486"/>
      <c r="D1298" s="3486"/>
      <c r="E1298" s="3486"/>
      <c r="F1298" s="3486"/>
      <c r="G1298" s="3486"/>
      <c r="H1298" s="3486"/>
      <c r="I1298" s="3486"/>
      <c r="J1298" s="3486"/>
      <c r="K1298" s="3486"/>
      <c r="L1298" s="3486"/>
      <c r="M1298" s="3486"/>
      <c r="N1298" s="3486"/>
      <c r="O1298" s="3486"/>
      <c r="P1298" s="3486"/>
      <c r="Q1298" s="3486"/>
      <c r="R1298" s="3486"/>
      <c r="S1298" s="3486"/>
      <c r="T1298" s="3486"/>
      <c r="U1298" s="3486"/>
      <c r="V1298" s="3486"/>
      <c r="W1298" s="3486"/>
      <c r="X1298" s="3486"/>
      <c r="Y1298" s="3943"/>
    </row>
    <row r="1299" spans="1:25" s="3492" customFormat="1">
      <c r="A1299" s="3485"/>
      <c r="B1299" s="3486"/>
      <c r="C1299" s="3486"/>
      <c r="D1299" s="3486"/>
      <c r="E1299" s="3486"/>
      <c r="F1299" s="3486"/>
      <c r="G1299" s="3486"/>
      <c r="H1299" s="3486"/>
      <c r="I1299" s="3486"/>
      <c r="J1299" s="3486"/>
      <c r="K1299" s="3486"/>
      <c r="L1299" s="3486"/>
      <c r="M1299" s="3486"/>
      <c r="N1299" s="3486"/>
      <c r="O1299" s="3486"/>
      <c r="P1299" s="3486"/>
      <c r="Q1299" s="3486"/>
      <c r="R1299" s="3486"/>
      <c r="S1299" s="3486"/>
      <c r="T1299" s="3486"/>
      <c r="U1299" s="3486"/>
      <c r="V1299" s="3486"/>
      <c r="W1299" s="3486"/>
      <c r="X1299" s="3486"/>
      <c r="Y1299" s="3943"/>
    </row>
    <row r="1300" spans="1:25" s="3492" customFormat="1">
      <c r="A1300" s="3485"/>
      <c r="B1300" s="3486"/>
      <c r="C1300" s="3486"/>
      <c r="D1300" s="3486"/>
      <c r="E1300" s="3486"/>
      <c r="F1300" s="3486"/>
      <c r="G1300" s="3486"/>
      <c r="H1300" s="3486"/>
      <c r="I1300" s="3486"/>
      <c r="J1300" s="3486"/>
      <c r="K1300" s="3486"/>
      <c r="L1300" s="3486"/>
      <c r="M1300" s="3486"/>
      <c r="N1300" s="3486"/>
      <c r="O1300" s="3486"/>
      <c r="P1300" s="3486"/>
      <c r="Q1300" s="3486"/>
      <c r="R1300" s="3486"/>
      <c r="S1300" s="3486"/>
      <c r="T1300" s="3486"/>
      <c r="U1300" s="3486"/>
      <c r="V1300" s="3486"/>
      <c r="W1300" s="3486"/>
      <c r="X1300" s="3486"/>
      <c r="Y1300" s="3943"/>
    </row>
    <row r="1301" spans="1:25" s="3492" customFormat="1">
      <c r="A1301" s="3485"/>
      <c r="B1301" s="3486"/>
      <c r="C1301" s="3486"/>
      <c r="D1301" s="3486"/>
      <c r="E1301" s="3486"/>
      <c r="F1301" s="3486"/>
      <c r="G1301" s="3486"/>
      <c r="H1301" s="3486"/>
      <c r="I1301" s="3486"/>
      <c r="J1301" s="3486"/>
      <c r="K1301" s="3486"/>
      <c r="L1301" s="3486"/>
      <c r="M1301" s="3486"/>
      <c r="N1301" s="3486"/>
      <c r="O1301" s="3486"/>
      <c r="P1301" s="3486"/>
      <c r="Q1301" s="3486"/>
      <c r="R1301" s="3486"/>
      <c r="S1301" s="3486"/>
      <c r="T1301" s="3486"/>
      <c r="U1301" s="3486"/>
      <c r="V1301" s="3486"/>
      <c r="W1301" s="3486"/>
      <c r="X1301" s="3486"/>
      <c r="Y1301" s="3943"/>
    </row>
    <row r="1302" spans="1:25" s="3492" customFormat="1">
      <c r="A1302" s="3485"/>
      <c r="B1302" s="3486"/>
      <c r="C1302" s="3486"/>
      <c r="D1302" s="3486"/>
      <c r="E1302" s="3486"/>
      <c r="F1302" s="3486"/>
      <c r="G1302" s="3486"/>
      <c r="H1302" s="3486"/>
      <c r="I1302" s="3486"/>
      <c r="J1302" s="3486"/>
      <c r="K1302" s="3486"/>
      <c r="L1302" s="3486"/>
      <c r="M1302" s="3486"/>
      <c r="N1302" s="3486"/>
      <c r="O1302" s="3486"/>
      <c r="P1302" s="3486"/>
      <c r="Q1302" s="3486"/>
      <c r="R1302" s="3486"/>
      <c r="S1302" s="3486"/>
      <c r="T1302" s="3486"/>
      <c r="U1302" s="3486"/>
      <c r="V1302" s="3486"/>
      <c r="W1302" s="3486"/>
      <c r="X1302" s="3486"/>
      <c r="Y1302" s="3943"/>
    </row>
    <row r="1303" spans="1:25" s="3492" customFormat="1">
      <c r="A1303" s="3485"/>
      <c r="B1303" s="3486"/>
      <c r="C1303" s="3486"/>
      <c r="D1303" s="3486"/>
      <c r="E1303" s="3486"/>
      <c r="F1303" s="3486"/>
      <c r="G1303" s="3486"/>
      <c r="H1303" s="3486"/>
      <c r="I1303" s="3486"/>
      <c r="J1303" s="3486"/>
      <c r="K1303" s="3486"/>
      <c r="L1303" s="3486"/>
      <c r="M1303" s="3486"/>
      <c r="N1303" s="3486"/>
      <c r="O1303" s="3486"/>
      <c r="P1303" s="3486"/>
      <c r="Q1303" s="3486"/>
      <c r="R1303" s="3486"/>
      <c r="S1303" s="3486"/>
      <c r="T1303" s="3486"/>
      <c r="U1303" s="3486"/>
      <c r="V1303" s="3486"/>
      <c r="W1303" s="3486"/>
      <c r="X1303" s="3486"/>
      <c r="Y1303" s="3943"/>
    </row>
    <row r="1304" spans="1:25" s="3492" customFormat="1">
      <c r="A1304" s="3485"/>
      <c r="B1304" s="3486"/>
      <c r="C1304" s="3486"/>
      <c r="D1304" s="3486"/>
      <c r="E1304" s="3486"/>
      <c r="F1304" s="3486"/>
      <c r="G1304" s="3486"/>
      <c r="H1304" s="3486"/>
      <c r="I1304" s="3486"/>
      <c r="J1304" s="3486"/>
      <c r="K1304" s="3486"/>
      <c r="L1304" s="3486"/>
      <c r="M1304" s="3486"/>
      <c r="N1304" s="3486"/>
      <c r="O1304" s="3486"/>
      <c r="P1304" s="3486"/>
      <c r="Q1304" s="3486"/>
      <c r="R1304" s="3486"/>
      <c r="S1304" s="3486"/>
      <c r="T1304" s="3486"/>
      <c r="U1304" s="3486"/>
      <c r="V1304" s="3486"/>
      <c r="W1304" s="3486"/>
      <c r="X1304" s="3486"/>
      <c r="Y1304" s="3943"/>
    </row>
    <row r="1305" spans="1:25" s="3492" customFormat="1">
      <c r="A1305" s="3485"/>
      <c r="B1305" s="3486"/>
      <c r="C1305" s="3486"/>
      <c r="D1305" s="3486"/>
      <c r="E1305" s="3486"/>
      <c r="F1305" s="3486"/>
      <c r="G1305" s="3486"/>
      <c r="H1305" s="3486"/>
      <c r="I1305" s="3486"/>
      <c r="J1305" s="3486"/>
      <c r="K1305" s="3486"/>
      <c r="L1305" s="3486"/>
      <c r="M1305" s="3486"/>
      <c r="N1305" s="3486"/>
      <c r="O1305" s="3486"/>
      <c r="P1305" s="3486"/>
      <c r="Q1305" s="3486"/>
      <c r="R1305" s="3486"/>
      <c r="S1305" s="3486"/>
      <c r="T1305" s="3486"/>
      <c r="U1305" s="3486"/>
      <c r="V1305" s="3486"/>
      <c r="W1305" s="3486"/>
      <c r="X1305" s="3486"/>
      <c r="Y1305" s="3943"/>
    </row>
    <row r="1306" spans="1:25" s="3492" customFormat="1">
      <c r="A1306" s="3485"/>
      <c r="B1306" s="3486"/>
      <c r="C1306" s="3486"/>
      <c r="D1306" s="3486"/>
      <c r="E1306" s="3486"/>
      <c r="F1306" s="3486"/>
      <c r="G1306" s="3486"/>
      <c r="H1306" s="3486"/>
      <c r="I1306" s="3486"/>
      <c r="J1306" s="3486"/>
      <c r="K1306" s="3486"/>
      <c r="L1306" s="3486"/>
      <c r="M1306" s="3486"/>
      <c r="N1306" s="3486"/>
      <c r="O1306" s="3486"/>
      <c r="P1306" s="3486"/>
      <c r="Q1306" s="3486"/>
      <c r="R1306" s="3486"/>
      <c r="S1306" s="3486"/>
      <c r="T1306" s="3486"/>
      <c r="U1306" s="3486"/>
      <c r="V1306" s="3486"/>
      <c r="W1306" s="3486"/>
      <c r="X1306" s="3486"/>
      <c r="Y1306" s="3943"/>
    </row>
    <row r="1307" spans="1:25" s="3492" customFormat="1">
      <c r="A1307" s="3485"/>
      <c r="B1307" s="3486"/>
      <c r="C1307" s="3486"/>
      <c r="D1307" s="3486"/>
      <c r="E1307" s="3486"/>
      <c r="F1307" s="3486"/>
      <c r="G1307" s="3486"/>
      <c r="H1307" s="3486"/>
      <c r="I1307" s="3486"/>
      <c r="J1307" s="3486"/>
      <c r="K1307" s="3486"/>
      <c r="L1307" s="3486"/>
      <c r="M1307" s="3486"/>
      <c r="N1307" s="3486"/>
      <c r="O1307" s="3486"/>
      <c r="P1307" s="3486"/>
      <c r="Q1307" s="3486"/>
      <c r="R1307" s="3486"/>
      <c r="S1307" s="3486"/>
      <c r="T1307" s="3486"/>
      <c r="U1307" s="3486"/>
      <c r="V1307" s="3486"/>
      <c r="W1307" s="3486"/>
      <c r="X1307" s="3486"/>
      <c r="Y1307" s="3943"/>
    </row>
    <row r="1308" spans="1:25" s="3492" customFormat="1">
      <c r="A1308" s="3485"/>
      <c r="B1308" s="3486"/>
      <c r="C1308" s="3486"/>
      <c r="D1308" s="3486"/>
      <c r="E1308" s="3486"/>
      <c r="F1308" s="3486"/>
      <c r="G1308" s="3486"/>
      <c r="H1308" s="3486"/>
      <c r="I1308" s="3486"/>
      <c r="J1308" s="3486"/>
      <c r="K1308" s="3486"/>
      <c r="L1308" s="3486"/>
      <c r="M1308" s="3486"/>
      <c r="N1308" s="3486"/>
      <c r="O1308" s="3486"/>
      <c r="P1308" s="3486"/>
      <c r="Q1308" s="3486"/>
      <c r="R1308" s="3486"/>
      <c r="S1308" s="3486"/>
      <c r="T1308" s="3486"/>
      <c r="U1308" s="3486"/>
      <c r="V1308" s="3486"/>
      <c r="W1308" s="3486"/>
      <c r="X1308" s="3486"/>
      <c r="Y1308" s="3943"/>
    </row>
    <row r="1309" spans="1:25" s="3492" customFormat="1">
      <c r="A1309" s="3485"/>
      <c r="B1309" s="3486"/>
      <c r="C1309" s="3486"/>
      <c r="D1309" s="3486"/>
      <c r="E1309" s="3486"/>
      <c r="F1309" s="3486"/>
      <c r="G1309" s="3486"/>
      <c r="H1309" s="3486"/>
      <c r="I1309" s="3486"/>
      <c r="J1309" s="3486"/>
      <c r="K1309" s="3486"/>
      <c r="L1309" s="3486"/>
      <c r="M1309" s="3486"/>
      <c r="N1309" s="3486"/>
      <c r="O1309" s="3486"/>
      <c r="P1309" s="3486"/>
      <c r="Q1309" s="3486"/>
      <c r="R1309" s="3486"/>
      <c r="S1309" s="3486"/>
      <c r="T1309" s="3486"/>
      <c r="U1309" s="3486"/>
      <c r="V1309" s="3486"/>
      <c r="W1309" s="3486"/>
      <c r="X1309" s="3486"/>
      <c r="Y1309" s="3943"/>
    </row>
    <row r="1310" spans="1:25" s="3492" customFormat="1">
      <c r="A1310" s="3485"/>
      <c r="B1310" s="3486"/>
      <c r="C1310" s="3486"/>
      <c r="D1310" s="3486"/>
      <c r="E1310" s="3486"/>
      <c r="F1310" s="3486"/>
      <c r="G1310" s="3486"/>
      <c r="H1310" s="3486"/>
      <c r="I1310" s="3486"/>
      <c r="J1310" s="3486"/>
      <c r="K1310" s="3486"/>
      <c r="L1310" s="3486"/>
      <c r="M1310" s="3486"/>
      <c r="N1310" s="3486"/>
      <c r="O1310" s="3486"/>
      <c r="P1310" s="3486"/>
      <c r="Q1310" s="3486"/>
      <c r="R1310" s="3486"/>
      <c r="S1310" s="3486"/>
      <c r="T1310" s="3486"/>
      <c r="U1310" s="3486"/>
      <c r="V1310" s="3486"/>
      <c r="W1310" s="3486"/>
      <c r="X1310" s="3486"/>
      <c r="Y1310" s="3943"/>
    </row>
    <row r="1311" spans="1:25" s="3492" customFormat="1">
      <c r="A1311" s="3485"/>
      <c r="B1311" s="3486"/>
      <c r="C1311" s="3486"/>
      <c r="D1311" s="3486"/>
      <c r="E1311" s="3486"/>
      <c r="F1311" s="3486"/>
      <c r="G1311" s="3486"/>
      <c r="H1311" s="3486"/>
      <c r="I1311" s="3486"/>
      <c r="J1311" s="3486"/>
      <c r="K1311" s="3486"/>
      <c r="L1311" s="3486"/>
      <c r="M1311" s="3486"/>
      <c r="N1311" s="3486"/>
      <c r="O1311" s="3486"/>
      <c r="P1311" s="3486"/>
      <c r="Q1311" s="3486"/>
      <c r="R1311" s="3486"/>
      <c r="S1311" s="3486"/>
      <c r="T1311" s="3486"/>
      <c r="U1311" s="3486"/>
      <c r="V1311" s="3486"/>
      <c r="W1311" s="3486"/>
      <c r="X1311" s="3486"/>
      <c r="Y1311" s="3943"/>
    </row>
    <row r="1312" spans="1:25" s="3492" customFormat="1">
      <c r="A1312" s="3485"/>
      <c r="B1312" s="3486"/>
      <c r="C1312" s="3486"/>
      <c r="D1312" s="3486"/>
      <c r="E1312" s="3486"/>
      <c r="F1312" s="3486"/>
      <c r="G1312" s="3486"/>
      <c r="H1312" s="3486"/>
      <c r="I1312" s="3486"/>
      <c r="J1312" s="3486"/>
      <c r="K1312" s="3486"/>
      <c r="L1312" s="3486"/>
      <c r="M1312" s="3486"/>
      <c r="N1312" s="3486"/>
      <c r="O1312" s="3486"/>
      <c r="P1312" s="3486"/>
      <c r="Q1312" s="3486"/>
      <c r="R1312" s="3486"/>
      <c r="S1312" s="3486"/>
      <c r="T1312" s="3486"/>
      <c r="U1312" s="3486"/>
      <c r="V1312" s="3486"/>
      <c r="W1312" s="3486"/>
      <c r="X1312" s="3486"/>
      <c r="Y1312" s="3943"/>
    </row>
    <row r="1313" spans="1:25" s="3492" customFormat="1">
      <c r="A1313" s="3485"/>
      <c r="B1313" s="3486"/>
      <c r="C1313" s="3486"/>
      <c r="D1313" s="3486"/>
      <c r="E1313" s="3486"/>
      <c r="F1313" s="3486"/>
      <c r="G1313" s="3486"/>
      <c r="H1313" s="3486"/>
      <c r="I1313" s="3486"/>
      <c r="J1313" s="3486"/>
      <c r="K1313" s="3486"/>
      <c r="L1313" s="3486"/>
      <c r="M1313" s="3486"/>
      <c r="N1313" s="3486"/>
      <c r="O1313" s="3486"/>
      <c r="P1313" s="3486"/>
      <c r="Q1313" s="3486"/>
      <c r="R1313" s="3486"/>
      <c r="S1313" s="3486"/>
      <c r="T1313" s="3486"/>
      <c r="U1313" s="3486"/>
      <c r="V1313" s="3486"/>
      <c r="W1313" s="3486"/>
      <c r="X1313" s="3486"/>
      <c r="Y1313" s="3943"/>
    </row>
    <row r="1314" spans="1:25" s="3492" customFormat="1">
      <c r="A1314" s="3485"/>
      <c r="B1314" s="3486"/>
      <c r="C1314" s="3486"/>
      <c r="D1314" s="3486"/>
      <c r="E1314" s="3486"/>
      <c r="F1314" s="3486"/>
      <c r="G1314" s="3486"/>
      <c r="H1314" s="3486"/>
      <c r="I1314" s="3486"/>
      <c r="J1314" s="3486"/>
      <c r="K1314" s="3486"/>
      <c r="L1314" s="3486"/>
      <c r="M1314" s="3486"/>
      <c r="N1314" s="3486"/>
      <c r="O1314" s="3486"/>
      <c r="P1314" s="3486"/>
      <c r="Q1314" s="3486"/>
      <c r="R1314" s="3486"/>
      <c r="S1314" s="3486"/>
      <c r="T1314" s="3486"/>
      <c r="U1314" s="3486"/>
      <c r="V1314" s="3486"/>
      <c r="W1314" s="3486"/>
      <c r="X1314" s="3486"/>
      <c r="Y1314" s="3943"/>
    </row>
    <row r="1315" spans="1:25" s="3492" customFormat="1">
      <c r="A1315" s="3485"/>
      <c r="B1315" s="3486"/>
      <c r="C1315" s="3486"/>
      <c r="D1315" s="3486"/>
      <c r="E1315" s="3486"/>
      <c r="F1315" s="3486"/>
      <c r="G1315" s="3486"/>
      <c r="H1315" s="3486"/>
      <c r="I1315" s="3486"/>
      <c r="J1315" s="3486"/>
      <c r="K1315" s="3486"/>
      <c r="L1315" s="3486"/>
      <c r="M1315" s="3486"/>
      <c r="N1315" s="3486"/>
      <c r="O1315" s="3486"/>
      <c r="P1315" s="3486"/>
      <c r="Q1315" s="3486"/>
      <c r="R1315" s="3486"/>
      <c r="S1315" s="3486"/>
      <c r="T1315" s="3486"/>
      <c r="U1315" s="3486"/>
      <c r="V1315" s="3486"/>
      <c r="W1315" s="3486"/>
      <c r="X1315" s="3486"/>
      <c r="Y1315" s="3943"/>
    </row>
    <row r="1316" spans="1:25" s="3492" customFormat="1">
      <c r="A1316" s="3485"/>
      <c r="B1316" s="3486"/>
      <c r="C1316" s="3486"/>
      <c r="D1316" s="3486"/>
      <c r="E1316" s="3486"/>
      <c r="F1316" s="3486"/>
      <c r="G1316" s="3486"/>
      <c r="H1316" s="3486"/>
      <c r="I1316" s="3486"/>
      <c r="J1316" s="3486"/>
      <c r="K1316" s="3486"/>
      <c r="L1316" s="3486"/>
      <c r="M1316" s="3486"/>
      <c r="N1316" s="3486"/>
      <c r="O1316" s="3486"/>
      <c r="P1316" s="3486"/>
      <c r="Q1316" s="3486"/>
      <c r="R1316" s="3486"/>
      <c r="S1316" s="3486"/>
      <c r="T1316" s="3486"/>
      <c r="U1316" s="3486"/>
      <c r="V1316" s="3486"/>
      <c r="W1316" s="3486"/>
      <c r="X1316" s="3486"/>
      <c r="Y1316" s="3943"/>
    </row>
    <row r="1317" spans="1:25" s="3492" customFormat="1">
      <c r="A1317" s="3485"/>
      <c r="B1317" s="3486"/>
      <c r="C1317" s="3486"/>
      <c r="D1317" s="3486"/>
      <c r="E1317" s="3486"/>
      <c r="F1317" s="3486"/>
      <c r="G1317" s="3486"/>
      <c r="H1317" s="3486"/>
      <c r="I1317" s="3486"/>
      <c r="J1317" s="3486"/>
      <c r="K1317" s="3486"/>
      <c r="L1317" s="3486"/>
      <c r="M1317" s="3486"/>
      <c r="N1317" s="3486"/>
      <c r="O1317" s="3486"/>
      <c r="P1317" s="3486"/>
      <c r="Q1317" s="3486"/>
      <c r="R1317" s="3486"/>
      <c r="S1317" s="3486"/>
      <c r="T1317" s="3486"/>
      <c r="U1317" s="3486"/>
      <c r="V1317" s="3486"/>
      <c r="W1317" s="3486"/>
      <c r="X1317" s="3486"/>
      <c r="Y1317" s="3943"/>
    </row>
    <row r="1318" spans="1:25" s="3492" customFormat="1">
      <c r="A1318" s="3485"/>
      <c r="B1318" s="3486"/>
      <c r="C1318" s="3486"/>
      <c r="D1318" s="3486"/>
      <c r="E1318" s="3486"/>
      <c r="F1318" s="3486"/>
      <c r="G1318" s="3486"/>
      <c r="H1318" s="3486"/>
      <c r="I1318" s="3486"/>
      <c r="J1318" s="3486"/>
      <c r="K1318" s="3486"/>
      <c r="L1318" s="3486"/>
      <c r="M1318" s="3486"/>
      <c r="N1318" s="3486"/>
      <c r="O1318" s="3486"/>
      <c r="P1318" s="3486"/>
      <c r="Q1318" s="3486"/>
      <c r="R1318" s="3486"/>
      <c r="S1318" s="3486"/>
      <c r="T1318" s="3486"/>
      <c r="U1318" s="3486"/>
      <c r="V1318" s="3486"/>
      <c r="W1318" s="3486"/>
      <c r="X1318" s="3486"/>
      <c r="Y1318" s="3943"/>
    </row>
    <row r="1319" spans="1:25" s="3492" customFormat="1">
      <c r="A1319" s="3485"/>
      <c r="B1319" s="3486"/>
      <c r="C1319" s="3486"/>
      <c r="D1319" s="3486"/>
      <c r="E1319" s="3486"/>
      <c r="F1319" s="3486"/>
      <c r="G1319" s="3486"/>
      <c r="H1319" s="3486"/>
      <c r="I1319" s="3486"/>
      <c r="J1319" s="3486"/>
      <c r="K1319" s="3486"/>
      <c r="L1319" s="3486"/>
      <c r="M1319" s="3486"/>
      <c r="N1319" s="3486"/>
      <c r="O1319" s="3486"/>
      <c r="P1319" s="3486"/>
      <c r="Q1319" s="3486"/>
      <c r="R1319" s="3486"/>
      <c r="S1319" s="3486"/>
      <c r="T1319" s="3486"/>
      <c r="U1319" s="3486"/>
      <c r="V1319" s="3486"/>
      <c r="W1319" s="3486"/>
      <c r="X1319" s="3486"/>
      <c r="Y1319" s="3943"/>
    </row>
    <row r="1320" spans="1:25" s="3492" customFormat="1">
      <c r="A1320" s="3485"/>
      <c r="B1320" s="3486"/>
      <c r="C1320" s="3486"/>
      <c r="D1320" s="3486"/>
      <c r="E1320" s="3486"/>
      <c r="F1320" s="3486"/>
      <c r="G1320" s="3486"/>
      <c r="H1320" s="3486"/>
      <c r="I1320" s="3486"/>
      <c r="J1320" s="3486"/>
      <c r="K1320" s="3486"/>
      <c r="L1320" s="3486"/>
      <c r="M1320" s="3486"/>
      <c r="N1320" s="3486"/>
      <c r="O1320" s="3486"/>
      <c r="P1320" s="3486"/>
      <c r="Q1320" s="3486"/>
      <c r="R1320" s="3486"/>
      <c r="S1320" s="3486"/>
      <c r="T1320" s="3486"/>
      <c r="U1320" s="3486"/>
      <c r="V1320" s="3486"/>
      <c r="W1320" s="3486"/>
      <c r="X1320" s="3486"/>
      <c r="Y1320" s="3943"/>
    </row>
    <row r="1321" spans="1:25" s="3492" customFormat="1">
      <c r="A1321" s="3485"/>
      <c r="B1321" s="3486"/>
      <c r="C1321" s="3486"/>
      <c r="D1321" s="3486"/>
      <c r="E1321" s="3486"/>
      <c r="F1321" s="3486"/>
      <c r="G1321" s="3486"/>
      <c r="H1321" s="3486"/>
      <c r="I1321" s="3486"/>
      <c r="J1321" s="3486"/>
      <c r="K1321" s="3486"/>
      <c r="L1321" s="3486"/>
      <c r="M1321" s="3486"/>
      <c r="N1321" s="3486"/>
      <c r="O1321" s="3486"/>
      <c r="P1321" s="3486"/>
      <c r="Q1321" s="3486"/>
      <c r="R1321" s="3486"/>
      <c r="S1321" s="3486"/>
      <c r="T1321" s="3486"/>
      <c r="U1321" s="3486"/>
      <c r="V1321" s="3486"/>
      <c r="W1321" s="3486"/>
      <c r="X1321" s="3486"/>
      <c r="Y1321" s="3943"/>
    </row>
    <row r="1322" spans="1:25" s="3492" customFormat="1">
      <c r="A1322" s="3485"/>
      <c r="B1322" s="3486"/>
      <c r="C1322" s="3486"/>
      <c r="D1322" s="3486"/>
      <c r="E1322" s="3486"/>
      <c r="F1322" s="3486"/>
      <c r="G1322" s="3486"/>
      <c r="H1322" s="3486"/>
      <c r="I1322" s="3486"/>
      <c r="J1322" s="3486"/>
      <c r="K1322" s="3486"/>
      <c r="L1322" s="3486"/>
      <c r="M1322" s="3486"/>
      <c r="N1322" s="3486"/>
      <c r="O1322" s="3486"/>
      <c r="P1322" s="3486"/>
      <c r="Q1322" s="3486"/>
      <c r="R1322" s="3486"/>
      <c r="S1322" s="3486"/>
      <c r="T1322" s="3486"/>
      <c r="U1322" s="3486"/>
      <c r="V1322" s="3486"/>
      <c r="W1322" s="3486"/>
      <c r="X1322" s="3486"/>
      <c r="Y1322" s="3943"/>
    </row>
    <row r="1323" spans="1:25" s="3492" customFormat="1">
      <c r="A1323" s="3485"/>
      <c r="B1323" s="3486"/>
      <c r="C1323" s="3486"/>
      <c r="D1323" s="3486"/>
      <c r="E1323" s="3486"/>
      <c r="F1323" s="3486"/>
      <c r="G1323" s="3486"/>
      <c r="H1323" s="3486"/>
      <c r="I1323" s="3486"/>
      <c r="J1323" s="3486"/>
      <c r="K1323" s="3486"/>
      <c r="L1323" s="3486"/>
      <c r="M1323" s="3486"/>
      <c r="N1323" s="3486"/>
      <c r="O1323" s="3486"/>
      <c r="P1323" s="3486"/>
      <c r="Q1323" s="3486"/>
      <c r="R1323" s="3486"/>
      <c r="S1323" s="3486"/>
      <c r="T1323" s="3486"/>
      <c r="U1323" s="3486"/>
      <c r="V1323" s="3486"/>
      <c r="W1323" s="3486"/>
      <c r="X1323" s="3486"/>
      <c r="Y1323" s="3943"/>
    </row>
    <row r="1324" spans="1:25" s="3492" customFormat="1">
      <c r="A1324" s="3485"/>
      <c r="B1324" s="3486"/>
      <c r="C1324" s="3486"/>
      <c r="D1324" s="3486"/>
      <c r="E1324" s="3486"/>
      <c r="F1324" s="3486"/>
      <c r="G1324" s="3486"/>
      <c r="H1324" s="3486"/>
      <c r="I1324" s="3486"/>
      <c r="J1324" s="3486"/>
      <c r="K1324" s="3486"/>
      <c r="L1324" s="3486"/>
      <c r="M1324" s="3486"/>
      <c r="N1324" s="3486"/>
      <c r="O1324" s="3486"/>
      <c r="P1324" s="3486"/>
      <c r="Q1324" s="3486"/>
      <c r="R1324" s="3486"/>
      <c r="S1324" s="3486"/>
      <c r="T1324" s="3486"/>
      <c r="U1324" s="3486"/>
      <c r="V1324" s="3486"/>
      <c r="W1324" s="3486"/>
      <c r="X1324" s="3486"/>
      <c r="Y1324" s="3943"/>
    </row>
    <row r="1325" spans="1:25" s="3492" customFormat="1">
      <c r="A1325" s="3485"/>
      <c r="B1325" s="3486"/>
      <c r="C1325" s="3486"/>
      <c r="D1325" s="3486"/>
      <c r="E1325" s="3486"/>
      <c r="F1325" s="3486"/>
      <c r="G1325" s="3486"/>
      <c r="H1325" s="3486"/>
      <c r="I1325" s="3486"/>
      <c r="J1325" s="3486"/>
      <c r="K1325" s="3486"/>
      <c r="L1325" s="3486"/>
      <c r="M1325" s="3486"/>
      <c r="N1325" s="3486"/>
      <c r="O1325" s="3486"/>
      <c r="P1325" s="3486"/>
      <c r="Q1325" s="3486"/>
      <c r="R1325" s="3486"/>
      <c r="S1325" s="3486"/>
      <c r="T1325" s="3486"/>
      <c r="U1325" s="3486"/>
      <c r="V1325" s="3486"/>
      <c r="W1325" s="3486"/>
      <c r="X1325" s="3486"/>
      <c r="Y1325" s="3943"/>
    </row>
    <row r="1326" spans="1:25" s="3492" customFormat="1">
      <c r="A1326" s="3485"/>
      <c r="B1326" s="3486"/>
      <c r="C1326" s="3486"/>
      <c r="D1326" s="3486"/>
      <c r="E1326" s="3486"/>
      <c r="F1326" s="3486"/>
      <c r="G1326" s="3486"/>
      <c r="H1326" s="3486"/>
      <c r="I1326" s="3486"/>
      <c r="J1326" s="3486"/>
      <c r="K1326" s="3486"/>
      <c r="L1326" s="3486"/>
      <c r="M1326" s="3486"/>
      <c r="N1326" s="3486"/>
      <c r="O1326" s="3486"/>
      <c r="P1326" s="3486"/>
      <c r="Q1326" s="3486"/>
      <c r="R1326" s="3486"/>
      <c r="S1326" s="3486"/>
      <c r="T1326" s="3486"/>
      <c r="U1326" s="3486"/>
      <c r="V1326" s="3486"/>
      <c r="W1326" s="3486"/>
      <c r="X1326" s="3486"/>
      <c r="Y1326" s="3943"/>
    </row>
    <row r="1327" spans="1:25" s="3492" customFormat="1">
      <c r="A1327" s="3485"/>
      <c r="B1327" s="3486"/>
      <c r="C1327" s="3486"/>
      <c r="D1327" s="3486"/>
      <c r="E1327" s="3486"/>
      <c r="F1327" s="3486"/>
      <c r="G1327" s="3486"/>
      <c r="H1327" s="3486"/>
      <c r="I1327" s="3486"/>
      <c r="J1327" s="3486"/>
      <c r="K1327" s="3486"/>
      <c r="L1327" s="3486"/>
      <c r="M1327" s="3486"/>
      <c r="N1327" s="3486"/>
      <c r="O1327" s="3486"/>
      <c r="P1327" s="3486"/>
      <c r="Q1327" s="3486"/>
      <c r="R1327" s="3486"/>
      <c r="S1327" s="3486"/>
      <c r="T1327" s="3486"/>
      <c r="U1327" s="3486"/>
      <c r="V1327" s="3486"/>
      <c r="W1327" s="3486"/>
      <c r="X1327" s="3486"/>
      <c r="Y1327" s="3943"/>
    </row>
    <row r="1328" spans="1:25" s="3492" customFormat="1">
      <c r="A1328" s="3485"/>
      <c r="B1328" s="3486"/>
      <c r="C1328" s="3486"/>
      <c r="D1328" s="3486"/>
      <c r="E1328" s="3486"/>
      <c r="F1328" s="3486"/>
      <c r="G1328" s="3486"/>
      <c r="H1328" s="3486"/>
      <c r="I1328" s="3486"/>
      <c r="J1328" s="3486"/>
      <c r="K1328" s="3486"/>
      <c r="L1328" s="3486"/>
      <c r="M1328" s="3486"/>
      <c r="N1328" s="3486"/>
      <c r="O1328" s="3486"/>
      <c r="P1328" s="3486"/>
      <c r="Q1328" s="3486"/>
      <c r="R1328" s="3486"/>
      <c r="S1328" s="3486"/>
      <c r="T1328" s="3486"/>
      <c r="U1328" s="3486"/>
      <c r="V1328" s="3486"/>
      <c r="W1328" s="3486"/>
      <c r="X1328" s="3486"/>
      <c r="Y1328" s="3943"/>
    </row>
    <row r="1329" spans="1:25" s="3492" customFormat="1">
      <c r="A1329" s="3485"/>
      <c r="B1329" s="3486"/>
      <c r="C1329" s="3486"/>
      <c r="D1329" s="3486"/>
      <c r="E1329" s="3486"/>
      <c r="F1329" s="3486"/>
      <c r="G1329" s="3486"/>
      <c r="H1329" s="3486"/>
      <c r="I1329" s="3486"/>
      <c r="J1329" s="3486"/>
      <c r="K1329" s="3486"/>
      <c r="L1329" s="3486"/>
      <c r="M1329" s="3486"/>
      <c r="N1329" s="3486"/>
      <c r="O1329" s="3486"/>
      <c r="P1329" s="3486"/>
      <c r="Q1329" s="3486"/>
      <c r="R1329" s="3486"/>
      <c r="S1329" s="3486"/>
      <c r="T1329" s="3486"/>
      <c r="U1329" s="3486"/>
      <c r="V1329" s="3486"/>
      <c r="W1329" s="3486"/>
      <c r="X1329" s="3486"/>
      <c r="Y1329" s="3943"/>
    </row>
    <row r="1330" spans="1:25" s="3492" customFormat="1">
      <c r="A1330" s="3485"/>
      <c r="B1330" s="3486"/>
      <c r="C1330" s="3486"/>
      <c r="D1330" s="3486"/>
      <c r="E1330" s="3486"/>
      <c r="F1330" s="3486"/>
      <c r="G1330" s="3486"/>
      <c r="H1330" s="3486"/>
      <c r="I1330" s="3486"/>
      <c r="J1330" s="3486"/>
      <c r="K1330" s="3486"/>
      <c r="L1330" s="3486"/>
      <c r="M1330" s="3486"/>
      <c r="N1330" s="3486"/>
      <c r="O1330" s="3486"/>
      <c r="P1330" s="3486"/>
      <c r="Q1330" s="3486"/>
      <c r="R1330" s="3486"/>
      <c r="S1330" s="3486"/>
      <c r="T1330" s="3486"/>
      <c r="U1330" s="3486"/>
      <c r="V1330" s="3486"/>
      <c r="W1330" s="3486"/>
      <c r="X1330" s="3486"/>
      <c r="Y1330" s="3943"/>
    </row>
    <row r="1331" spans="1:25" s="3492" customFormat="1">
      <c r="A1331" s="3485"/>
      <c r="B1331" s="3486"/>
      <c r="C1331" s="3486"/>
      <c r="D1331" s="3486"/>
      <c r="E1331" s="3486"/>
      <c r="F1331" s="3486"/>
      <c r="G1331" s="3486"/>
      <c r="H1331" s="3486"/>
      <c r="I1331" s="3486"/>
      <c r="J1331" s="3486"/>
      <c r="K1331" s="3486"/>
      <c r="L1331" s="3486"/>
      <c r="M1331" s="3486"/>
      <c r="N1331" s="3486"/>
      <c r="O1331" s="3486"/>
      <c r="P1331" s="3486"/>
      <c r="Q1331" s="3486"/>
      <c r="R1331" s="3486"/>
      <c r="S1331" s="3486"/>
      <c r="T1331" s="3486"/>
      <c r="U1331" s="3486"/>
      <c r="V1331" s="3486"/>
      <c r="W1331" s="3486"/>
      <c r="X1331" s="3486"/>
      <c r="Y1331" s="3943"/>
    </row>
    <row r="1332" spans="1:25" s="3492" customFormat="1">
      <c r="A1332" s="3485"/>
      <c r="B1332" s="3486"/>
      <c r="C1332" s="3486"/>
      <c r="D1332" s="3486"/>
      <c r="E1332" s="3486"/>
      <c r="F1332" s="3486"/>
      <c r="G1332" s="3486"/>
      <c r="H1332" s="3486"/>
      <c r="I1332" s="3486"/>
      <c r="J1332" s="3486"/>
      <c r="K1332" s="3486"/>
      <c r="L1332" s="3486"/>
      <c r="M1332" s="3486"/>
      <c r="N1332" s="3486"/>
      <c r="O1332" s="3486"/>
      <c r="P1332" s="3486"/>
      <c r="Q1332" s="3486"/>
      <c r="R1332" s="3486"/>
      <c r="S1332" s="3486"/>
      <c r="T1332" s="3486"/>
      <c r="U1332" s="3486"/>
      <c r="V1332" s="3486"/>
      <c r="W1332" s="3486"/>
      <c r="X1332" s="3486"/>
      <c r="Y1332" s="3943"/>
    </row>
    <row r="1333" spans="1:25" s="3492" customFormat="1">
      <c r="A1333" s="3485"/>
      <c r="B1333" s="3486"/>
      <c r="C1333" s="3486"/>
      <c r="D1333" s="3486"/>
      <c r="E1333" s="3486"/>
      <c r="F1333" s="3486"/>
      <c r="G1333" s="3486"/>
      <c r="H1333" s="3486"/>
      <c r="I1333" s="3486"/>
      <c r="J1333" s="3486"/>
      <c r="K1333" s="3486"/>
      <c r="L1333" s="3486"/>
      <c r="M1333" s="3486"/>
      <c r="N1333" s="3486"/>
      <c r="O1333" s="3486"/>
      <c r="P1333" s="3486"/>
      <c r="Q1333" s="3486"/>
      <c r="R1333" s="3486"/>
      <c r="S1333" s="3486"/>
      <c r="T1333" s="3486"/>
      <c r="U1333" s="3486"/>
      <c r="V1333" s="3486"/>
      <c r="W1333" s="3486"/>
      <c r="X1333" s="3486"/>
      <c r="Y1333" s="3943"/>
    </row>
    <row r="1334" spans="1:25" s="3492" customFormat="1">
      <c r="A1334" s="3485"/>
      <c r="B1334" s="3486"/>
      <c r="C1334" s="3486"/>
      <c r="D1334" s="3486"/>
      <c r="E1334" s="3486"/>
      <c r="F1334" s="3486"/>
      <c r="G1334" s="3486"/>
      <c r="H1334" s="3486"/>
      <c r="I1334" s="3486"/>
      <c r="J1334" s="3486"/>
      <c r="K1334" s="3486"/>
      <c r="L1334" s="3486"/>
      <c r="M1334" s="3486"/>
      <c r="N1334" s="3486"/>
      <c r="O1334" s="3486"/>
      <c r="P1334" s="3486"/>
      <c r="Q1334" s="3486"/>
      <c r="R1334" s="3486"/>
      <c r="S1334" s="3486"/>
      <c r="T1334" s="3486"/>
      <c r="U1334" s="3486"/>
      <c r="V1334" s="3486"/>
      <c r="W1334" s="3486"/>
      <c r="X1334" s="3486"/>
      <c r="Y1334" s="3943"/>
    </row>
    <row r="1335" spans="1:25" s="3492" customFormat="1">
      <c r="A1335" s="3485"/>
      <c r="B1335" s="3486"/>
      <c r="C1335" s="3486"/>
      <c r="D1335" s="3486"/>
      <c r="E1335" s="3486"/>
      <c r="F1335" s="3486"/>
      <c r="G1335" s="3486"/>
      <c r="H1335" s="3486"/>
      <c r="I1335" s="3486"/>
      <c r="J1335" s="3486"/>
      <c r="K1335" s="3486"/>
      <c r="L1335" s="3486"/>
      <c r="M1335" s="3486"/>
      <c r="N1335" s="3486"/>
      <c r="O1335" s="3486"/>
      <c r="P1335" s="3486"/>
      <c r="Q1335" s="3486"/>
      <c r="R1335" s="3486"/>
      <c r="S1335" s="3486"/>
      <c r="T1335" s="3486"/>
      <c r="U1335" s="3486"/>
      <c r="V1335" s="3486"/>
      <c r="W1335" s="3486"/>
      <c r="X1335" s="3486"/>
      <c r="Y1335" s="3943"/>
    </row>
    <row r="1336" spans="1:25" s="3492" customFormat="1">
      <c r="A1336" s="3485"/>
      <c r="B1336" s="3486"/>
      <c r="C1336" s="3486"/>
      <c r="D1336" s="3486"/>
      <c r="E1336" s="3486"/>
      <c r="F1336" s="3486"/>
      <c r="G1336" s="3486"/>
      <c r="H1336" s="3486"/>
      <c r="I1336" s="3486"/>
      <c r="J1336" s="3486"/>
      <c r="K1336" s="3486"/>
      <c r="L1336" s="3486"/>
      <c r="M1336" s="3486"/>
      <c r="N1336" s="3486"/>
      <c r="O1336" s="3486"/>
      <c r="P1336" s="3486"/>
      <c r="Q1336" s="3486"/>
      <c r="R1336" s="3486"/>
      <c r="S1336" s="3486"/>
      <c r="T1336" s="3486"/>
      <c r="U1336" s="3486"/>
      <c r="V1336" s="3486"/>
      <c r="W1336" s="3486"/>
      <c r="X1336" s="3486"/>
      <c r="Y1336" s="3943"/>
    </row>
    <row r="1337" spans="1:25" s="3492" customFormat="1">
      <c r="A1337" s="3485"/>
      <c r="B1337" s="3486"/>
      <c r="C1337" s="3486"/>
      <c r="D1337" s="3486"/>
      <c r="E1337" s="3486"/>
      <c r="F1337" s="3486"/>
      <c r="G1337" s="3486"/>
      <c r="H1337" s="3486"/>
      <c r="I1337" s="3486"/>
      <c r="J1337" s="3486"/>
      <c r="K1337" s="3486"/>
      <c r="L1337" s="3486"/>
      <c r="M1337" s="3486"/>
      <c r="N1337" s="3486"/>
      <c r="O1337" s="3486"/>
      <c r="P1337" s="3486"/>
      <c r="Q1337" s="3486"/>
      <c r="R1337" s="3486"/>
      <c r="S1337" s="3486"/>
      <c r="T1337" s="3486"/>
      <c r="U1337" s="3486"/>
      <c r="V1337" s="3486"/>
      <c r="W1337" s="3486"/>
      <c r="X1337" s="3486"/>
      <c r="Y1337" s="3943"/>
    </row>
    <row r="1338" spans="1:25" s="3492" customFormat="1">
      <c r="A1338" s="3485"/>
      <c r="B1338" s="3486"/>
      <c r="C1338" s="3486"/>
      <c r="D1338" s="3486"/>
      <c r="E1338" s="3486"/>
      <c r="F1338" s="3486"/>
      <c r="G1338" s="3486"/>
      <c r="H1338" s="3486"/>
      <c r="I1338" s="3486"/>
      <c r="J1338" s="3486"/>
      <c r="K1338" s="3486"/>
      <c r="L1338" s="3486"/>
      <c r="M1338" s="3486"/>
      <c r="N1338" s="3486"/>
      <c r="O1338" s="3486"/>
      <c r="P1338" s="3486"/>
      <c r="Q1338" s="3486"/>
      <c r="R1338" s="3486"/>
      <c r="S1338" s="3486"/>
      <c r="T1338" s="3486"/>
      <c r="U1338" s="3486"/>
      <c r="V1338" s="3486"/>
      <c r="W1338" s="3486"/>
      <c r="X1338" s="3486"/>
      <c r="Y1338" s="3943"/>
    </row>
    <row r="1339" spans="1:25" s="3492" customFormat="1">
      <c r="A1339" s="3485"/>
      <c r="B1339" s="3486"/>
      <c r="C1339" s="3486"/>
      <c r="D1339" s="3486"/>
      <c r="E1339" s="3486"/>
      <c r="F1339" s="3486"/>
      <c r="G1339" s="3486"/>
      <c r="H1339" s="3486"/>
      <c r="I1339" s="3486"/>
      <c r="J1339" s="3486"/>
      <c r="K1339" s="3486"/>
      <c r="L1339" s="3486"/>
      <c r="M1339" s="3486"/>
      <c r="N1339" s="3486"/>
      <c r="O1339" s="3486"/>
      <c r="P1339" s="3486"/>
      <c r="Q1339" s="3486"/>
      <c r="R1339" s="3486"/>
      <c r="S1339" s="3486"/>
      <c r="T1339" s="3486"/>
      <c r="U1339" s="3486"/>
      <c r="V1339" s="3486"/>
      <c r="W1339" s="3486"/>
      <c r="X1339" s="3486"/>
      <c r="Y1339" s="3943"/>
    </row>
    <row r="1340" spans="1:25" s="3492" customFormat="1">
      <c r="A1340" s="3485"/>
      <c r="B1340" s="3486"/>
      <c r="C1340" s="3486"/>
      <c r="D1340" s="3486"/>
      <c r="E1340" s="3486"/>
      <c r="F1340" s="3486"/>
      <c r="G1340" s="3486"/>
      <c r="H1340" s="3486"/>
      <c r="I1340" s="3486"/>
      <c r="J1340" s="3486"/>
      <c r="K1340" s="3486"/>
      <c r="L1340" s="3486"/>
      <c r="M1340" s="3486"/>
      <c r="N1340" s="3486"/>
      <c r="O1340" s="3486"/>
      <c r="P1340" s="3486"/>
      <c r="Q1340" s="3486"/>
      <c r="R1340" s="3486"/>
      <c r="S1340" s="3486"/>
      <c r="T1340" s="3486"/>
      <c r="U1340" s="3486"/>
      <c r="V1340" s="3486"/>
      <c r="W1340" s="3486"/>
      <c r="X1340" s="3486"/>
      <c r="Y1340" s="3943"/>
    </row>
    <row r="1341" spans="1:25" s="3492" customFormat="1">
      <c r="A1341" s="3485"/>
      <c r="B1341" s="3486"/>
      <c r="C1341" s="3486"/>
      <c r="D1341" s="3486"/>
      <c r="E1341" s="3486"/>
      <c r="F1341" s="3486"/>
      <c r="G1341" s="3486"/>
      <c r="H1341" s="3486"/>
      <c r="I1341" s="3486"/>
      <c r="J1341" s="3486"/>
      <c r="K1341" s="3486"/>
      <c r="L1341" s="3486"/>
      <c r="M1341" s="3486"/>
      <c r="N1341" s="3486"/>
      <c r="O1341" s="3486"/>
      <c r="P1341" s="3486"/>
      <c r="Q1341" s="3486"/>
      <c r="R1341" s="3486"/>
      <c r="S1341" s="3486"/>
      <c r="T1341" s="3486"/>
      <c r="U1341" s="3486"/>
      <c r="V1341" s="3486"/>
      <c r="W1341" s="3486"/>
      <c r="X1341" s="3486"/>
      <c r="Y1341" s="3943"/>
    </row>
    <row r="1342" spans="1:25" s="3492" customFormat="1">
      <c r="A1342" s="3485"/>
      <c r="B1342" s="3486"/>
      <c r="C1342" s="3486"/>
      <c r="D1342" s="3486"/>
      <c r="E1342" s="3486"/>
      <c r="F1342" s="3486"/>
      <c r="G1342" s="3486"/>
      <c r="H1342" s="3486"/>
      <c r="I1342" s="3486"/>
      <c r="J1342" s="3486"/>
      <c r="K1342" s="3486"/>
      <c r="L1342" s="3486"/>
      <c r="M1342" s="3486"/>
      <c r="N1342" s="3486"/>
      <c r="O1342" s="3486"/>
      <c r="P1342" s="3486"/>
      <c r="Q1342" s="3486"/>
      <c r="R1342" s="3486"/>
      <c r="S1342" s="3486"/>
      <c r="T1342" s="3486"/>
      <c r="U1342" s="3486"/>
      <c r="V1342" s="3486"/>
      <c r="W1342" s="3486"/>
      <c r="X1342" s="3486"/>
      <c r="Y1342" s="3943"/>
    </row>
    <row r="1343" spans="1:25" s="3492" customFormat="1">
      <c r="A1343" s="3485"/>
      <c r="B1343" s="3486"/>
      <c r="C1343" s="3486"/>
      <c r="D1343" s="3486"/>
      <c r="E1343" s="3486"/>
      <c r="F1343" s="3486"/>
      <c r="G1343" s="3486"/>
      <c r="H1343" s="3486"/>
      <c r="I1343" s="3486"/>
      <c r="J1343" s="3486"/>
      <c r="K1343" s="3486"/>
      <c r="L1343" s="3486"/>
      <c r="M1343" s="3486"/>
      <c r="N1343" s="3486"/>
      <c r="O1343" s="3486"/>
      <c r="P1343" s="3486"/>
      <c r="Q1343" s="3486"/>
      <c r="R1343" s="3486"/>
      <c r="S1343" s="3486"/>
      <c r="T1343" s="3486"/>
      <c r="U1343" s="3486"/>
      <c r="V1343" s="3486"/>
      <c r="W1343" s="3486"/>
      <c r="X1343" s="3486"/>
      <c r="Y1343" s="3943"/>
    </row>
    <row r="1344" spans="1:25" s="3492" customFormat="1">
      <c r="A1344" s="3485"/>
      <c r="B1344" s="3486"/>
      <c r="C1344" s="3486"/>
      <c r="D1344" s="3486"/>
      <c r="E1344" s="3486"/>
      <c r="F1344" s="3486"/>
      <c r="G1344" s="3486"/>
      <c r="H1344" s="3486"/>
      <c r="I1344" s="3486"/>
      <c r="J1344" s="3486"/>
      <c r="K1344" s="3486"/>
      <c r="L1344" s="3486"/>
      <c r="M1344" s="3486"/>
      <c r="N1344" s="3486"/>
      <c r="O1344" s="3486"/>
      <c r="P1344" s="3486"/>
      <c r="Q1344" s="3486"/>
      <c r="R1344" s="3486"/>
      <c r="S1344" s="3486"/>
      <c r="T1344" s="3486"/>
      <c r="U1344" s="3486"/>
      <c r="V1344" s="3486"/>
      <c r="W1344" s="3486"/>
      <c r="X1344" s="3486"/>
      <c r="Y1344" s="3943"/>
    </row>
    <row r="1345" spans="1:25" s="3492" customFormat="1">
      <c r="A1345" s="3485"/>
      <c r="B1345" s="3486"/>
      <c r="C1345" s="3486"/>
      <c r="D1345" s="3486"/>
      <c r="E1345" s="3486"/>
      <c r="F1345" s="3486"/>
      <c r="G1345" s="3486"/>
      <c r="H1345" s="3486"/>
      <c r="I1345" s="3486"/>
      <c r="J1345" s="3486"/>
      <c r="K1345" s="3486"/>
      <c r="L1345" s="3486"/>
      <c r="M1345" s="3486"/>
      <c r="N1345" s="3486"/>
      <c r="O1345" s="3486"/>
      <c r="P1345" s="3486"/>
      <c r="Q1345" s="3486"/>
      <c r="R1345" s="3486"/>
      <c r="S1345" s="3486"/>
      <c r="T1345" s="3486"/>
      <c r="U1345" s="3486"/>
      <c r="V1345" s="3486"/>
      <c r="W1345" s="3486"/>
      <c r="X1345" s="3486"/>
      <c r="Y1345" s="3943"/>
    </row>
    <row r="1346" spans="1:25" s="3492" customFormat="1">
      <c r="A1346" s="3485"/>
      <c r="B1346" s="3486"/>
      <c r="C1346" s="3486"/>
      <c r="D1346" s="3486"/>
      <c r="E1346" s="3486"/>
      <c r="F1346" s="3486"/>
      <c r="G1346" s="3486"/>
      <c r="H1346" s="3486"/>
      <c r="I1346" s="3486"/>
      <c r="J1346" s="3486"/>
      <c r="K1346" s="3486"/>
      <c r="L1346" s="3486"/>
      <c r="M1346" s="3486"/>
      <c r="N1346" s="3486"/>
      <c r="O1346" s="3486"/>
      <c r="P1346" s="3486"/>
      <c r="Q1346" s="3486"/>
      <c r="R1346" s="3486"/>
      <c r="S1346" s="3486"/>
      <c r="T1346" s="3486"/>
      <c r="U1346" s="3486"/>
      <c r="V1346" s="3486"/>
      <c r="W1346" s="3486"/>
      <c r="X1346" s="3486"/>
      <c r="Y1346" s="3943"/>
    </row>
    <row r="1347" spans="1:25" s="3492" customFormat="1">
      <c r="A1347" s="3485"/>
      <c r="B1347" s="3486"/>
      <c r="C1347" s="3486"/>
      <c r="D1347" s="3486"/>
      <c r="E1347" s="3486"/>
      <c r="F1347" s="3486"/>
      <c r="G1347" s="3486"/>
      <c r="H1347" s="3486"/>
      <c r="I1347" s="3486"/>
      <c r="J1347" s="3486"/>
      <c r="K1347" s="3486"/>
      <c r="L1347" s="3486"/>
      <c r="M1347" s="3486"/>
      <c r="N1347" s="3486"/>
      <c r="O1347" s="3486"/>
      <c r="P1347" s="3486"/>
      <c r="Q1347" s="3486"/>
      <c r="R1347" s="3486"/>
      <c r="S1347" s="3486"/>
      <c r="T1347" s="3486"/>
      <c r="U1347" s="3486"/>
      <c r="V1347" s="3486"/>
      <c r="W1347" s="3486"/>
      <c r="X1347" s="3486"/>
      <c r="Y1347" s="3943"/>
    </row>
    <row r="1348" spans="1:25" s="3492" customFormat="1">
      <c r="A1348" s="3485"/>
      <c r="B1348" s="3486"/>
      <c r="C1348" s="3486"/>
      <c r="D1348" s="3486"/>
      <c r="E1348" s="3486"/>
      <c r="F1348" s="3486"/>
      <c r="G1348" s="3486"/>
      <c r="H1348" s="3486"/>
      <c r="I1348" s="3486"/>
      <c r="J1348" s="3486"/>
      <c r="K1348" s="3486"/>
      <c r="L1348" s="3486"/>
      <c r="M1348" s="3486"/>
      <c r="N1348" s="3486"/>
      <c r="O1348" s="3486"/>
      <c r="P1348" s="3486"/>
      <c r="Q1348" s="3486"/>
      <c r="R1348" s="3486"/>
      <c r="S1348" s="3486"/>
      <c r="T1348" s="3486"/>
      <c r="U1348" s="3486"/>
      <c r="V1348" s="3486"/>
      <c r="W1348" s="3486"/>
      <c r="X1348" s="3486"/>
      <c r="Y1348" s="3943"/>
    </row>
    <row r="1349" spans="1:25" s="3492" customFormat="1">
      <c r="A1349" s="3485"/>
      <c r="B1349" s="3486"/>
      <c r="C1349" s="3486"/>
      <c r="D1349" s="3486"/>
      <c r="E1349" s="3486"/>
      <c r="F1349" s="3486"/>
      <c r="G1349" s="3486"/>
      <c r="H1349" s="3486"/>
      <c r="I1349" s="3486"/>
      <c r="J1349" s="3486"/>
      <c r="K1349" s="3486"/>
      <c r="L1349" s="3486"/>
      <c r="M1349" s="3486"/>
      <c r="N1349" s="3486"/>
      <c r="O1349" s="3486"/>
      <c r="P1349" s="3486"/>
      <c r="Q1349" s="3486"/>
      <c r="R1349" s="3486"/>
      <c r="S1349" s="3486"/>
      <c r="T1349" s="3486"/>
      <c r="U1349" s="3486"/>
      <c r="V1349" s="3486"/>
      <c r="W1349" s="3486"/>
      <c r="X1349" s="3486"/>
      <c r="Y1349" s="3943"/>
    </row>
    <row r="1350" spans="1:25" s="3492" customFormat="1">
      <c r="A1350" s="3485"/>
      <c r="B1350" s="3486"/>
      <c r="C1350" s="3486"/>
      <c r="D1350" s="3486"/>
      <c r="E1350" s="3486"/>
      <c r="F1350" s="3486"/>
      <c r="G1350" s="3486"/>
      <c r="H1350" s="3486"/>
      <c r="I1350" s="3486"/>
      <c r="J1350" s="3486"/>
      <c r="K1350" s="3486"/>
      <c r="L1350" s="3486"/>
      <c r="M1350" s="3486"/>
      <c r="N1350" s="3486"/>
      <c r="O1350" s="3486"/>
      <c r="P1350" s="3486"/>
      <c r="Q1350" s="3486"/>
      <c r="R1350" s="3486"/>
      <c r="S1350" s="3486"/>
      <c r="T1350" s="3486"/>
      <c r="U1350" s="3486"/>
      <c r="V1350" s="3486"/>
      <c r="W1350" s="3486"/>
      <c r="X1350" s="3486"/>
      <c r="Y1350" s="3943"/>
    </row>
    <row r="1351" spans="1:25" s="3492" customFormat="1">
      <c r="A1351" s="3485"/>
      <c r="B1351" s="3486"/>
      <c r="C1351" s="3486"/>
      <c r="D1351" s="3486"/>
      <c r="E1351" s="3486"/>
      <c r="F1351" s="3486"/>
      <c r="G1351" s="3486"/>
      <c r="H1351" s="3486"/>
      <c r="I1351" s="3486"/>
      <c r="J1351" s="3486"/>
      <c r="K1351" s="3486"/>
      <c r="L1351" s="3486"/>
      <c r="M1351" s="3486"/>
      <c r="N1351" s="3486"/>
      <c r="O1351" s="3486"/>
      <c r="P1351" s="3486"/>
      <c r="Q1351" s="3486"/>
      <c r="R1351" s="3486"/>
      <c r="S1351" s="3486"/>
      <c r="T1351" s="3486"/>
      <c r="U1351" s="3486"/>
      <c r="V1351" s="3486"/>
      <c r="W1351" s="3486"/>
      <c r="X1351" s="3486"/>
      <c r="Y1351" s="3943"/>
    </row>
    <row r="1352" spans="1:25" s="3492" customFormat="1">
      <c r="A1352" s="3485"/>
      <c r="B1352" s="3486"/>
      <c r="C1352" s="3486"/>
      <c r="D1352" s="3486"/>
      <c r="E1352" s="3486"/>
      <c r="F1352" s="3486"/>
      <c r="G1352" s="3486"/>
      <c r="H1352" s="3486"/>
      <c r="I1352" s="3486"/>
      <c r="J1352" s="3486"/>
      <c r="K1352" s="3486"/>
      <c r="L1352" s="3486"/>
      <c r="M1352" s="3486"/>
      <c r="N1352" s="3486"/>
      <c r="O1352" s="3486"/>
      <c r="P1352" s="3486"/>
      <c r="Q1352" s="3486"/>
      <c r="R1352" s="3486"/>
      <c r="S1352" s="3486"/>
      <c r="T1352" s="3486"/>
      <c r="U1352" s="3486"/>
      <c r="V1352" s="3486"/>
      <c r="W1352" s="3486"/>
      <c r="X1352" s="3486"/>
      <c r="Y1352" s="3943"/>
    </row>
    <row r="1353" spans="1:25" s="3492" customFormat="1">
      <c r="A1353" s="3485"/>
      <c r="B1353" s="3486"/>
      <c r="C1353" s="3486"/>
      <c r="D1353" s="3486"/>
      <c r="E1353" s="3486"/>
      <c r="F1353" s="3486"/>
      <c r="G1353" s="3486"/>
      <c r="H1353" s="3486"/>
      <c r="I1353" s="3486"/>
      <c r="J1353" s="3486"/>
      <c r="K1353" s="3486"/>
      <c r="L1353" s="3486"/>
      <c r="M1353" s="3486"/>
      <c r="N1353" s="3486"/>
      <c r="O1353" s="3486"/>
      <c r="P1353" s="3486"/>
      <c r="Q1353" s="3486"/>
      <c r="R1353" s="3486"/>
      <c r="S1353" s="3486"/>
      <c r="T1353" s="3486"/>
      <c r="U1353" s="3486"/>
      <c r="V1353" s="3486"/>
      <c r="W1353" s="3486"/>
      <c r="X1353" s="3486"/>
      <c r="Y1353" s="3943"/>
    </row>
    <row r="1354" spans="1:25" s="3492" customFormat="1">
      <c r="A1354" s="3485"/>
      <c r="B1354" s="3486"/>
      <c r="C1354" s="3486"/>
      <c r="D1354" s="3486"/>
      <c r="E1354" s="3486"/>
      <c r="F1354" s="3486"/>
      <c r="G1354" s="3486"/>
      <c r="H1354" s="3486"/>
      <c r="I1354" s="3486"/>
      <c r="J1354" s="3486"/>
      <c r="K1354" s="3486"/>
      <c r="L1354" s="3486"/>
      <c r="M1354" s="3486"/>
      <c r="N1354" s="3486"/>
      <c r="O1354" s="3486"/>
      <c r="P1354" s="3486"/>
      <c r="Q1354" s="3486"/>
      <c r="R1354" s="3486"/>
      <c r="S1354" s="3486"/>
      <c r="T1354" s="3486"/>
      <c r="U1354" s="3486"/>
      <c r="V1354" s="3486"/>
      <c r="W1354" s="3486"/>
      <c r="X1354" s="3486"/>
      <c r="Y1354" s="3943"/>
    </row>
    <row r="1355" spans="1:25" s="3492" customFormat="1">
      <c r="A1355" s="3485"/>
      <c r="B1355" s="3486"/>
      <c r="C1355" s="3486"/>
      <c r="D1355" s="3486"/>
      <c r="E1355" s="3486"/>
      <c r="F1355" s="3486"/>
      <c r="G1355" s="3486"/>
      <c r="H1355" s="3486"/>
      <c r="I1355" s="3486"/>
      <c r="J1355" s="3486"/>
      <c r="K1355" s="3486"/>
      <c r="L1355" s="3486"/>
      <c r="M1355" s="3486"/>
      <c r="N1355" s="3486"/>
      <c r="O1355" s="3486"/>
      <c r="P1355" s="3486"/>
      <c r="Q1355" s="3486"/>
      <c r="R1355" s="3486"/>
      <c r="S1355" s="3486"/>
      <c r="T1355" s="3486"/>
      <c r="U1355" s="3486"/>
      <c r="V1355" s="3486"/>
      <c r="W1355" s="3486"/>
      <c r="X1355" s="3486"/>
      <c r="Y1355" s="3943"/>
    </row>
    <row r="1356" spans="1:25" s="3492" customFormat="1">
      <c r="A1356" s="3485"/>
      <c r="B1356" s="3486"/>
      <c r="C1356" s="3486"/>
      <c r="D1356" s="3486"/>
      <c r="E1356" s="3486"/>
      <c r="F1356" s="3486"/>
      <c r="G1356" s="3486"/>
      <c r="H1356" s="3486"/>
      <c r="I1356" s="3486"/>
      <c r="J1356" s="3486"/>
      <c r="K1356" s="3486"/>
      <c r="L1356" s="3486"/>
      <c r="M1356" s="3486"/>
      <c r="N1356" s="3486"/>
      <c r="O1356" s="3486"/>
      <c r="P1356" s="3486"/>
      <c r="Q1356" s="3486"/>
      <c r="R1356" s="3486"/>
      <c r="S1356" s="3486"/>
      <c r="T1356" s="3486"/>
      <c r="U1356" s="3486"/>
      <c r="V1356" s="3486"/>
      <c r="W1356" s="3486"/>
      <c r="X1356" s="3486"/>
      <c r="Y1356" s="3943"/>
    </row>
    <row r="1357" spans="1:25" s="3492" customFormat="1">
      <c r="A1357" s="3485"/>
      <c r="B1357" s="3486"/>
      <c r="C1357" s="3486"/>
      <c r="D1357" s="3486"/>
      <c r="E1357" s="3486"/>
      <c r="F1357" s="3486"/>
      <c r="G1357" s="3486"/>
      <c r="H1357" s="3486"/>
      <c r="I1357" s="3486"/>
      <c r="J1357" s="3486"/>
      <c r="K1357" s="3486"/>
      <c r="L1357" s="3486"/>
      <c r="M1357" s="3486"/>
      <c r="N1357" s="3486"/>
      <c r="O1357" s="3486"/>
      <c r="P1357" s="3486"/>
      <c r="Q1357" s="3486"/>
      <c r="R1357" s="3486"/>
      <c r="S1357" s="3486"/>
      <c r="T1357" s="3486"/>
      <c r="U1357" s="3486"/>
      <c r="V1357" s="3486"/>
      <c r="W1357" s="3486"/>
      <c r="X1357" s="3486"/>
      <c r="Y1357" s="3943"/>
    </row>
    <row r="1358" spans="1:25" s="3492" customFormat="1">
      <c r="A1358" s="3485"/>
      <c r="B1358" s="3486"/>
      <c r="C1358" s="3486"/>
      <c r="D1358" s="3486"/>
      <c r="E1358" s="3486"/>
      <c r="F1358" s="3486"/>
      <c r="G1358" s="3486"/>
      <c r="H1358" s="3486"/>
      <c r="I1358" s="3486"/>
      <c r="J1358" s="3486"/>
      <c r="K1358" s="3486"/>
      <c r="L1358" s="3486"/>
      <c r="M1358" s="3486"/>
      <c r="N1358" s="3486"/>
      <c r="O1358" s="3486"/>
      <c r="P1358" s="3486"/>
      <c r="Q1358" s="3486"/>
      <c r="R1358" s="3486"/>
      <c r="S1358" s="3486"/>
      <c r="T1358" s="3486"/>
      <c r="U1358" s="3486"/>
      <c r="V1358" s="3486"/>
      <c r="W1358" s="3486"/>
      <c r="X1358" s="3486"/>
      <c r="Y1358" s="3943"/>
    </row>
    <row r="1359" spans="1:25" s="3492" customFormat="1">
      <c r="A1359" s="3485"/>
      <c r="B1359" s="3486"/>
      <c r="C1359" s="3486"/>
      <c r="D1359" s="3486"/>
      <c r="E1359" s="3486"/>
      <c r="F1359" s="3486"/>
      <c r="G1359" s="3486"/>
      <c r="H1359" s="3486"/>
      <c r="I1359" s="3486"/>
      <c r="J1359" s="3486"/>
      <c r="K1359" s="3486"/>
      <c r="L1359" s="3486"/>
      <c r="M1359" s="3486"/>
      <c r="N1359" s="3486"/>
      <c r="O1359" s="3486"/>
      <c r="P1359" s="3486"/>
      <c r="Q1359" s="3486"/>
      <c r="R1359" s="3486"/>
      <c r="S1359" s="3486"/>
      <c r="T1359" s="3486"/>
      <c r="U1359" s="3486"/>
      <c r="V1359" s="3486"/>
      <c r="W1359" s="3486"/>
      <c r="X1359" s="3486"/>
      <c r="Y1359" s="3943"/>
    </row>
    <row r="1360" spans="1:25" s="3492" customFormat="1">
      <c r="A1360" s="3485"/>
      <c r="B1360" s="3486"/>
      <c r="C1360" s="3486"/>
      <c r="D1360" s="3486"/>
      <c r="E1360" s="3486"/>
      <c r="F1360" s="3486"/>
      <c r="G1360" s="3486"/>
      <c r="H1360" s="3486"/>
      <c r="I1360" s="3486"/>
      <c r="J1360" s="3486"/>
      <c r="K1360" s="3486"/>
      <c r="L1360" s="3486"/>
      <c r="M1360" s="3486"/>
      <c r="N1360" s="3486"/>
      <c r="O1360" s="3486"/>
      <c r="P1360" s="3486"/>
      <c r="Q1360" s="3486"/>
      <c r="R1360" s="3486"/>
      <c r="S1360" s="3486"/>
      <c r="T1360" s="3486"/>
      <c r="U1360" s="3486"/>
      <c r="V1360" s="3486"/>
      <c r="W1360" s="3486"/>
      <c r="X1360" s="3486"/>
      <c r="Y1360" s="3943"/>
    </row>
    <row r="1361" spans="1:25" s="3492" customFormat="1">
      <c r="A1361" s="3485"/>
      <c r="B1361" s="3486"/>
      <c r="C1361" s="3486"/>
      <c r="D1361" s="3486"/>
      <c r="E1361" s="3486"/>
      <c r="F1361" s="3486"/>
      <c r="G1361" s="3486"/>
      <c r="H1361" s="3486"/>
      <c r="I1361" s="3486"/>
      <c r="J1361" s="3486"/>
      <c r="K1361" s="3486"/>
      <c r="L1361" s="3486"/>
      <c r="M1361" s="3486"/>
      <c r="N1361" s="3486"/>
      <c r="O1361" s="3486"/>
      <c r="P1361" s="3486"/>
      <c r="Q1361" s="3486"/>
      <c r="R1361" s="3486"/>
      <c r="S1361" s="3486"/>
      <c r="T1361" s="3486"/>
      <c r="U1361" s="3486"/>
      <c r="V1361" s="3486"/>
      <c r="W1361" s="3486"/>
      <c r="X1361" s="3486"/>
      <c r="Y1361" s="3943"/>
    </row>
    <row r="1362" spans="1:25" s="3492" customFormat="1">
      <c r="A1362" s="3485"/>
      <c r="B1362" s="3486"/>
      <c r="C1362" s="3486"/>
      <c r="D1362" s="3486"/>
      <c r="E1362" s="3486"/>
      <c r="F1362" s="3486"/>
      <c r="G1362" s="3486"/>
      <c r="H1362" s="3486"/>
      <c r="I1362" s="3486"/>
      <c r="J1362" s="3486"/>
      <c r="K1362" s="3486"/>
      <c r="L1362" s="3486"/>
      <c r="M1362" s="3486"/>
      <c r="N1362" s="3486"/>
      <c r="O1362" s="3486"/>
      <c r="P1362" s="3486"/>
      <c r="Q1362" s="3486"/>
      <c r="R1362" s="3486"/>
      <c r="S1362" s="3486"/>
      <c r="T1362" s="3486"/>
      <c r="U1362" s="3486"/>
      <c r="V1362" s="3486"/>
      <c r="W1362" s="3486"/>
      <c r="X1362" s="3486"/>
      <c r="Y1362" s="3943"/>
    </row>
    <row r="1363" spans="1:25" s="3492" customFormat="1">
      <c r="A1363" s="3485"/>
      <c r="B1363" s="3486"/>
      <c r="C1363" s="3486"/>
      <c r="D1363" s="3486"/>
      <c r="E1363" s="3486"/>
      <c r="F1363" s="3486"/>
      <c r="G1363" s="3486"/>
      <c r="H1363" s="3486"/>
      <c r="I1363" s="3486"/>
      <c r="J1363" s="3486"/>
      <c r="K1363" s="3486"/>
      <c r="L1363" s="3486"/>
      <c r="M1363" s="3486"/>
      <c r="N1363" s="3486"/>
      <c r="O1363" s="3486"/>
      <c r="P1363" s="3486"/>
      <c r="Q1363" s="3486"/>
      <c r="R1363" s="3486"/>
      <c r="S1363" s="3486"/>
      <c r="T1363" s="3486"/>
      <c r="U1363" s="3486"/>
      <c r="V1363" s="3486"/>
      <c r="W1363" s="3486"/>
      <c r="X1363" s="3486"/>
      <c r="Y1363" s="3943"/>
    </row>
    <row r="1364" spans="1:25" s="3492" customFormat="1">
      <c r="A1364" s="3485"/>
      <c r="B1364" s="3486"/>
      <c r="C1364" s="3486"/>
      <c r="D1364" s="3486"/>
      <c r="E1364" s="3486"/>
      <c r="F1364" s="3486"/>
      <c r="G1364" s="3486"/>
      <c r="H1364" s="3486"/>
      <c r="I1364" s="3486"/>
      <c r="J1364" s="3486"/>
      <c r="K1364" s="3486"/>
      <c r="L1364" s="3486"/>
      <c r="M1364" s="3486"/>
      <c r="N1364" s="3486"/>
      <c r="O1364" s="3486"/>
      <c r="P1364" s="3486"/>
      <c r="Q1364" s="3486"/>
      <c r="R1364" s="3486"/>
      <c r="S1364" s="3486"/>
      <c r="T1364" s="3486"/>
      <c r="U1364" s="3486"/>
      <c r="V1364" s="3486"/>
      <c r="W1364" s="3486"/>
      <c r="X1364" s="3486"/>
      <c r="Y1364" s="3943"/>
    </row>
    <row r="1365" spans="1:25" s="3492" customFormat="1">
      <c r="A1365" s="3485"/>
      <c r="B1365" s="3486"/>
      <c r="C1365" s="3486"/>
      <c r="D1365" s="3486"/>
      <c r="E1365" s="3486"/>
      <c r="F1365" s="3486"/>
      <c r="G1365" s="3486"/>
      <c r="H1365" s="3486"/>
      <c r="I1365" s="3486"/>
      <c r="J1365" s="3486"/>
      <c r="K1365" s="3486"/>
      <c r="L1365" s="3486"/>
      <c r="M1365" s="3486"/>
      <c r="N1365" s="3486"/>
      <c r="O1365" s="3486"/>
      <c r="P1365" s="3486"/>
      <c r="Q1365" s="3486"/>
      <c r="R1365" s="3486"/>
      <c r="S1365" s="3486"/>
      <c r="T1365" s="3486"/>
      <c r="U1365" s="3486"/>
      <c r="V1365" s="3486"/>
      <c r="W1365" s="3486"/>
      <c r="X1365" s="3486"/>
      <c r="Y1365" s="3943"/>
    </row>
    <row r="1366" spans="1:25" s="3492" customFormat="1">
      <c r="A1366" s="3485"/>
      <c r="B1366" s="3486"/>
      <c r="C1366" s="3486"/>
      <c r="D1366" s="3486"/>
      <c r="E1366" s="3486"/>
      <c r="F1366" s="3486"/>
      <c r="G1366" s="3486"/>
      <c r="H1366" s="3486"/>
      <c r="I1366" s="3486"/>
      <c r="J1366" s="3486"/>
      <c r="K1366" s="3486"/>
      <c r="L1366" s="3486"/>
      <c r="M1366" s="3486"/>
      <c r="N1366" s="3486"/>
      <c r="O1366" s="3486"/>
      <c r="P1366" s="3486"/>
      <c r="Q1366" s="3486"/>
      <c r="R1366" s="3486"/>
      <c r="S1366" s="3486"/>
      <c r="T1366" s="3486"/>
      <c r="U1366" s="3486"/>
      <c r="V1366" s="3486"/>
      <c r="W1366" s="3486"/>
      <c r="X1366" s="3486"/>
      <c r="Y1366" s="3943"/>
    </row>
    <row r="1367" spans="1:25" s="3492" customFormat="1">
      <c r="A1367" s="3485"/>
      <c r="B1367" s="3486"/>
      <c r="C1367" s="3486"/>
      <c r="D1367" s="3486"/>
      <c r="E1367" s="3486"/>
      <c r="F1367" s="3486"/>
      <c r="G1367" s="3486"/>
      <c r="H1367" s="3486"/>
      <c r="I1367" s="3486"/>
      <c r="J1367" s="3486"/>
      <c r="K1367" s="3486"/>
      <c r="L1367" s="3486"/>
      <c r="M1367" s="3486"/>
      <c r="N1367" s="3486"/>
      <c r="O1367" s="3486"/>
      <c r="P1367" s="3486"/>
      <c r="Q1367" s="3486"/>
      <c r="R1367" s="3486"/>
      <c r="S1367" s="3486"/>
      <c r="T1367" s="3486"/>
      <c r="U1367" s="3486"/>
      <c r="V1367" s="3486"/>
      <c r="W1367" s="3486"/>
      <c r="X1367" s="3486"/>
      <c r="Y1367" s="3943"/>
    </row>
    <row r="1368" spans="1:25" s="3492" customFormat="1">
      <c r="A1368" s="3485"/>
      <c r="B1368" s="3486"/>
      <c r="C1368" s="3486"/>
      <c r="D1368" s="3486"/>
      <c r="E1368" s="3486"/>
      <c r="F1368" s="3486"/>
      <c r="G1368" s="3486"/>
      <c r="H1368" s="3486"/>
      <c r="I1368" s="3486"/>
      <c r="J1368" s="3486"/>
      <c r="K1368" s="3486"/>
      <c r="L1368" s="3486"/>
      <c r="M1368" s="3486"/>
      <c r="N1368" s="3486"/>
      <c r="O1368" s="3486"/>
      <c r="P1368" s="3486"/>
      <c r="Q1368" s="3486"/>
      <c r="R1368" s="3486"/>
      <c r="S1368" s="3486"/>
      <c r="T1368" s="3486"/>
      <c r="U1368" s="3486"/>
      <c r="V1368" s="3486"/>
      <c r="W1368" s="3486"/>
      <c r="X1368" s="3486"/>
      <c r="Y1368" s="3943"/>
    </row>
    <row r="1369" spans="1:25" s="3492" customFormat="1">
      <c r="A1369" s="3485"/>
      <c r="B1369" s="3486"/>
      <c r="C1369" s="3486"/>
      <c r="D1369" s="3486"/>
      <c r="E1369" s="3486"/>
      <c r="F1369" s="3486"/>
      <c r="G1369" s="3486"/>
      <c r="H1369" s="3486"/>
      <c r="I1369" s="3486"/>
      <c r="J1369" s="3486"/>
      <c r="K1369" s="3486"/>
      <c r="L1369" s="3486"/>
      <c r="M1369" s="3486"/>
      <c r="N1369" s="3486"/>
      <c r="O1369" s="3486"/>
      <c r="P1369" s="3486"/>
      <c r="Q1369" s="3486"/>
      <c r="R1369" s="3486"/>
      <c r="S1369" s="3486"/>
      <c r="T1369" s="3486"/>
      <c r="U1369" s="3486"/>
      <c r="V1369" s="3486"/>
      <c r="W1369" s="3486"/>
      <c r="X1369" s="3486"/>
      <c r="Y1369" s="3943"/>
    </row>
    <row r="1370" spans="1:25" s="3492" customFormat="1">
      <c r="A1370" s="3485"/>
      <c r="B1370" s="3486"/>
      <c r="C1370" s="3486"/>
      <c r="D1370" s="3486"/>
      <c r="E1370" s="3486"/>
      <c r="F1370" s="3486"/>
      <c r="G1370" s="3486"/>
      <c r="H1370" s="3486"/>
      <c r="I1370" s="3486"/>
      <c r="J1370" s="3486"/>
      <c r="K1370" s="3486"/>
      <c r="L1370" s="3486"/>
      <c r="M1370" s="3486"/>
      <c r="N1370" s="3486"/>
      <c r="O1370" s="3486"/>
      <c r="P1370" s="3486"/>
      <c r="Q1370" s="3486"/>
      <c r="R1370" s="3486"/>
      <c r="S1370" s="3486"/>
      <c r="T1370" s="3486"/>
      <c r="U1370" s="3486"/>
      <c r="V1370" s="3486"/>
      <c r="W1370" s="3486"/>
      <c r="X1370" s="3486"/>
      <c r="Y1370" s="3943"/>
    </row>
    <row r="1371" spans="1:25" s="3492" customFormat="1">
      <c r="A1371" s="3485"/>
      <c r="B1371" s="3486"/>
      <c r="C1371" s="3486"/>
      <c r="D1371" s="3486"/>
      <c r="E1371" s="3486"/>
      <c r="F1371" s="3486"/>
      <c r="G1371" s="3486"/>
      <c r="H1371" s="3486"/>
      <c r="I1371" s="3486"/>
      <c r="J1371" s="3486"/>
      <c r="K1371" s="3486"/>
      <c r="L1371" s="3486"/>
      <c r="M1371" s="3486"/>
      <c r="N1371" s="3486"/>
      <c r="O1371" s="3486"/>
      <c r="P1371" s="3486"/>
      <c r="Q1371" s="3486"/>
      <c r="R1371" s="3486"/>
      <c r="S1371" s="3486"/>
      <c r="T1371" s="3486"/>
      <c r="U1371" s="3486"/>
      <c r="V1371" s="3486"/>
      <c r="W1371" s="3486"/>
      <c r="X1371" s="3486"/>
      <c r="Y1371" s="3943"/>
    </row>
    <row r="1372" spans="1:25" s="3492" customFormat="1">
      <c r="A1372" s="3485"/>
      <c r="B1372" s="3486"/>
      <c r="C1372" s="3486"/>
      <c r="D1372" s="3486"/>
      <c r="E1372" s="3486"/>
      <c r="F1372" s="3486"/>
      <c r="G1372" s="3486"/>
      <c r="H1372" s="3486"/>
      <c r="I1372" s="3486"/>
      <c r="J1372" s="3486"/>
      <c r="K1372" s="3486"/>
      <c r="L1372" s="3486"/>
      <c r="M1372" s="3486"/>
      <c r="N1372" s="3486"/>
      <c r="O1372" s="3486"/>
      <c r="P1372" s="3486"/>
      <c r="Q1372" s="3486"/>
      <c r="R1372" s="3486"/>
      <c r="S1372" s="3486"/>
      <c r="T1372" s="3486"/>
      <c r="U1372" s="3486"/>
      <c r="V1372" s="3486"/>
      <c r="W1372" s="3486"/>
      <c r="X1372" s="3486"/>
      <c r="Y1372" s="3943"/>
    </row>
    <row r="1373" spans="1:25" s="3492" customFormat="1">
      <c r="A1373" s="3485"/>
      <c r="B1373" s="3486"/>
      <c r="C1373" s="3486"/>
      <c r="D1373" s="3486"/>
      <c r="E1373" s="3486"/>
      <c r="F1373" s="3486"/>
      <c r="G1373" s="3486"/>
      <c r="H1373" s="3486"/>
      <c r="I1373" s="3486"/>
      <c r="J1373" s="3486"/>
      <c r="K1373" s="3486"/>
      <c r="L1373" s="3486"/>
      <c r="M1373" s="3486"/>
      <c r="N1373" s="3486"/>
      <c r="O1373" s="3486"/>
      <c r="P1373" s="3486"/>
      <c r="Q1373" s="3486"/>
      <c r="R1373" s="3486"/>
      <c r="S1373" s="3486"/>
      <c r="T1373" s="3486"/>
      <c r="U1373" s="3486"/>
      <c r="V1373" s="3486"/>
      <c r="W1373" s="3486"/>
      <c r="X1373" s="3486"/>
      <c r="Y1373" s="3943"/>
    </row>
    <row r="1374" spans="1:25" s="3492" customFormat="1">
      <c r="A1374" s="3485"/>
      <c r="B1374" s="3486"/>
      <c r="C1374" s="3486"/>
      <c r="D1374" s="3486"/>
      <c r="E1374" s="3486"/>
      <c r="F1374" s="3486"/>
      <c r="G1374" s="3486"/>
      <c r="H1374" s="3486"/>
      <c r="I1374" s="3486"/>
      <c r="J1374" s="3486"/>
      <c r="K1374" s="3486"/>
      <c r="L1374" s="3486"/>
      <c r="M1374" s="3486"/>
      <c r="N1374" s="3486"/>
      <c r="O1374" s="3486"/>
      <c r="P1374" s="3486"/>
      <c r="Q1374" s="3486"/>
      <c r="R1374" s="3486"/>
      <c r="S1374" s="3486"/>
      <c r="T1374" s="3486"/>
      <c r="U1374" s="3486"/>
      <c r="V1374" s="3486"/>
      <c r="W1374" s="3486"/>
      <c r="X1374" s="3486"/>
      <c r="Y1374" s="3943"/>
    </row>
    <row r="1375" spans="1:25" s="3492" customFormat="1">
      <c r="A1375" s="3485"/>
      <c r="B1375" s="3486"/>
      <c r="C1375" s="3486"/>
      <c r="D1375" s="3486"/>
      <c r="E1375" s="3486"/>
      <c r="F1375" s="3486"/>
      <c r="G1375" s="3486"/>
      <c r="H1375" s="3486"/>
      <c r="I1375" s="3486"/>
      <c r="J1375" s="3486"/>
      <c r="K1375" s="3486"/>
      <c r="L1375" s="3486"/>
      <c r="M1375" s="3486"/>
      <c r="N1375" s="3486"/>
      <c r="O1375" s="3486"/>
      <c r="P1375" s="3486"/>
      <c r="Q1375" s="3486"/>
      <c r="R1375" s="3486"/>
      <c r="S1375" s="3486"/>
      <c r="T1375" s="3486"/>
      <c r="U1375" s="3486"/>
      <c r="V1375" s="3486"/>
      <c r="W1375" s="3486"/>
      <c r="X1375" s="3486"/>
      <c r="Y1375" s="3943"/>
    </row>
    <row r="1376" spans="1:25" s="3492" customFormat="1">
      <c r="A1376" s="3485"/>
      <c r="B1376" s="3486"/>
      <c r="C1376" s="3486"/>
      <c r="D1376" s="3486"/>
      <c r="E1376" s="3486"/>
      <c r="F1376" s="3486"/>
      <c r="G1376" s="3486"/>
      <c r="H1376" s="3486"/>
      <c r="I1376" s="3486"/>
      <c r="J1376" s="3486"/>
      <c r="K1376" s="3486"/>
      <c r="L1376" s="3486"/>
      <c r="M1376" s="3486"/>
      <c r="N1376" s="3486"/>
      <c r="O1376" s="3486"/>
      <c r="P1376" s="3486"/>
      <c r="Q1376" s="3486"/>
      <c r="R1376" s="3486"/>
      <c r="S1376" s="3486"/>
      <c r="T1376" s="3486"/>
      <c r="U1376" s="3486"/>
      <c r="V1376" s="3486"/>
      <c r="W1376" s="3486"/>
      <c r="X1376" s="3486"/>
      <c r="Y1376" s="3943"/>
    </row>
    <row r="1377" spans="1:25" s="3492" customFormat="1">
      <c r="A1377" s="3485"/>
      <c r="B1377" s="3486"/>
      <c r="C1377" s="3486"/>
      <c r="D1377" s="3486"/>
      <c r="E1377" s="3486"/>
      <c r="F1377" s="3486"/>
      <c r="G1377" s="3486"/>
      <c r="H1377" s="3486"/>
      <c r="I1377" s="3486"/>
      <c r="J1377" s="3486"/>
      <c r="K1377" s="3486"/>
      <c r="L1377" s="3486"/>
      <c r="M1377" s="3486"/>
      <c r="N1377" s="3486"/>
      <c r="O1377" s="3486"/>
      <c r="P1377" s="3486"/>
      <c r="Q1377" s="3486"/>
      <c r="R1377" s="3486"/>
      <c r="S1377" s="3486"/>
      <c r="T1377" s="3486"/>
      <c r="U1377" s="3486"/>
      <c r="V1377" s="3486"/>
      <c r="W1377" s="3486"/>
      <c r="X1377" s="3486"/>
      <c r="Y1377" s="3943"/>
    </row>
    <row r="1378" spans="1:25" s="3492" customFormat="1">
      <c r="A1378" s="3485"/>
      <c r="B1378" s="3486"/>
      <c r="C1378" s="3486"/>
      <c r="D1378" s="3486"/>
      <c r="E1378" s="3486"/>
      <c r="F1378" s="3486"/>
      <c r="G1378" s="3486"/>
      <c r="H1378" s="3486"/>
      <c r="I1378" s="3486"/>
      <c r="J1378" s="3486"/>
      <c r="K1378" s="3486"/>
      <c r="L1378" s="3486"/>
      <c r="M1378" s="3486"/>
      <c r="N1378" s="3486"/>
      <c r="O1378" s="3486"/>
      <c r="P1378" s="3486"/>
      <c r="Q1378" s="3486"/>
      <c r="R1378" s="3486"/>
      <c r="S1378" s="3486"/>
      <c r="T1378" s="3486"/>
      <c r="U1378" s="3486"/>
      <c r="V1378" s="3486"/>
      <c r="W1378" s="3486"/>
      <c r="X1378" s="3486"/>
      <c r="Y1378" s="3943"/>
    </row>
    <row r="1379" spans="1:25" s="3492" customFormat="1">
      <c r="A1379" s="3485"/>
      <c r="B1379" s="3486"/>
      <c r="C1379" s="3486"/>
      <c r="D1379" s="3486"/>
      <c r="E1379" s="3486"/>
      <c r="F1379" s="3486"/>
      <c r="G1379" s="3486"/>
      <c r="H1379" s="3486"/>
      <c r="I1379" s="3486"/>
      <c r="J1379" s="3486"/>
      <c r="K1379" s="3486"/>
      <c r="L1379" s="3486"/>
      <c r="M1379" s="3486"/>
      <c r="N1379" s="3486"/>
      <c r="O1379" s="3486"/>
      <c r="P1379" s="3486"/>
      <c r="Q1379" s="3486"/>
      <c r="R1379" s="3486"/>
      <c r="S1379" s="3486"/>
      <c r="T1379" s="3486"/>
      <c r="U1379" s="3486"/>
      <c r="V1379" s="3486"/>
      <c r="W1379" s="3486"/>
      <c r="X1379" s="3486"/>
      <c r="Y1379" s="3943"/>
    </row>
    <row r="1380" spans="1:25" s="3492" customFormat="1">
      <c r="A1380" s="3485"/>
      <c r="B1380" s="3486"/>
      <c r="C1380" s="3486"/>
      <c r="D1380" s="3486"/>
      <c r="E1380" s="3486"/>
      <c r="F1380" s="3486"/>
      <c r="G1380" s="3486"/>
      <c r="H1380" s="3486"/>
      <c r="I1380" s="3486"/>
      <c r="J1380" s="3486"/>
      <c r="K1380" s="3486"/>
      <c r="L1380" s="3486"/>
      <c r="M1380" s="3486"/>
      <c r="N1380" s="3486"/>
      <c r="O1380" s="3486"/>
      <c r="P1380" s="3486"/>
      <c r="Q1380" s="3486"/>
      <c r="R1380" s="3486"/>
      <c r="S1380" s="3486"/>
      <c r="T1380" s="3486"/>
      <c r="U1380" s="3486"/>
      <c r="V1380" s="3486"/>
      <c r="W1380" s="3486"/>
      <c r="X1380" s="3486"/>
      <c r="Y1380" s="3943"/>
    </row>
    <row r="1381" spans="1:25" s="3492" customFormat="1">
      <c r="A1381" s="3485"/>
      <c r="B1381" s="3486"/>
      <c r="C1381" s="3486"/>
      <c r="D1381" s="3486"/>
      <c r="E1381" s="3486"/>
      <c r="F1381" s="3486"/>
      <c r="G1381" s="3486"/>
      <c r="H1381" s="3486"/>
      <c r="I1381" s="3486"/>
      <c r="J1381" s="3486"/>
      <c r="K1381" s="3486"/>
      <c r="L1381" s="3486"/>
      <c r="M1381" s="3486"/>
      <c r="N1381" s="3486"/>
      <c r="O1381" s="3486"/>
      <c r="P1381" s="3486"/>
      <c r="Q1381" s="3486"/>
      <c r="R1381" s="3486"/>
      <c r="S1381" s="3486"/>
      <c r="T1381" s="3486"/>
      <c r="U1381" s="3486"/>
      <c r="V1381" s="3486"/>
      <c r="W1381" s="3486"/>
      <c r="X1381" s="3486"/>
      <c r="Y1381" s="3943"/>
    </row>
    <row r="1382" spans="1:25" s="3492" customFormat="1">
      <c r="A1382" s="3485"/>
      <c r="B1382" s="3486"/>
      <c r="C1382" s="3486"/>
      <c r="D1382" s="3486"/>
      <c r="E1382" s="3486"/>
      <c r="F1382" s="3486"/>
      <c r="G1382" s="3486"/>
      <c r="H1382" s="3486"/>
      <c r="I1382" s="3486"/>
      <c r="J1382" s="3486"/>
      <c r="K1382" s="3486"/>
      <c r="L1382" s="3486"/>
      <c r="M1382" s="3486"/>
      <c r="N1382" s="3486"/>
      <c r="O1382" s="3486"/>
      <c r="P1382" s="3486"/>
      <c r="Q1382" s="3486"/>
      <c r="R1382" s="3486"/>
      <c r="S1382" s="3486"/>
      <c r="T1382" s="3486"/>
      <c r="U1382" s="3486"/>
      <c r="V1382" s="3486"/>
      <c r="W1382" s="3486"/>
      <c r="X1382" s="3486"/>
      <c r="Y1382" s="3943"/>
    </row>
    <row r="1383" spans="1:25" s="3492" customFormat="1">
      <c r="A1383" s="3485"/>
      <c r="B1383" s="3486"/>
      <c r="C1383" s="3486"/>
      <c r="D1383" s="3486"/>
      <c r="E1383" s="3486"/>
      <c r="F1383" s="3486"/>
      <c r="G1383" s="3486"/>
      <c r="H1383" s="3486"/>
      <c r="I1383" s="3486"/>
      <c r="J1383" s="3486"/>
      <c r="K1383" s="3486"/>
      <c r="L1383" s="3486"/>
      <c r="M1383" s="3486"/>
      <c r="N1383" s="3486"/>
      <c r="O1383" s="3486"/>
      <c r="P1383" s="3486"/>
      <c r="Q1383" s="3486"/>
      <c r="R1383" s="3486"/>
      <c r="S1383" s="3486"/>
      <c r="T1383" s="3486"/>
      <c r="U1383" s="3486"/>
      <c r="V1383" s="3486"/>
      <c r="W1383" s="3486"/>
      <c r="X1383" s="3486"/>
      <c r="Y1383" s="3943"/>
    </row>
    <row r="1384" spans="1:25" s="3492" customFormat="1">
      <c r="A1384" s="3485"/>
      <c r="B1384" s="3486"/>
      <c r="C1384" s="3486"/>
      <c r="D1384" s="3486"/>
      <c r="E1384" s="3486"/>
      <c r="F1384" s="3486"/>
      <c r="G1384" s="3486"/>
      <c r="H1384" s="3486"/>
      <c r="I1384" s="3486"/>
      <c r="J1384" s="3486"/>
      <c r="K1384" s="3486"/>
      <c r="L1384" s="3486"/>
      <c r="M1384" s="3486"/>
      <c r="N1384" s="3486"/>
      <c r="O1384" s="3486"/>
      <c r="P1384" s="3486"/>
      <c r="Q1384" s="3486"/>
      <c r="R1384" s="3486"/>
      <c r="S1384" s="3486"/>
      <c r="T1384" s="3486"/>
      <c r="U1384" s="3486"/>
      <c r="V1384" s="3486"/>
      <c r="W1384" s="3486"/>
      <c r="X1384" s="3486"/>
      <c r="Y1384" s="3943"/>
    </row>
    <row r="1385" spans="1:25" s="3492" customFormat="1">
      <c r="A1385" s="3485"/>
      <c r="B1385" s="3486"/>
      <c r="C1385" s="3486"/>
      <c r="D1385" s="3486"/>
      <c r="E1385" s="3486"/>
      <c r="F1385" s="3486"/>
      <c r="G1385" s="3486"/>
      <c r="H1385" s="3486"/>
      <c r="I1385" s="3486"/>
      <c r="J1385" s="3486"/>
      <c r="K1385" s="3486"/>
      <c r="L1385" s="3486"/>
      <c r="M1385" s="3486"/>
      <c r="N1385" s="3486"/>
      <c r="O1385" s="3486"/>
      <c r="P1385" s="3486"/>
      <c r="Q1385" s="3486"/>
      <c r="R1385" s="3486"/>
      <c r="S1385" s="3486"/>
      <c r="T1385" s="3486"/>
      <c r="U1385" s="3486"/>
      <c r="V1385" s="3486"/>
      <c r="W1385" s="3486"/>
      <c r="X1385" s="3486"/>
      <c r="Y1385" s="3943"/>
    </row>
    <row r="1386" spans="1:25" s="3492" customFormat="1">
      <c r="A1386" s="3485"/>
      <c r="B1386" s="3486"/>
      <c r="C1386" s="3486"/>
      <c r="D1386" s="3486"/>
      <c r="E1386" s="3486"/>
      <c r="F1386" s="3486"/>
      <c r="G1386" s="3486"/>
      <c r="H1386" s="3486"/>
      <c r="I1386" s="3486"/>
      <c r="J1386" s="3486"/>
      <c r="K1386" s="3486"/>
      <c r="L1386" s="3486"/>
      <c r="M1386" s="3486"/>
      <c r="N1386" s="3486"/>
      <c r="O1386" s="3486"/>
      <c r="P1386" s="3486"/>
      <c r="Q1386" s="3486"/>
      <c r="R1386" s="3486"/>
      <c r="S1386" s="3486"/>
      <c r="T1386" s="3486"/>
      <c r="U1386" s="3486"/>
      <c r="V1386" s="3486"/>
      <c r="W1386" s="3486"/>
      <c r="X1386" s="3486"/>
      <c r="Y1386" s="3943"/>
    </row>
    <row r="1387" spans="1:25" s="3492" customFormat="1">
      <c r="A1387" s="3485"/>
      <c r="B1387" s="3486"/>
      <c r="C1387" s="3486"/>
      <c r="D1387" s="3486"/>
      <c r="E1387" s="3486"/>
      <c r="F1387" s="3486"/>
      <c r="G1387" s="3486"/>
      <c r="H1387" s="3486"/>
      <c r="I1387" s="3486"/>
      <c r="J1387" s="3486"/>
      <c r="K1387" s="3486"/>
      <c r="L1387" s="3486"/>
      <c r="M1387" s="3486"/>
      <c r="N1387" s="3486"/>
      <c r="O1387" s="3486"/>
      <c r="P1387" s="3486"/>
      <c r="Q1387" s="3486"/>
      <c r="R1387" s="3486"/>
      <c r="S1387" s="3486"/>
      <c r="T1387" s="3486"/>
      <c r="U1387" s="3486"/>
      <c r="V1387" s="3486"/>
      <c r="W1387" s="3486"/>
      <c r="X1387" s="3486"/>
      <c r="Y1387" s="3943"/>
    </row>
    <row r="1388" spans="1:25" s="3492" customFormat="1">
      <c r="A1388" s="3485"/>
      <c r="B1388" s="3486"/>
      <c r="C1388" s="3486"/>
      <c r="D1388" s="3486"/>
      <c r="E1388" s="3486"/>
      <c r="F1388" s="3486"/>
      <c r="G1388" s="3486"/>
      <c r="H1388" s="3486"/>
      <c r="I1388" s="3486"/>
      <c r="J1388" s="3486"/>
      <c r="K1388" s="3486"/>
      <c r="L1388" s="3486"/>
      <c r="M1388" s="3486"/>
      <c r="N1388" s="3486"/>
      <c r="O1388" s="3486"/>
      <c r="P1388" s="3486"/>
      <c r="Q1388" s="3486"/>
      <c r="R1388" s="3486"/>
      <c r="S1388" s="3486"/>
      <c r="T1388" s="3486"/>
      <c r="U1388" s="3486"/>
      <c r="V1388" s="3486"/>
      <c r="W1388" s="3486"/>
      <c r="X1388" s="3486"/>
      <c r="Y1388" s="3943"/>
    </row>
    <row r="1389" spans="1:25" s="3492" customFormat="1">
      <c r="A1389" s="3485"/>
      <c r="B1389" s="3486"/>
      <c r="C1389" s="3486"/>
      <c r="D1389" s="3486"/>
      <c r="E1389" s="3486"/>
      <c r="F1389" s="3486"/>
      <c r="G1389" s="3486"/>
      <c r="H1389" s="3486"/>
      <c r="I1389" s="3486"/>
      <c r="J1389" s="3486"/>
      <c r="K1389" s="3486"/>
      <c r="L1389" s="3486"/>
      <c r="M1389" s="3486"/>
      <c r="N1389" s="3486"/>
      <c r="O1389" s="3486"/>
      <c r="P1389" s="3486"/>
      <c r="Q1389" s="3486"/>
      <c r="R1389" s="3486"/>
      <c r="S1389" s="3486"/>
      <c r="T1389" s="3486"/>
      <c r="U1389" s="3486"/>
      <c r="V1389" s="3486"/>
      <c r="W1389" s="3486"/>
      <c r="X1389" s="3486"/>
      <c r="Y1389" s="3943"/>
    </row>
    <row r="1390" spans="1:25" s="3492" customFormat="1">
      <c r="A1390" s="3485"/>
      <c r="B1390" s="3486"/>
      <c r="C1390" s="3486"/>
      <c r="D1390" s="3486"/>
      <c r="E1390" s="3486"/>
      <c r="F1390" s="3486"/>
      <c r="G1390" s="3486"/>
      <c r="H1390" s="3486"/>
      <c r="I1390" s="3486"/>
      <c r="J1390" s="3486"/>
      <c r="K1390" s="3486"/>
      <c r="L1390" s="3486"/>
      <c r="M1390" s="3486"/>
      <c r="N1390" s="3486"/>
      <c r="O1390" s="3486"/>
      <c r="P1390" s="3486"/>
      <c r="Q1390" s="3486"/>
      <c r="R1390" s="3486"/>
      <c r="S1390" s="3486"/>
      <c r="T1390" s="3486"/>
      <c r="U1390" s="3486"/>
      <c r="V1390" s="3486"/>
      <c r="W1390" s="3486"/>
      <c r="X1390" s="3486"/>
      <c r="Y1390" s="3943"/>
    </row>
    <row r="1391" spans="1:25" s="3492" customFormat="1">
      <c r="A1391" s="3485"/>
      <c r="B1391" s="3486"/>
      <c r="C1391" s="3486"/>
      <c r="D1391" s="3486"/>
      <c r="E1391" s="3486"/>
      <c r="F1391" s="3486"/>
      <c r="G1391" s="3486"/>
      <c r="H1391" s="3486"/>
      <c r="I1391" s="3486"/>
      <c r="J1391" s="3486"/>
      <c r="K1391" s="3486"/>
      <c r="L1391" s="3486"/>
      <c r="M1391" s="3486"/>
      <c r="N1391" s="3486"/>
      <c r="O1391" s="3486"/>
      <c r="P1391" s="3486"/>
      <c r="Q1391" s="3486"/>
      <c r="R1391" s="3486"/>
      <c r="S1391" s="3486"/>
      <c r="T1391" s="3486"/>
      <c r="U1391" s="3486"/>
      <c r="V1391" s="3486"/>
      <c r="W1391" s="3486"/>
      <c r="X1391" s="3486"/>
      <c r="Y1391" s="3943"/>
    </row>
    <row r="1392" spans="1:25" s="3492" customFormat="1">
      <c r="A1392" s="3485"/>
      <c r="B1392" s="3486"/>
      <c r="C1392" s="3486"/>
      <c r="D1392" s="3486"/>
      <c r="E1392" s="3486"/>
      <c r="F1392" s="3486"/>
      <c r="G1392" s="3486"/>
      <c r="H1392" s="3486"/>
      <c r="I1392" s="3486"/>
      <c r="J1392" s="3486"/>
      <c r="K1392" s="3486"/>
      <c r="L1392" s="3486"/>
      <c r="M1392" s="3486"/>
      <c r="N1392" s="3486"/>
      <c r="O1392" s="3486"/>
      <c r="P1392" s="3486"/>
      <c r="Q1392" s="3486"/>
      <c r="R1392" s="3486"/>
      <c r="S1392" s="3486"/>
      <c r="T1392" s="3486"/>
      <c r="U1392" s="3486"/>
      <c r="V1392" s="3486"/>
      <c r="W1392" s="3486"/>
      <c r="X1392" s="3486"/>
      <c r="Y1392" s="3943"/>
    </row>
    <row r="1393" spans="1:25" s="3492" customFormat="1">
      <c r="A1393" s="3485"/>
      <c r="B1393" s="3486"/>
      <c r="C1393" s="3486"/>
      <c r="D1393" s="3486"/>
      <c r="E1393" s="3486"/>
      <c r="F1393" s="3486"/>
      <c r="G1393" s="3486"/>
      <c r="H1393" s="3486"/>
      <c r="I1393" s="3486"/>
      <c r="J1393" s="3486"/>
      <c r="K1393" s="3486"/>
      <c r="L1393" s="3486"/>
      <c r="M1393" s="3486"/>
      <c r="N1393" s="3486"/>
      <c r="O1393" s="3486"/>
      <c r="P1393" s="3486"/>
      <c r="Q1393" s="3486"/>
      <c r="R1393" s="3486"/>
      <c r="S1393" s="3486"/>
      <c r="T1393" s="3486"/>
      <c r="U1393" s="3486"/>
      <c r="V1393" s="3486"/>
      <c r="W1393" s="3486"/>
      <c r="X1393" s="3486"/>
      <c r="Y1393" s="3943"/>
    </row>
    <row r="1394" spans="1:25" s="3492" customFormat="1">
      <c r="A1394" s="3485"/>
      <c r="B1394" s="3486"/>
      <c r="C1394" s="3486"/>
      <c r="D1394" s="3486"/>
      <c r="E1394" s="3486"/>
      <c r="F1394" s="3486"/>
      <c r="G1394" s="3486"/>
      <c r="H1394" s="3486"/>
      <c r="I1394" s="3486"/>
      <c r="J1394" s="3486"/>
      <c r="K1394" s="3486"/>
      <c r="L1394" s="3486"/>
      <c r="M1394" s="3486"/>
      <c r="N1394" s="3486"/>
      <c r="O1394" s="3486"/>
      <c r="P1394" s="3486"/>
      <c r="Q1394" s="3486"/>
      <c r="R1394" s="3486"/>
      <c r="S1394" s="3486"/>
      <c r="T1394" s="3486"/>
      <c r="U1394" s="3486"/>
      <c r="V1394" s="3486"/>
      <c r="W1394" s="3486"/>
      <c r="X1394" s="3486"/>
      <c r="Y1394" s="3943"/>
    </row>
    <row r="1395" spans="1:25" s="3492" customFormat="1">
      <c r="A1395" s="3485"/>
      <c r="B1395" s="3486"/>
      <c r="C1395" s="3486"/>
      <c r="D1395" s="3486"/>
      <c r="E1395" s="3486"/>
      <c r="F1395" s="3486"/>
      <c r="G1395" s="3486"/>
      <c r="H1395" s="3486"/>
      <c r="I1395" s="3486"/>
      <c r="J1395" s="3486"/>
      <c r="K1395" s="3486"/>
      <c r="L1395" s="3486"/>
      <c r="M1395" s="3486"/>
      <c r="N1395" s="3486"/>
      <c r="O1395" s="3486"/>
      <c r="P1395" s="3486"/>
      <c r="Q1395" s="3486"/>
      <c r="R1395" s="3486"/>
      <c r="S1395" s="3486"/>
      <c r="T1395" s="3486"/>
      <c r="U1395" s="3486"/>
      <c r="V1395" s="3486"/>
      <c r="W1395" s="3486"/>
      <c r="X1395" s="3486"/>
      <c r="Y1395" s="3943"/>
    </row>
    <row r="1396" spans="1:25" s="3492" customFormat="1">
      <c r="A1396" s="3485"/>
      <c r="B1396" s="3486"/>
      <c r="C1396" s="3486"/>
      <c r="D1396" s="3486"/>
      <c r="E1396" s="3486"/>
      <c r="F1396" s="3486"/>
      <c r="G1396" s="3486"/>
      <c r="H1396" s="3486"/>
      <c r="I1396" s="3486"/>
      <c r="J1396" s="3486"/>
      <c r="K1396" s="3486"/>
      <c r="L1396" s="3486"/>
      <c r="M1396" s="3486"/>
      <c r="N1396" s="3486"/>
      <c r="O1396" s="3486"/>
      <c r="P1396" s="3486"/>
      <c r="Q1396" s="3486"/>
      <c r="R1396" s="3486"/>
      <c r="S1396" s="3486"/>
      <c r="T1396" s="3486"/>
      <c r="U1396" s="3486"/>
      <c r="V1396" s="3486"/>
      <c r="W1396" s="3486"/>
      <c r="X1396" s="3486"/>
      <c r="Y1396" s="3943"/>
    </row>
    <row r="1397" spans="1:25" s="3492" customFormat="1">
      <c r="A1397" s="3485"/>
      <c r="B1397" s="3486"/>
      <c r="C1397" s="3486"/>
      <c r="D1397" s="3486"/>
      <c r="E1397" s="3486"/>
      <c r="F1397" s="3486"/>
      <c r="G1397" s="3486"/>
      <c r="H1397" s="3486"/>
      <c r="I1397" s="3486"/>
      <c r="J1397" s="3486"/>
      <c r="K1397" s="3486"/>
      <c r="L1397" s="3486"/>
      <c r="M1397" s="3486"/>
      <c r="N1397" s="3486"/>
      <c r="O1397" s="3486"/>
      <c r="P1397" s="3486"/>
      <c r="Q1397" s="3486"/>
      <c r="R1397" s="3486"/>
      <c r="S1397" s="3486"/>
      <c r="T1397" s="3486"/>
      <c r="U1397" s="3486"/>
      <c r="V1397" s="3486"/>
      <c r="W1397" s="3486"/>
      <c r="X1397" s="3486"/>
      <c r="Y1397" s="3943"/>
    </row>
    <row r="1398" spans="1:25" s="3492" customFormat="1">
      <c r="A1398" s="3485"/>
      <c r="B1398" s="3486"/>
      <c r="C1398" s="3486"/>
      <c r="D1398" s="3486"/>
      <c r="E1398" s="3486"/>
      <c r="F1398" s="3486"/>
      <c r="G1398" s="3486"/>
      <c r="H1398" s="3486"/>
      <c r="I1398" s="3486"/>
      <c r="J1398" s="3486"/>
      <c r="K1398" s="3486"/>
      <c r="L1398" s="3486"/>
      <c r="M1398" s="3486"/>
      <c r="N1398" s="3486"/>
      <c r="O1398" s="3486"/>
      <c r="P1398" s="3486"/>
      <c r="Q1398" s="3486"/>
      <c r="R1398" s="3486"/>
      <c r="S1398" s="3486"/>
      <c r="T1398" s="3486"/>
      <c r="U1398" s="3486"/>
      <c r="V1398" s="3486"/>
      <c r="W1398" s="3486"/>
      <c r="X1398" s="3486"/>
      <c r="Y1398" s="3943"/>
    </row>
    <row r="1399" spans="1:25" s="3492" customFormat="1">
      <c r="A1399" s="3485"/>
      <c r="B1399" s="3486"/>
      <c r="C1399" s="3486"/>
      <c r="D1399" s="3486"/>
      <c r="E1399" s="3486"/>
      <c r="F1399" s="3486"/>
      <c r="G1399" s="3486"/>
      <c r="H1399" s="3486"/>
      <c r="I1399" s="3486"/>
      <c r="J1399" s="3486"/>
      <c r="K1399" s="3486"/>
      <c r="L1399" s="3486"/>
      <c r="M1399" s="3486"/>
      <c r="N1399" s="3486"/>
      <c r="O1399" s="3486"/>
      <c r="P1399" s="3486"/>
      <c r="Q1399" s="3486"/>
      <c r="R1399" s="3486"/>
      <c r="S1399" s="3486"/>
      <c r="T1399" s="3486"/>
      <c r="U1399" s="3486"/>
      <c r="V1399" s="3486"/>
      <c r="W1399" s="3486"/>
      <c r="X1399" s="3486"/>
      <c r="Y1399" s="3943"/>
    </row>
    <row r="1400" spans="1:25" s="3492" customFormat="1">
      <c r="A1400" s="3485"/>
      <c r="B1400" s="3486"/>
      <c r="C1400" s="3486"/>
      <c r="D1400" s="3486"/>
      <c r="E1400" s="3486"/>
      <c r="F1400" s="3486"/>
      <c r="G1400" s="3486"/>
      <c r="H1400" s="3486"/>
      <c r="I1400" s="3486"/>
      <c r="J1400" s="3486"/>
      <c r="K1400" s="3486"/>
      <c r="L1400" s="3486"/>
      <c r="M1400" s="3486"/>
      <c r="N1400" s="3486"/>
      <c r="O1400" s="3486"/>
      <c r="P1400" s="3486"/>
      <c r="Q1400" s="3486"/>
      <c r="R1400" s="3486"/>
      <c r="S1400" s="3486"/>
      <c r="T1400" s="3486"/>
      <c r="U1400" s="3486"/>
      <c r="V1400" s="3486"/>
      <c r="W1400" s="3486"/>
      <c r="X1400" s="3486"/>
      <c r="Y1400" s="3943"/>
    </row>
    <row r="1401" spans="1:25" s="3492" customFormat="1">
      <c r="A1401" s="3485"/>
      <c r="B1401" s="3486"/>
      <c r="C1401" s="3486"/>
      <c r="D1401" s="3486"/>
      <c r="E1401" s="3486"/>
      <c r="F1401" s="3486"/>
      <c r="G1401" s="3486"/>
      <c r="H1401" s="3486"/>
      <c r="I1401" s="3486"/>
      <c r="J1401" s="3486"/>
      <c r="K1401" s="3486"/>
      <c r="L1401" s="3486"/>
      <c r="M1401" s="3486"/>
      <c r="N1401" s="3486"/>
      <c r="O1401" s="3486"/>
      <c r="P1401" s="3486"/>
      <c r="Q1401" s="3486"/>
      <c r="R1401" s="3486"/>
      <c r="S1401" s="3486"/>
      <c r="T1401" s="3486"/>
      <c r="U1401" s="3486"/>
      <c r="V1401" s="3486"/>
      <c r="W1401" s="3486"/>
      <c r="X1401" s="3486"/>
      <c r="Y1401" s="3943"/>
    </row>
    <row r="1402" spans="1:25" s="3492" customFormat="1">
      <c r="A1402" s="3485"/>
      <c r="B1402" s="3486"/>
      <c r="C1402" s="3486"/>
      <c r="D1402" s="3486"/>
      <c r="E1402" s="3486"/>
      <c r="F1402" s="3486"/>
      <c r="G1402" s="3486"/>
      <c r="H1402" s="3486"/>
      <c r="I1402" s="3486"/>
      <c r="J1402" s="3486"/>
      <c r="K1402" s="3486"/>
      <c r="L1402" s="3486"/>
      <c r="M1402" s="3486"/>
      <c r="N1402" s="3486"/>
      <c r="O1402" s="3486"/>
      <c r="P1402" s="3486"/>
      <c r="Q1402" s="3486"/>
      <c r="R1402" s="3486"/>
      <c r="S1402" s="3486"/>
      <c r="T1402" s="3486"/>
      <c r="U1402" s="3486"/>
      <c r="V1402" s="3486"/>
      <c r="W1402" s="3486"/>
      <c r="X1402" s="3486"/>
      <c r="Y1402" s="3943"/>
    </row>
    <row r="1403" spans="1:25" s="3492" customFormat="1">
      <c r="A1403" s="3485"/>
      <c r="B1403" s="3486"/>
      <c r="C1403" s="3486"/>
      <c r="D1403" s="3486"/>
      <c r="E1403" s="3486"/>
      <c r="F1403" s="3486"/>
      <c r="G1403" s="3486"/>
      <c r="H1403" s="3486"/>
      <c r="I1403" s="3486"/>
      <c r="J1403" s="3486"/>
      <c r="K1403" s="3486"/>
      <c r="L1403" s="3486"/>
      <c r="M1403" s="3486"/>
      <c r="N1403" s="3486"/>
      <c r="O1403" s="3486"/>
      <c r="P1403" s="3486"/>
      <c r="Q1403" s="3486"/>
      <c r="R1403" s="3486"/>
      <c r="S1403" s="3486"/>
      <c r="T1403" s="3486"/>
      <c r="U1403" s="3486"/>
      <c r="V1403" s="3486"/>
      <c r="W1403" s="3486"/>
      <c r="X1403" s="3486"/>
      <c r="Y1403" s="3943"/>
    </row>
    <row r="1404" spans="1:25" s="3492" customFormat="1">
      <c r="A1404" s="3485"/>
      <c r="B1404" s="3486"/>
      <c r="C1404" s="3486"/>
      <c r="D1404" s="3486"/>
      <c r="E1404" s="3486"/>
      <c r="F1404" s="3486"/>
      <c r="G1404" s="3486"/>
      <c r="H1404" s="3486"/>
      <c r="I1404" s="3486"/>
      <c r="J1404" s="3486"/>
      <c r="K1404" s="3486"/>
      <c r="L1404" s="3486"/>
      <c r="M1404" s="3486"/>
      <c r="N1404" s="3486"/>
      <c r="O1404" s="3486"/>
      <c r="P1404" s="3486"/>
      <c r="Q1404" s="3486"/>
      <c r="R1404" s="3486"/>
      <c r="S1404" s="3486"/>
      <c r="T1404" s="3486"/>
      <c r="U1404" s="3486"/>
      <c r="V1404" s="3486"/>
      <c r="W1404" s="3486"/>
      <c r="X1404" s="3486"/>
      <c r="Y1404" s="3943"/>
    </row>
    <row r="1405" spans="1:25" s="3492" customFormat="1">
      <c r="A1405" s="3485"/>
      <c r="B1405" s="3486"/>
      <c r="C1405" s="3486"/>
      <c r="D1405" s="3486"/>
      <c r="E1405" s="3486"/>
      <c r="F1405" s="3486"/>
      <c r="G1405" s="3486"/>
      <c r="H1405" s="3486"/>
      <c r="I1405" s="3486"/>
      <c r="J1405" s="3486"/>
      <c r="K1405" s="3486"/>
      <c r="L1405" s="3486"/>
      <c r="M1405" s="3486"/>
      <c r="N1405" s="3486"/>
      <c r="O1405" s="3486"/>
      <c r="P1405" s="3486"/>
      <c r="Q1405" s="3486"/>
      <c r="R1405" s="3486"/>
      <c r="S1405" s="3486"/>
      <c r="T1405" s="3486"/>
      <c r="U1405" s="3486"/>
      <c r="V1405" s="3486"/>
      <c r="W1405" s="3486"/>
      <c r="X1405" s="3486"/>
      <c r="Y1405" s="3943"/>
    </row>
    <row r="1406" spans="1:25" s="3492" customFormat="1">
      <c r="A1406" s="3485"/>
      <c r="B1406" s="3486"/>
      <c r="C1406" s="3486"/>
      <c r="D1406" s="3486"/>
      <c r="E1406" s="3486"/>
      <c r="F1406" s="3486"/>
      <c r="G1406" s="3486"/>
      <c r="H1406" s="3486"/>
      <c r="I1406" s="3486"/>
      <c r="J1406" s="3486"/>
      <c r="K1406" s="3486"/>
      <c r="L1406" s="3486"/>
      <c r="M1406" s="3486"/>
      <c r="N1406" s="3486"/>
      <c r="O1406" s="3486"/>
      <c r="P1406" s="3486"/>
      <c r="Q1406" s="3486"/>
      <c r="R1406" s="3486"/>
      <c r="S1406" s="3486"/>
      <c r="T1406" s="3486"/>
      <c r="U1406" s="3486"/>
      <c r="V1406" s="3486"/>
      <c r="W1406" s="3486"/>
      <c r="X1406" s="3486"/>
      <c r="Y1406" s="3943"/>
    </row>
    <row r="1407" spans="1:25" s="3492" customFormat="1">
      <c r="A1407" s="3485"/>
      <c r="B1407" s="3486"/>
      <c r="C1407" s="3486"/>
      <c r="D1407" s="3486"/>
      <c r="E1407" s="3486"/>
      <c r="F1407" s="3486"/>
      <c r="G1407" s="3486"/>
      <c r="H1407" s="3486"/>
      <c r="I1407" s="3486"/>
      <c r="J1407" s="3486"/>
      <c r="K1407" s="3486"/>
      <c r="L1407" s="3486"/>
      <c r="M1407" s="3486"/>
      <c r="N1407" s="3486"/>
      <c r="O1407" s="3486"/>
      <c r="P1407" s="3486"/>
      <c r="Q1407" s="3486"/>
      <c r="R1407" s="3486"/>
      <c r="S1407" s="3486"/>
      <c r="T1407" s="3486"/>
      <c r="U1407" s="3486"/>
      <c r="V1407" s="3486"/>
      <c r="W1407" s="3486"/>
      <c r="X1407" s="3486"/>
      <c r="Y1407" s="3943"/>
    </row>
    <row r="1408" spans="1:25" s="3492" customFormat="1">
      <c r="A1408" s="3485"/>
      <c r="B1408" s="3486"/>
      <c r="C1408" s="3486"/>
      <c r="D1408" s="3486"/>
      <c r="E1408" s="3486"/>
      <c r="F1408" s="3486"/>
      <c r="G1408" s="3486"/>
      <c r="H1408" s="3486"/>
      <c r="I1408" s="3486"/>
      <c r="J1408" s="3486"/>
      <c r="K1408" s="3486"/>
      <c r="L1408" s="3486"/>
      <c r="M1408" s="3486"/>
      <c r="N1408" s="3486"/>
      <c r="O1408" s="3486"/>
      <c r="P1408" s="3486"/>
      <c r="Q1408" s="3486"/>
      <c r="R1408" s="3486"/>
      <c r="S1408" s="3486"/>
      <c r="T1408" s="3486"/>
      <c r="U1408" s="3486"/>
      <c r="V1408" s="3486"/>
      <c r="W1408" s="3486"/>
      <c r="X1408" s="3486"/>
      <c r="Y1408" s="3943"/>
    </row>
    <row r="1409" spans="1:25" s="3492" customFormat="1">
      <c r="A1409" s="3485"/>
      <c r="B1409" s="3486"/>
      <c r="C1409" s="3486"/>
      <c r="D1409" s="3486"/>
      <c r="E1409" s="3486"/>
      <c r="F1409" s="3486"/>
      <c r="G1409" s="3486"/>
      <c r="H1409" s="3486"/>
      <c r="I1409" s="3486"/>
      <c r="J1409" s="3486"/>
      <c r="K1409" s="3486"/>
      <c r="L1409" s="3486"/>
      <c r="M1409" s="3486"/>
      <c r="N1409" s="3486"/>
      <c r="O1409" s="3486"/>
      <c r="P1409" s="3486"/>
      <c r="Q1409" s="3486"/>
      <c r="R1409" s="3486"/>
      <c r="S1409" s="3486"/>
      <c r="T1409" s="3486"/>
      <c r="U1409" s="3486"/>
      <c r="V1409" s="3486"/>
      <c r="W1409" s="3486"/>
      <c r="X1409" s="3486"/>
      <c r="Y1409" s="3943"/>
    </row>
    <row r="1410" spans="1:25" s="3492" customFormat="1">
      <c r="A1410" s="3485"/>
      <c r="B1410" s="3486"/>
      <c r="C1410" s="3486"/>
      <c r="D1410" s="3486"/>
      <c r="E1410" s="3486"/>
      <c r="F1410" s="3486"/>
      <c r="G1410" s="3486"/>
      <c r="H1410" s="3486"/>
      <c r="I1410" s="3486"/>
      <c r="J1410" s="3486"/>
      <c r="K1410" s="3486"/>
      <c r="L1410" s="3486"/>
      <c r="M1410" s="3486"/>
      <c r="N1410" s="3486"/>
      <c r="O1410" s="3486"/>
      <c r="P1410" s="3486"/>
      <c r="Q1410" s="3486"/>
      <c r="R1410" s="3486"/>
      <c r="S1410" s="3486"/>
      <c r="T1410" s="3486"/>
      <c r="U1410" s="3486"/>
      <c r="V1410" s="3486"/>
      <c r="W1410" s="3486"/>
      <c r="X1410" s="3486"/>
      <c r="Y1410" s="3943"/>
    </row>
    <row r="1411" spans="1:25" s="3492" customFormat="1">
      <c r="A1411" s="3485"/>
      <c r="B1411" s="3486"/>
      <c r="C1411" s="3486"/>
      <c r="D1411" s="3486"/>
      <c r="E1411" s="3486"/>
      <c r="F1411" s="3486"/>
      <c r="G1411" s="3486"/>
      <c r="H1411" s="3486"/>
      <c r="I1411" s="3486"/>
      <c r="J1411" s="3486"/>
      <c r="K1411" s="3486"/>
      <c r="L1411" s="3486"/>
      <c r="M1411" s="3486"/>
      <c r="N1411" s="3486"/>
      <c r="O1411" s="3486"/>
      <c r="P1411" s="3486"/>
      <c r="Q1411" s="3486"/>
      <c r="R1411" s="3486"/>
      <c r="S1411" s="3486"/>
      <c r="T1411" s="3486"/>
      <c r="U1411" s="3486"/>
      <c r="V1411" s="3486"/>
      <c r="W1411" s="3486"/>
      <c r="X1411" s="3486"/>
      <c r="Y1411" s="3943"/>
    </row>
    <row r="1412" spans="1:25" s="3492" customFormat="1">
      <c r="A1412" s="3485"/>
      <c r="B1412" s="3486"/>
      <c r="C1412" s="3486"/>
      <c r="D1412" s="3486"/>
      <c r="E1412" s="3486"/>
      <c r="F1412" s="3486"/>
      <c r="G1412" s="3486"/>
      <c r="H1412" s="3486"/>
      <c r="I1412" s="3486"/>
      <c r="J1412" s="3486"/>
      <c r="K1412" s="3486"/>
      <c r="L1412" s="3486"/>
      <c r="M1412" s="3486"/>
      <c r="N1412" s="3486"/>
      <c r="O1412" s="3486"/>
      <c r="P1412" s="3486"/>
      <c r="Q1412" s="3486"/>
      <c r="R1412" s="3486"/>
      <c r="S1412" s="3486"/>
      <c r="T1412" s="3486"/>
      <c r="U1412" s="3486"/>
      <c r="V1412" s="3486"/>
      <c r="W1412" s="3486"/>
      <c r="X1412" s="3486"/>
      <c r="Y1412" s="3943"/>
    </row>
    <row r="1413" spans="1:25" s="3492" customFormat="1">
      <c r="A1413" s="3485"/>
      <c r="B1413" s="3486"/>
      <c r="C1413" s="3486"/>
      <c r="D1413" s="3486"/>
      <c r="E1413" s="3486"/>
      <c r="F1413" s="3486"/>
      <c r="G1413" s="3486"/>
      <c r="H1413" s="3486"/>
      <c r="I1413" s="3486"/>
      <c r="J1413" s="3486"/>
      <c r="K1413" s="3486"/>
      <c r="L1413" s="3486"/>
      <c r="M1413" s="3486"/>
      <c r="N1413" s="3486"/>
      <c r="O1413" s="3486"/>
      <c r="P1413" s="3486"/>
      <c r="Q1413" s="3486"/>
      <c r="R1413" s="3486"/>
      <c r="S1413" s="3486"/>
      <c r="T1413" s="3486"/>
      <c r="U1413" s="3486"/>
      <c r="V1413" s="3486"/>
      <c r="W1413" s="3486"/>
      <c r="X1413" s="3486"/>
      <c r="Y1413" s="3943"/>
    </row>
    <row r="1414" spans="1:25" s="3492" customFormat="1">
      <c r="A1414" s="3485"/>
      <c r="B1414" s="3486"/>
      <c r="C1414" s="3486"/>
      <c r="D1414" s="3486"/>
      <c r="E1414" s="3486"/>
      <c r="F1414" s="3486"/>
      <c r="G1414" s="3486"/>
      <c r="H1414" s="3486"/>
      <c r="I1414" s="3486"/>
      <c r="J1414" s="3486"/>
      <c r="K1414" s="3486"/>
      <c r="L1414" s="3486"/>
      <c r="M1414" s="3486"/>
      <c r="N1414" s="3486"/>
      <c r="O1414" s="3486"/>
      <c r="P1414" s="3486"/>
      <c r="Q1414" s="3486"/>
      <c r="R1414" s="3486"/>
      <c r="S1414" s="3486"/>
      <c r="T1414" s="3486"/>
      <c r="U1414" s="3486"/>
      <c r="V1414" s="3486"/>
      <c r="W1414" s="3486"/>
      <c r="X1414" s="3486"/>
      <c r="Y1414" s="3943"/>
    </row>
    <row r="1415" spans="1:25" s="3492" customFormat="1">
      <c r="A1415" s="3485"/>
      <c r="B1415" s="3486"/>
      <c r="C1415" s="3486"/>
      <c r="D1415" s="3486"/>
      <c r="E1415" s="3486"/>
      <c r="F1415" s="3486"/>
      <c r="G1415" s="3486"/>
      <c r="H1415" s="3486"/>
      <c r="I1415" s="3486"/>
      <c r="J1415" s="3486"/>
      <c r="K1415" s="3486"/>
      <c r="L1415" s="3486"/>
      <c r="M1415" s="3486"/>
      <c r="N1415" s="3486"/>
      <c r="O1415" s="3486"/>
      <c r="P1415" s="3486"/>
      <c r="Q1415" s="3486"/>
      <c r="R1415" s="3486"/>
      <c r="S1415" s="3486"/>
      <c r="T1415" s="3486"/>
      <c r="U1415" s="3486"/>
      <c r="V1415" s="3486"/>
      <c r="W1415" s="3486"/>
      <c r="X1415" s="3486"/>
      <c r="Y1415" s="3943"/>
    </row>
    <row r="1416" spans="1:25" s="3492" customFormat="1">
      <c r="A1416" s="3485"/>
      <c r="B1416" s="3486"/>
      <c r="C1416" s="3486"/>
      <c r="D1416" s="3486"/>
      <c r="E1416" s="3486"/>
      <c r="F1416" s="3486"/>
      <c r="G1416" s="3486"/>
      <c r="H1416" s="3486"/>
      <c r="I1416" s="3486"/>
      <c r="J1416" s="3486"/>
      <c r="K1416" s="3486"/>
      <c r="L1416" s="3486"/>
      <c r="M1416" s="3486"/>
      <c r="N1416" s="3486"/>
      <c r="O1416" s="3486"/>
      <c r="P1416" s="3486"/>
      <c r="Q1416" s="3486"/>
      <c r="R1416" s="3486"/>
      <c r="S1416" s="3486"/>
      <c r="T1416" s="3486"/>
      <c r="U1416" s="3486"/>
      <c r="V1416" s="3486"/>
      <c r="W1416" s="3486"/>
      <c r="X1416" s="3486"/>
      <c r="Y1416" s="3943"/>
    </row>
    <row r="1417" spans="1:25" s="3492" customFormat="1">
      <c r="A1417" s="3485"/>
      <c r="B1417" s="3486"/>
      <c r="C1417" s="3486"/>
      <c r="D1417" s="3486"/>
      <c r="E1417" s="3486"/>
      <c r="F1417" s="3486"/>
      <c r="G1417" s="3486"/>
      <c r="H1417" s="3486"/>
      <c r="I1417" s="3486"/>
      <c r="J1417" s="3486"/>
      <c r="K1417" s="3486"/>
      <c r="L1417" s="3486"/>
      <c r="M1417" s="3486"/>
      <c r="N1417" s="3486"/>
      <c r="O1417" s="3486"/>
      <c r="P1417" s="3486"/>
      <c r="Q1417" s="3486"/>
      <c r="R1417" s="3486"/>
      <c r="S1417" s="3486"/>
      <c r="T1417" s="3486"/>
      <c r="U1417" s="3486"/>
      <c r="V1417" s="3486"/>
      <c r="W1417" s="3486"/>
      <c r="X1417" s="3486"/>
      <c r="Y1417" s="3943"/>
    </row>
    <row r="1418" spans="1:25" s="3492" customFormat="1">
      <c r="A1418" s="3485"/>
      <c r="B1418" s="3486"/>
      <c r="C1418" s="3486"/>
      <c r="D1418" s="3486"/>
      <c r="E1418" s="3486"/>
      <c r="F1418" s="3486"/>
      <c r="G1418" s="3486"/>
      <c r="H1418" s="3486"/>
      <c r="I1418" s="3486"/>
      <c r="J1418" s="3486"/>
      <c r="K1418" s="3486"/>
      <c r="L1418" s="3486"/>
      <c r="M1418" s="3486"/>
      <c r="N1418" s="3486"/>
      <c r="O1418" s="3486"/>
      <c r="P1418" s="3486"/>
      <c r="Q1418" s="3486"/>
      <c r="R1418" s="3486"/>
      <c r="S1418" s="3486"/>
      <c r="T1418" s="3486"/>
      <c r="U1418" s="3486"/>
      <c r="V1418" s="3486"/>
      <c r="W1418" s="3486"/>
      <c r="X1418" s="3486"/>
      <c r="Y1418" s="3943"/>
    </row>
    <row r="1419" spans="1:25" s="3492" customFormat="1">
      <c r="A1419" s="3485"/>
      <c r="B1419" s="3486"/>
      <c r="C1419" s="3486"/>
      <c r="D1419" s="3486"/>
      <c r="E1419" s="3486"/>
      <c r="F1419" s="3486"/>
      <c r="G1419" s="3486"/>
      <c r="H1419" s="3486"/>
      <c r="I1419" s="3486"/>
      <c r="J1419" s="3486"/>
      <c r="K1419" s="3486"/>
      <c r="L1419" s="3486"/>
      <c r="M1419" s="3486"/>
      <c r="N1419" s="3486"/>
      <c r="O1419" s="3486"/>
      <c r="P1419" s="3486"/>
      <c r="Q1419" s="3486"/>
      <c r="R1419" s="3486"/>
      <c r="S1419" s="3486"/>
      <c r="T1419" s="3486"/>
      <c r="U1419" s="3486"/>
      <c r="V1419" s="3486"/>
      <c r="W1419" s="3486"/>
      <c r="X1419" s="3486"/>
      <c r="Y1419" s="3943"/>
    </row>
    <row r="1420" spans="1:25" s="3492" customFormat="1">
      <c r="A1420" s="3485"/>
      <c r="B1420" s="3486"/>
      <c r="C1420" s="3486"/>
      <c r="D1420" s="3486"/>
      <c r="E1420" s="3486"/>
      <c r="F1420" s="3486"/>
      <c r="G1420" s="3486"/>
      <c r="H1420" s="3486"/>
      <c r="I1420" s="3486"/>
      <c r="J1420" s="3486"/>
      <c r="K1420" s="3486"/>
      <c r="L1420" s="3486"/>
      <c r="M1420" s="3486"/>
      <c r="N1420" s="3486"/>
      <c r="O1420" s="3486"/>
      <c r="P1420" s="3486"/>
      <c r="Q1420" s="3486"/>
      <c r="R1420" s="3486"/>
      <c r="S1420" s="3486"/>
      <c r="T1420" s="3486"/>
      <c r="U1420" s="3486"/>
      <c r="V1420" s="3486"/>
      <c r="W1420" s="3486"/>
      <c r="X1420" s="3486"/>
      <c r="Y1420" s="3943"/>
    </row>
    <row r="1421" spans="1:25" s="3492" customFormat="1">
      <c r="A1421" s="3485"/>
      <c r="B1421" s="3486"/>
      <c r="C1421" s="3486"/>
      <c r="D1421" s="3486"/>
      <c r="E1421" s="3486"/>
      <c r="F1421" s="3486"/>
      <c r="G1421" s="3486"/>
      <c r="H1421" s="3486"/>
      <c r="I1421" s="3486"/>
      <c r="J1421" s="3486"/>
      <c r="K1421" s="3486"/>
      <c r="L1421" s="3486"/>
      <c r="M1421" s="3486"/>
      <c r="N1421" s="3486"/>
      <c r="O1421" s="3486"/>
      <c r="P1421" s="3486"/>
      <c r="Q1421" s="3486"/>
      <c r="R1421" s="3486"/>
      <c r="S1421" s="3486"/>
      <c r="T1421" s="3486"/>
      <c r="U1421" s="3486"/>
      <c r="V1421" s="3486"/>
      <c r="W1421" s="3486"/>
      <c r="X1421" s="3486"/>
      <c r="Y1421" s="3943"/>
    </row>
    <row r="1422" spans="1:25" s="3492" customFormat="1">
      <c r="A1422" s="3485"/>
      <c r="B1422" s="3486"/>
      <c r="C1422" s="3486"/>
      <c r="D1422" s="3486"/>
      <c r="E1422" s="3486"/>
      <c r="F1422" s="3486"/>
      <c r="G1422" s="3486"/>
      <c r="H1422" s="3486"/>
      <c r="I1422" s="3486"/>
      <c r="J1422" s="3486"/>
      <c r="K1422" s="3486"/>
      <c r="L1422" s="3486"/>
      <c r="M1422" s="3486"/>
      <c r="N1422" s="3486"/>
      <c r="O1422" s="3486"/>
      <c r="P1422" s="3486"/>
      <c r="Q1422" s="3486"/>
      <c r="R1422" s="3486"/>
      <c r="S1422" s="3486"/>
      <c r="T1422" s="3486"/>
      <c r="U1422" s="3486"/>
      <c r="V1422" s="3486"/>
      <c r="W1422" s="3486"/>
      <c r="X1422" s="3486"/>
      <c r="Y1422" s="3943"/>
    </row>
    <row r="1423" spans="1:25" s="3492" customFormat="1">
      <c r="A1423" s="3485"/>
      <c r="B1423" s="3486"/>
      <c r="C1423" s="3486"/>
      <c r="D1423" s="3486"/>
      <c r="E1423" s="3486"/>
      <c r="F1423" s="3486"/>
      <c r="G1423" s="3486"/>
      <c r="H1423" s="3486"/>
      <c r="I1423" s="3486"/>
      <c r="J1423" s="3486"/>
      <c r="K1423" s="3486"/>
      <c r="L1423" s="3486"/>
      <c r="M1423" s="3486"/>
      <c r="N1423" s="3486"/>
      <c r="O1423" s="3486"/>
      <c r="P1423" s="3486"/>
      <c r="Q1423" s="3486"/>
      <c r="R1423" s="3486"/>
      <c r="S1423" s="3486"/>
      <c r="T1423" s="3486"/>
      <c r="U1423" s="3486"/>
      <c r="V1423" s="3486"/>
      <c r="W1423" s="3486"/>
      <c r="X1423" s="3486"/>
      <c r="Y1423" s="3943"/>
    </row>
    <row r="1424" spans="1:25" s="3492" customFormat="1">
      <c r="A1424" s="3485"/>
      <c r="B1424" s="3486"/>
      <c r="C1424" s="3486"/>
      <c r="D1424" s="3486"/>
      <c r="E1424" s="3486"/>
      <c r="F1424" s="3486"/>
      <c r="G1424" s="3486"/>
      <c r="H1424" s="3486"/>
      <c r="I1424" s="3486"/>
      <c r="J1424" s="3486"/>
      <c r="K1424" s="3486"/>
      <c r="L1424" s="3486"/>
      <c r="M1424" s="3486"/>
      <c r="N1424" s="3486"/>
      <c r="O1424" s="3486"/>
      <c r="P1424" s="3486"/>
      <c r="Q1424" s="3486"/>
      <c r="R1424" s="3486"/>
      <c r="S1424" s="3486"/>
      <c r="T1424" s="3486"/>
      <c r="U1424" s="3486"/>
      <c r="V1424" s="3486"/>
      <c r="W1424" s="3486"/>
      <c r="X1424" s="3486"/>
      <c r="Y1424" s="3943"/>
    </row>
    <row r="1425" spans="1:25" s="3492" customFormat="1">
      <c r="A1425" s="3485"/>
      <c r="B1425" s="3486"/>
      <c r="C1425" s="3486"/>
      <c r="D1425" s="3486"/>
      <c r="E1425" s="3486"/>
      <c r="F1425" s="3486"/>
      <c r="G1425" s="3486"/>
      <c r="H1425" s="3486"/>
      <c r="I1425" s="3486"/>
      <c r="J1425" s="3486"/>
      <c r="K1425" s="3486"/>
      <c r="L1425" s="3486"/>
      <c r="M1425" s="3486"/>
      <c r="N1425" s="3486"/>
      <c r="O1425" s="3486"/>
      <c r="P1425" s="3486"/>
      <c r="Q1425" s="3486"/>
      <c r="R1425" s="3486"/>
      <c r="S1425" s="3486"/>
      <c r="T1425" s="3486"/>
      <c r="U1425" s="3486"/>
      <c r="V1425" s="3486"/>
      <c r="W1425" s="3486"/>
      <c r="X1425" s="3486"/>
      <c r="Y1425" s="3943"/>
    </row>
    <row r="1426" spans="1:25" s="3492" customFormat="1">
      <c r="A1426" s="3485"/>
      <c r="B1426" s="3486"/>
      <c r="C1426" s="3486"/>
      <c r="D1426" s="3486"/>
      <c r="E1426" s="3486"/>
      <c r="F1426" s="3486"/>
      <c r="G1426" s="3486"/>
      <c r="H1426" s="3486"/>
      <c r="I1426" s="3486"/>
      <c r="J1426" s="3486"/>
      <c r="K1426" s="3486"/>
      <c r="L1426" s="3486"/>
      <c r="M1426" s="3486"/>
      <c r="N1426" s="3486"/>
      <c r="O1426" s="3486"/>
      <c r="P1426" s="3486"/>
      <c r="Q1426" s="3486"/>
      <c r="R1426" s="3486"/>
      <c r="S1426" s="3486"/>
      <c r="T1426" s="3486"/>
      <c r="U1426" s="3486"/>
      <c r="V1426" s="3486"/>
      <c r="W1426" s="3486"/>
      <c r="X1426" s="3486"/>
      <c r="Y1426" s="3943"/>
    </row>
    <row r="1427" spans="1:25" s="3492" customFormat="1">
      <c r="A1427" s="3485"/>
      <c r="B1427" s="3486"/>
      <c r="C1427" s="3486"/>
      <c r="D1427" s="3486"/>
      <c r="E1427" s="3486"/>
      <c r="F1427" s="3486"/>
      <c r="G1427" s="3486"/>
      <c r="H1427" s="3486"/>
      <c r="I1427" s="3486"/>
      <c r="J1427" s="3486"/>
      <c r="K1427" s="3486"/>
      <c r="L1427" s="3486"/>
      <c r="M1427" s="3486"/>
      <c r="N1427" s="3486"/>
      <c r="O1427" s="3486"/>
      <c r="P1427" s="3486"/>
      <c r="Q1427" s="3486"/>
      <c r="R1427" s="3486"/>
      <c r="S1427" s="3486"/>
      <c r="T1427" s="3486"/>
      <c r="U1427" s="3486"/>
      <c r="V1427" s="3486"/>
      <c r="W1427" s="3486"/>
      <c r="X1427" s="3486"/>
      <c r="Y1427" s="3943"/>
    </row>
    <row r="1428" spans="1:25" s="3492" customFormat="1">
      <c r="A1428" s="3485"/>
      <c r="B1428" s="3486"/>
      <c r="C1428" s="3486"/>
      <c r="D1428" s="3486"/>
      <c r="E1428" s="3486"/>
      <c r="F1428" s="3486"/>
      <c r="G1428" s="3486"/>
      <c r="H1428" s="3486"/>
      <c r="I1428" s="3486"/>
      <c r="J1428" s="3486"/>
      <c r="K1428" s="3486"/>
      <c r="L1428" s="3486"/>
      <c r="M1428" s="3486"/>
      <c r="N1428" s="3486"/>
      <c r="O1428" s="3486"/>
      <c r="P1428" s="3486"/>
      <c r="Q1428" s="3486"/>
      <c r="R1428" s="3486"/>
      <c r="S1428" s="3486"/>
      <c r="T1428" s="3486"/>
      <c r="U1428" s="3486"/>
      <c r="V1428" s="3486"/>
      <c r="W1428" s="3486"/>
      <c r="X1428" s="3486"/>
      <c r="Y1428" s="3943"/>
    </row>
    <row r="1429" spans="1:25" s="3492" customFormat="1">
      <c r="A1429" s="3485"/>
      <c r="B1429" s="3486"/>
      <c r="C1429" s="3486"/>
      <c r="D1429" s="3486"/>
      <c r="E1429" s="3486"/>
      <c r="F1429" s="3486"/>
      <c r="G1429" s="3486"/>
      <c r="H1429" s="3486"/>
      <c r="I1429" s="3486"/>
      <c r="J1429" s="3486"/>
      <c r="K1429" s="3486"/>
      <c r="L1429" s="3486"/>
      <c r="M1429" s="3486"/>
      <c r="N1429" s="3486"/>
      <c r="O1429" s="3486"/>
      <c r="P1429" s="3486"/>
      <c r="Q1429" s="3486"/>
      <c r="R1429" s="3486"/>
      <c r="S1429" s="3486"/>
      <c r="T1429" s="3486"/>
      <c r="U1429" s="3486"/>
      <c r="V1429" s="3486"/>
      <c r="W1429" s="3486"/>
      <c r="X1429" s="3486"/>
      <c r="Y1429" s="3943"/>
    </row>
    <row r="1430" spans="1:25" s="3492" customFormat="1">
      <c r="A1430" s="3485"/>
      <c r="B1430" s="3486"/>
      <c r="C1430" s="3486"/>
      <c r="D1430" s="3486"/>
      <c r="E1430" s="3486"/>
      <c r="F1430" s="3486"/>
      <c r="G1430" s="3486"/>
      <c r="H1430" s="3486"/>
      <c r="I1430" s="3486"/>
      <c r="J1430" s="3486"/>
      <c r="K1430" s="3486"/>
      <c r="L1430" s="3486"/>
      <c r="M1430" s="3486"/>
      <c r="N1430" s="3486"/>
      <c r="O1430" s="3486"/>
      <c r="P1430" s="3486"/>
      <c r="Q1430" s="3486"/>
      <c r="R1430" s="3486"/>
      <c r="S1430" s="3486"/>
      <c r="T1430" s="3486"/>
      <c r="U1430" s="3486"/>
      <c r="V1430" s="3486"/>
      <c r="W1430" s="3486"/>
      <c r="X1430" s="3486"/>
      <c r="Y1430" s="3943"/>
    </row>
    <row r="1431" spans="1:25" s="3492" customFormat="1">
      <c r="A1431" s="3485"/>
      <c r="B1431" s="3486"/>
      <c r="C1431" s="3486"/>
      <c r="D1431" s="3486"/>
      <c r="E1431" s="3486"/>
      <c r="F1431" s="3486"/>
      <c r="G1431" s="3486"/>
      <c r="H1431" s="3486"/>
      <c r="I1431" s="3486"/>
      <c r="J1431" s="3486"/>
      <c r="K1431" s="3486"/>
      <c r="L1431" s="3486"/>
      <c r="M1431" s="3486"/>
      <c r="N1431" s="3486"/>
      <c r="O1431" s="3486"/>
      <c r="P1431" s="3486"/>
      <c r="Q1431" s="3486"/>
      <c r="R1431" s="3486"/>
      <c r="S1431" s="3486"/>
      <c r="T1431" s="3486"/>
      <c r="U1431" s="3486"/>
      <c r="V1431" s="3486"/>
      <c r="W1431" s="3486"/>
      <c r="X1431" s="3486"/>
      <c r="Y1431" s="3943"/>
    </row>
    <row r="1432" spans="1:25" s="3492" customFormat="1">
      <c r="A1432" s="3485"/>
      <c r="B1432" s="3486"/>
      <c r="C1432" s="3486"/>
      <c r="D1432" s="3486"/>
      <c r="E1432" s="3486"/>
      <c r="F1432" s="3486"/>
      <c r="G1432" s="3486"/>
      <c r="H1432" s="3486"/>
      <c r="I1432" s="3486"/>
      <c r="J1432" s="3486"/>
      <c r="K1432" s="3486"/>
      <c r="L1432" s="3486"/>
      <c r="M1432" s="3486"/>
      <c r="N1432" s="3486"/>
      <c r="O1432" s="3486"/>
      <c r="P1432" s="3486"/>
      <c r="Q1432" s="3486"/>
      <c r="R1432" s="3486"/>
      <c r="S1432" s="3486"/>
      <c r="T1432" s="3486"/>
      <c r="U1432" s="3486"/>
      <c r="V1432" s="3486"/>
      <c r="W1432" s="3486"/>
      <c r="X1432" s="3486"/>
      <c r="Y1432" s="3943"/>
    </row>
    <row r="1433" spans="1:25" s="3492" customFormat="1">
      <c r="A1433" s="3485"/>
      <c r="B1433" s="3486"/>
      <c r="C1433" s="3486"/>
      <c r="D1433" s="3486"/>
      <c r="E1433" s="3486"/>
      <c r="F1433" s="3486"/>
      <c r="G1433" s="3486"/>
      <c r="H1433" s="3486"/>
      <c r="I1433" s="3486"/>
      <c r="J1433" s="3486"/>
      <c r="K1433" s="3486"/>
      <c r="L1433" s="3486"/>
      <c r="M1433" s="3486"/>
      <c r="N1433" s="3486"/>
      <c r="O1433" s="3486"/>
      <c r="P1433" s="3486"/>
      <c r="Q1433" s="3486"/>
      <c r="R1433" s="3486"/>
      <c r="S1433" s="3486"/>
      <c r="T1433" s="3486"/>
      <c r="U1433" s="3486"/>
      <c r="V1433" s="3486"/>
      <c r="W1433" s="3486"/>
      <c r="X1433" s="3486"/>
      <c r="Y1433" s="3943"/>
    </row>
    <row r="1434" spans="1:25" s="3492" customFormat="1">
      <c r="A1434" s="3485"/>
      <c r="B1434" s="3486"/>
      <c r="C1434" s="3486"/>
      <c r="D1434" s="3486"/>
      <c r="E1434" s="3486"/>
      <c r="F1434" s="3486"/>
      <c r="G1434" s="3486"/>
      <c r="H1434" s="3486"/>
      <c r="I1434" s="3486"/>
      <c r="J1434" s="3486"/>
      <c r="K1434" s="3486"/>
      <c r="L1434" s="3486"/>
      <c r="M1434" s="3486"/>
      <c r="N1434" s="3486"/>
      <c r="O1434" s="3486"/>
      <c r="P1434" s="3486"/>
      <c r="Q1434" s="3486"/>
      <c r="R1434" s="3486"/>
      <c r="S1434" s="3486"/>
      <c r="T1434" s="3486"/>
      <c r="U1434" s="3486"/>
      <c r="V1434" s="3486"/>
      <c r="W1434" s="3486"/>
      <c r="X1434" s="3486"/>
      <c r="Y1434" s="3943"/>
    </row>
    <row r="1435" spans="1:25" s="3492" customFormat="1">
      <c r="A1435" s="3485"/>
      <c r="B1435" s="3486"/>
      <c r="C1435" s="3486"/>
      <c r="D1435" s="3486"/>
      <c r="E1435" s="3486"/>
      <c r="F1435" s="3486"/>
      <c r="G1435" s="3486"/>
      <c r="H1435" s="3486"/>
      <c r="I1435" s="3486"/>
      <c r="J1435" s="3486"/>
      <c r="K1435" s="3486"/>
      <c r="L1435" s="3486"/>
      <c r="M1435" s="3486"/>
      <c r="N1435" s="3486"/>
      <c r="O1435" s="3486"/>
      <c r="P1435" s="3486"/>
      <c r="Q1435" s="3486"/>
      <c r="R1435" s="3486"/>
      <c r="S1435" s="3486"/>
      <c r="T1435" s="3486"/>
      <c r="U1435" s="3486"/>
      <c r="V1435" s="3486"/>
      <c r="W1435" s="3486"/>
      <c r="X1435" s="3486"/>
      <c r="Y1435" s="3943"/>
    </row>
    <row r="1436" spans="1:25" s="3492" customFormat="1">
      <c r="A1436" s="3485"/>
      <c r="B1436" s="3486"/>
      <c r="C1436" s="3486"/>
      <c r="D1436" s="3486"/>
      <c r="E1436" s="3486"/>
      <c r="F1436" s="3486"/>
      <c r="G1436" s="3486"/>
      <c r="H1436" s="3486"/>
      <c r="I1436" s="3486"/>
      <c r="J1436" s="3486"/>
      <c r="K1436" s="3486"/>
      <c r="L1436" s="3486"/>
      <c r="M1436" s="3486"/>
      <c r="N1436" s="3486"/>
      <c r="O1436" s="3486"/>
      <c r="P1436" s="3486"/>
      <c r="Q1436" s="3486"/>
      <c r="R1436" s="3486"/>
      <c r="S1436" s="3486"/>
      <c r="T1436" s="3486"/>
      <c r="U1436" s="3486"/>
      <c r="V1436" s="3486"/>
      <c r="W1436" s="3486"/>
      <c r="X1436" s="3486"/>
      <c r="Y1436" s="3943"/>
    </row>
    <row r="1437" spans="1:25" s="3492" customFormat="1">
      <c r="A1437" s="3485"/>
      <c r="B1437" s="3486"/>
      <c r="C1437" s="3486"/>
      <c r="D1437" s="3486"/>
      <c r="E1437" s="3486"/>
      <c r="F1437" s="3486"/>
      <c r="G1437" s="3486"/>
      <c r="H1437" s="3486"/>
      <c r="I1437" s="3486"/>
      <c r="J1437" s="3486"/>
      <c r="K1437" s="3486"/>
      <c r="L1437" s="3486"/>
      <c r="M1437" s="3486"/>
      <c r="N1437" s="3486"/>
      <c r="O1437" s="3486"/>
      <c r="P1437" s="3486"/>
      <c r="Q1437" s="3486"/>
      <c r="R1437" s="3486"/>
      <c r="S1437" s="3486"/>
      <c r="T1437" s="3486"/>
      <c r="U1437" s="3486"/>
      <c r="V1437" s="3486"/>
      <c r="W1437" s="3486"/>
      <c r="X1437" s="3486"/>
      <c r="Y1437" s="3943"/>
    </row>
    <row r="1438" spans="1:25" s="3492" customFormat="1">
      <c r="A1438" s="3485"/>
      <c r="B1438" s="3486"/>
      <c r="C1438" s="3486"/>
      <c r="D1438" s="3486"/>
      <c r="E1438" s="3486"/>
      <c r="F1438" s="3486"/>
      <c r="G1438" s="3486"/>
      <c r="H1438" s="3486"/>
      <c r="I1438" s="3486"/>
      <c r="J1438" s="3486"/>
      <c r="K1438" s="3486"/>
      <c r="L1438" s="3486"/>
      <c r="M1438" s="3486"/>
      <c r="N1438" s="3486"/>
      <c r="O1438" s="3486"/>
      <c r="P1438" s="3486"/>
      <c r="Q1438" s="3486"/>
      <c r="R1438" s="3486"/>
      <c r="S1438" s="3486"/>
      <c r="T1438" s="3486"/>
      <c r="U1438" s="3486"/>
      <c r="V1438" s="3486"/>
      <c r="W1438" s="3486"/>
      <c r="X1438" s="3486"/>
      <c r="Y1438" s="3943"/>
    </row>
    <row r="1439" spans="1:25" s="3492" customFormat="1">
      <c r="A1439" s="3485"/>
      <c r="B1439" s="3486"/>
      <c r="C1439" s="3486"/>
      <c r="D1439" s="3486"/>
      <c r="E1439" s="3486"/>
      <c r="F1439" s="3486"/>
      <c r="G1439" s="3486"/>
      <c r="H1439" s="3486"/>
      <c r="I1439" s="3486"/>
      <c r="J1439" s="3486"/>
      <c r="K1439" s="3486"/>
      <c r="L1439" s="3486"/>
      <c r="M1439" s="3486"/>
      <c r="N1439" s="3486"/>
      <c r="O1439" s="3486"/>
      <c r="P1439" s="3486"/>
      <c r="Q1439" s="3486"/>
      <c r="R1439" s="3486"/>
      <c r="S1439" s="3486"/>
      <c r="T1439" s="3486"/>
      <c r="U1439" s="3486"/>
      <c r="V1439" s="3486"/>
      <c r="W1439" s="3486"/>
      <c r="X1439" s="3486"/>
      <c r="Y1439" s="3943"/>
    </row>
    <row r="1440" spans="1:25" s="3492" customFormat="1">
      <c r="A1440" s="3485"/>
      <c r="B1440" s="3486"/>
      <c r="C1440" s="3486"/>
      <c r="D1440" s="3486"/>
      <c r="E1440" s="3486"/>
      <c r="F1440" s="3486"/>
      <c r="G1440" s="3486"/>
      <c r="H1440" s="3486"/>
      <c r="I1440" s="3486"/>
      <c r="J1440" s="3486"/>
      <c r="K1440" s="3486"/>
      <c r="L1440" s="3486"/>
      <c r="M1440" s="3486"/>
      <c r="N1440" s="3486"/>
      <c r="O1440" s="3486"/>
      <c r="P1440" s="3486"/>
      <c r="Q1440" s="3486"/>
      <c r="R1440" s="3486"/>
      <c r="S1440" s="3486"/>
      <c r="T1440" s="3486"/>
      <c r="U1440" s="3486"/>
      <c r="V1440" s="3486"/>
      <c r="W1440" s="3486"/>
      <c r="X1440" s="3486"/>
      <c r="Y1440" s="3943"/>
    </row>
    <row r="1441" spans="1:25" s="3492" customFormat="1">
      <c r="A1441" s="3485"/>
      <c r="B1441" s="3486"/>
      <c r="C1441" s="3486"/>
      <c r="D1441" s="3486"/>
      <c r="E1441" s="3486"/>
      <c r="F1441" s="3486"/>
      <c r="G1441" s="3486"/>
      <c r="H1441" s="3486"/>
      <c r="I1441" s="3486"/>
      <c r="J1441" s="3486"/>
      <c r="K1441" s="3486"/>
      <c r="L1441" s="3486"/>
      <c r="M1441" s="3486"/>
      <c r="N1441" s="3486"/>
      <c r="O1441" s="3486"/>
      <c r="P1441" s="3486"/>
      <c r="Q1441" s="3486"/>
      <c r="R1441" s="3486"/>
      <c r="S1441" s="3486"/>
      <c r="T1441" s="3486"/>
      <c r="U1441" s="3486"/>
      <c r="V1441" s="3486"/>
      <c r="W1441" s="3486"/>
      <c r="X1441" s="3486"/>
      <c r="Y1441" s="3943"/>
    </row>
    <row r="1442" spans="1:25" s="3492" customFormat="1">
      <c r="A1442" s="3485"/>
      <c r="B1442" s="3486"/>
      <c r="C1442" s="3486"/>
      <c r="D1442" s="3486"/>
      <c r="E1442" s="3486"/>
      <c r="F1442" s="3486"/>
      <c r="G1442" s="3486"/>
      <c r="H1442" s="3486"/>
      <c r="I1442" s="3486"/>
      <c r="J1442" s="3486"/>
      <c r="K1442" s="3486"/>
      <c r="L1442" s="3486"/>
      <c r="M1442" s="3486"/>
      <c r="N1442" s="3486"/>
      <c r="O1442" s="3486"/>
      <c r="P1442" s="3486"/>
      <c r="Q1442" s="3486"/>
      <c r="R1442" s="3486"/>
      <c r="S1442" s="3486"/>
      <c r="T1442" s="3486"/>
      <c r="U1442" s="3486"/>
      <c r="V1442" s="3486"/>
      <c r="W1442" s="3486"/>
      <c r="X1442" s="3486"/>
      <c r="Y1442" s="3943"/>
    </row>
    <row r="1443" spans="1:25" s="3492" customFormat="1">
      <c r="A1443" s="3485"/>
      <c r="B1443" s="3486"/>
      <c r="C1443" s="3486"/>
      <c r="D1443" s="3486"/>
      <c r="E1443" s="3486"/>
      <c r="F1443" s="3486"/>
      <c r="G1443" s="3486"/>
      <c r="H1443" s="3486"/>
      <c r="I1443" s="3486"/>
      <c r="J1443" s="3486"/>
      <c r="K1443" s="3486"/>
      <c r="L1443" s="3486"/>
      <c r="M1443" s="3486"/>
      <c r="N1443" s="3486"/>
      <c r="O1443" s="3486"/>
      <c r="P1443" s="3486"/>
      <c r="Q1443" s="3486"/>
      <c r="R1443" s="3486"/>
      <c r="S1443" s="3486"/>
      <c r="T1443" s="3486"/>
      <c r="U1443" s="3486"/>
      <c r="V1443" s="3486"/>
      <c r="W1443" s="3486"/>
      <c r="X1443" s="3486"/>
      <c r="Y1443" s="3943"/>
    </row>
    <row r="1444" spans="1:25" s="3492" customFormat="1">
      <c r="A1444" s="3485"/>
      <c r="B1444" s="3486"/>
      <c r="C1444" s="3486"/>
      <c r="D1444" s="3486"/>
      <c r="E1444" s="3486"/>
      <c r="F1444" s="3486"/>
      <c r="G1444" s="3486"/>
      <c r="H1444" s="3486"/>
      <c r="I1444" s="3486"/>
      <c r="J1444" s="3486"/>
      <c r="K1444" s="3486"/>
      <c r="L1444" s="3486"/>
      <c r="M1444" s="3486"/>
      <c r="N1444" s="3486"/>
      <c r="O1444" s="3486"/>
      <c r="P1444" s="3486"/>
      <c r="Q1444" s="3486"/>
      <c r="R1444" s="3486"/>
      <c r="S1444" s="3486"/>
      <c r="T1444" s="3486"/>
      <c r="U1444" s="3486"/>
      <c r="V1444" s="3486"/>
      <c r="W1444" s="3486"/>
      <c r="X1444" s="3486"/>
      <c r="Y1444" s="3943"/>
    </row>
    <row r="1445" spans="1:25" s="3492" customFormat="1">
      <c r="A1445" s="3485"/>
      <c r="B1445" s="3486"/>
      <c r="C1445" s="3486"/>
      <c r="D1445" s="3486"/>
      <c r="E1445" s="3486"/>
      <c r="F1445" s="3486"/>
      <c r="G1445" s="3486"/>
      <c r="H1445" s="3486"/>
      <c r="I1445" s="3486"/>
      <c r="J1445" s="3486"/>
      <c r="K1445" s="3486"/>
      <c r="L1445" s="3486"/>
      <c r="M1445" s="3486"/>
      <c r="N1445" s="3486"/>
      <c r="O1445" s="3486"/>
      <c r="P1445" s="3486"/>
      <c r="Q1445" s="3486"/>
      <c r="R1445" s="3486"/>
      <c r="S1445" s="3486"/>
      <c r="T1445" s="3486"/>
      <c r="U1445" s="3486"/>
      <c r="V1445" s="3486"/>
      <c r="W1445" s="3486"/>
      <c r="X1445" s="3486"/>
      <c r="Y1445" s="3943"/>
    </row>
    <row r="1446" spans="1:25" s="3492" customFormat="1">
      <c r="A1446" s="3485"/>
      <c r="B1446" s="3486"/>
      <c r="C1446" s="3486"/>
      <c r="D1446" s="3486"/>
      <c r="E1446" s="3486"/>
      <c r="F1446" s="3486"/>
      <c r="G1446" s="3486"/>
      <c r="H1446" s="3486"/>
      <c r="I1446" s="3486"/>
      <c r="J1446" s="3486"/>
      <c r="K1446" s="3486"/>
      <c r="L1446" s="3486"/>
      <c r="M1446" s="3486"/>
      <c r="N1446" s="3486"/>
      <c r="O1446" s="3486"/>
      <c r="P1446" s="3486"/>
      <c r="Q1446" s="3486"/>
      <c r="R1446" s="3486"/>
      <c r="S1446" s="3486"/>
      <c r="T1446" s="3486"/>
      <c r="U1446" s="3486"/>
      <c r="V1446" s="3486"/>
      <c r="W1446" s="3486"/>
      <c r="X1446" s="3486"/>
      <c r="Y1446" s="3943"/>
    </row>
    <row r="1447" spans="1:25" s="3492" customFormat="1">
      <c r="A1447" s="3485"/>
      <c r="B1447" s="3486"/>
      <c r="C1447" s="3486"/>
      <c r="D1447" s="3486"/>
      <c r="E1447" s="3486"/>
      <c r="F1447" s="3486"/>
      <c r="G1447" s="3486"/>
      <c r="H1447" s="3486"/>
      <c r="I1447" s="3486"/>
      <c r="J1447" s="3486"/>
      <c r="K1447" s="3486"/>
      <c r="L1447" s="3486"/>
      <c r="M1447" s="3486"/>
      <c r="N1447" s="3486"/>
      <c r="O1447" s="3486"/>
      <c r="P1447" s="3486"/>
      <c r="Q1447" s="3486"/>
      <c r="R1447" s="3486"/>
      <c r="S1447" s="3486"/>
      <c r="T1447" s="3486"/>
      <c r="U1447" s="3486"/>
      <c r="V1447" s="3486"/>
      <c r="W1447" s="3486"/>
      <c r="X1447" s="3486"/>
      <c r="Y1447" s="3943"/>
    </row>
    <row r="1448" spans="1:25" s="3492" customFormat="1">
      <c r="A1448" s="3485"/>
      <c r="B1448" s="3486"/>
      <c r="C1448" s="3486"/>
      <c r="D1448" s="3486"/>
      <c r="E1448" s="3486"/>
      <c r="F1448" s="3486"/>
      <c r="G1448" s="3486"/>
      <c r="H1448" s="3486"/>
      <c r="I1448" s="3486"/>
      <c r="J1448" s="3486"/>
      <c r="K1448" s="3486"/>
      <c r="L1448" s="3486"/>
      <c r="M1448" s="3486"/>
      <c r="N1448" s="3486"/>
      <c r="O1448" s="3486"/>
      <c r="P1448" s="3486"/>
      <c r="Q1448" s="3486"/>
      <c r="R1448" s="3486"/>
      <c r="S1448" s="3486"/>
      <c r="T1448" s="3486"/>
      <c r="U1448" s="3486"/>
      <c r="V1448" s="3486"/>
      <c r="W1448" s="3486"/>
      <c r="X1448" s="3486"/>
      <c r="Y1448" s="3943"/>
    </row>
    <row r="1449" spans="1:25" s="3492" customFormat="1">
      <c r="A1449" s="3485"/>
      <c r="B1449" s="3486"/>
      <c r="C1449" s="3486"/>
      <c r="D1449" s="3486"/>
      <c r="E1449" s="3486"/>
      <c r="F1449" s="3486"/>
      <c r="G1449" s="3486"/>
      <c r="H1449" s="3486"/>
      <c r="I1449" s="3486"/>
      <c r="J1449" s="3486"/>
      <c r="K1449" s="3486"/>
      <c r="L1449" s="3486"/>
      <c r="M1449" s="3486"/>
      <c r="N1449" s="3486"/>
      <c r="O1449" s="3486"/>
      <c r="P1449" s="3486"/>
      <c r="Q1449" s="3486"/>
      <c r="R1449" s="3486"/>
      <c r="S1449" s="3486"/>
      <c r="T1449" s="3486"/>
      <c r="U1449" s="3486"/>
      <c r="V1449" s="3486"/>
      <c r="W1449" s="3486"/>
      <c r="X1449" s="3486"/>
      <c r="Y1449" s="3943"/>
    </row>
    <row r="1450" spans="1:25" s="3492" customFormat="1">
      <c r="A1450" s="3485"/>
      <c r="B1450" s="3486"/>
      <c r="C1450" s="3486"/>
      <c r="D1450" s="3486"/>
      <c r="E1450" s="3486"/>
      <c r="F1450" s="3486"/>
      <c r="G1450" s="3486"/>
      <c r="H1450" s="3486"/>
      <c r="I1450" s="3486"/>
      <c r="J1450" s="3486"/>
      <c r="K1450" s="3486"/>
      <c r="L1450" s="3486"/>
      <c r="M1450" s="3486"/>
      <c r="N1450" s="3486"/>
      <c r="O1450" s="3486"/>
      <c r="P1450" s="3486"/>
      <c r="Q1450" s="3486"/>
      <c r="R1450" s="3486"/>
      <c r="S1450" s="3486"/>
      <c r="T1450" s="3486"/>
      <c r="U1450" s="3486"/>
      <c r="V1450" s="3486"/>
      <c r="W1450" s="3486"/>
      <c r="X1450" s="3486"/>
      <c r="Y1450" s="3943"/>
    </row>
    <row r="1451" spans="1:25" s="3492" customFormat="1">
      <c r="A1451" s="3485"/>
      <c r="B1451" s="3486"/>
      <c r="C1451" s="3486"/>
      <c r="D1451" s="3486"/>
      <c r="E1451" s="3486"/>
      <c r="F1451" s="3486"/>
      <c r="G1451" s="3486"/>
      <c r="H1451" s="3486"/>
      <c r="I1451" s="3486"/>
      <c r="J1451" s="3486"/>
      <c r="K1451" s="3486"/>
      <c r="L1451" s="3486"/>
      <c r="M1451" s="3486"/>
      <c r="N1451" s="3486"/>
      <c r="O1451" s="3486"/>
      <c r="P1451" s="3486"/>
      <c r="Q1451" s="3486"/>
      <c r="R1451" s="3486"/>
      <c r="S1451" s="3486"/>
      <c r="T1451" s="3486"/>
      <c r="U1451" s="3486"/>
      <c r="V1451" s="3486"/>
      <c r="W1451" s="3486"/>
      <c r="X1451" s="3486"/>
      <c r="Y1451" s="3943"/>
    </row>
    <row r="1452" spans="1:25" s="3492" customFormat="1">
      <c r="A1452" s="3485"/>
      <c r="B1452" s="3486"/>
      <c r="C1452" s="3486"/>
      <c r="D1452" s="3486"/>
      <c r="E1452" s="3486"/>
      <c r="F1452" s="3486"/>
      <c r="G1452" s="3486"/>
      <c r="H1452" s="3486"/>
      <c r="I1452" s="3486"/>
      <c r="J1452" s="3486"/>
      <c r="K1452" s="3486"/>
      <c r="L1452" s="3486"/>
      <c r="M1452" s="3486"/>
      <c r="N1452" s="3486"/>
      <c r="O1452" s="3486"/>
      <c r="P1452" s="3486"/>
      <c r="Q1452" s="3486"/>
      <c r="R1452" s="3486"/>
      <c r="S1452" s="3486"/>
      <c r="T1452" s="3486"/>
      <c r="U1452" s="3486"/>
      <c r="V1452" s="3486"/>
      <c r="W1452" s="3486"/>
      <c r="X1452" s="3486"/>
      <c r="Y1452" s="3943"/>
    </row>
    <row r="1453" spans="1:25" s="3492" customFormat="1">
      <c r="A1453" s="3485"/>
      <c r="B1453" s="3486"/>
      <c r="C1453" s="3486"/>
      <c r="D1453" s="3486"/>
      <c r="E1453" s="3486"/>
      <c r="F1453" s="3486"/>
      <c r="G1453" s="3486"/>
      <c r="H1453" s="3486"/>
      <c r="I1453" s="3486"/>
      <c r="J1453" s="3486"/>
      <c r="K1453" s="3486"/>
      <c r="L1453" s="3486"/>
      <c r="M1453" s="3486"/>
      <c r="N1453" s="3486"/>
      <c r="O1453" s="3486"/>
      <c r="P1453" s="3486"/>
      <c r="Q1453" s="3486"/>
      <c r="R1453" s="3486"/>
      <c r="S1453" s="3486"/>
      <c r="T1453" s="3486"/>
      <c r="U1453" s="3486"/>
      <c r="V1453" s="3486"/>
      <c r="W1453" s="3486"/>
      <c r="X1453" s="3486"/>
      <c r="Y1453" s="3943"/>
    </row>
    <row r="1454" spans="1:25" s="3492" customFormat="1">
      <c r="A1454" s="3485"/>
      <c r="B1454" s="3486"/>
      <c r="C1454" s="3486"/>
      <c r="D1454" s="3486"/>
      <c r="E1454" s="3486"/>
      <c r="F1454" s="3486"/>
      <c r="G1454" s="3486"/>
      <c r="H1454" s="3486"/>
      <c r="I1454" s="3486"/>
      <c r="J1454" s="3486"/>
      <c r="K1454" s="3486"/>
      <c r="L1454" s="3486"/>
      <c r="M1454" s="3486"/>
      <c r="N1454" s="3486"/>
      <c r="O1454" s="3486"/>
      <c r="P1454" s="3486"/>
      <c r="Q1454" s="3486"/>
      <c r="R1454" s="3486"/>
      <c r="S1454" s="3486"/>
      <c r="T1454" s="3486"/>
      <c r="U1454" s="3486"/>
      <c r="V1454" s="3486"/>
      <c r="W1454" s="3486"/>
      <c r="X1454" s="3486"/>
      <c r="Y1454" s="3943"/>
    </row>
    <row r="1455" spans="1:25" s="3492" customFormat="1">
      <c r="A1455" s="3485"/>
      <c r="B1455" s="3486"/>
      <c r="C1455" s="3486"/>
      <c r="D1455" s="3486"/>
      <c r="E1455" s="3486"/>
      <c r="F1455" s="3486"/>
      <c r="G1455" s="3486"/>
      <c r="H1455" s="3486"/>
      <c r="I1455" s="3486"/>
      <c r="J1455" s="3486"/>
      <c r="K1455" s="3486"/>
      <c r="L1455" s="3486"/>
      <c r="M1455" s="3486"/>
      <c r="N1455" s="3486"/>
      <c r="O1455" s="3486"/>
      <c r="P1455" s="3486"/>
      <c r="Q1455" s="3486"/>
      <c r="R1455" s="3486"/>
      <c r="S1455" s="3486"/>
      <c r="T1455" s="3486"/>
      <c r="U1455" s="3486"/>
      <c r="V1455" s="3486"/>
      <c r="W1455" s="3486"/>
      <c r="X1455" s="3486"/>
      <c r="Y1455" s="3943"/>
    </row>
    <row r="1456" spans="1:25" s="3492" customFormat="1">
      <c r="A1456" s="3485"/>
      <c r="B1456" s="3486"/>
      <c r="C1456" s="3486"/>
      <c r="D1456" s="3486"/>
      <c r="E1456" s="3486"/>
      <c r="F1456" s="3486"/>
      <c r="G1456" s="3486"/>
      <c r="H1456" s="3486"/>
      <c r="I1456" s="3486"/>
      <c r="J1456" s="3486"/>
      <c r="K1456" s="3486"/>
      <c r="L1456" s="3486"/>
      <c r="M1456" s="3486"/>
      <c r="N1456" s="3486"/>
      <c r="O1456" s="3486"/>
      <c r="P1456" s="3486"/>
      <c r="Q1456" s="3486"/>
      <c r="R1456" s="3486"/>
      <c r="S1456" s="3486"/>
      <c r="T1456" s="3486"/>
      <c r="U1456" s="3486"/>
      <c r="V1456" s="3486"/>
      <c r="W1456" s="3486"/>
      <c r="X1456" s="3486"/>
      <c r="Y1456" s="3943"/>
    </row>
    <row r="1457" spans="1:25" s="3492" customFormat="1">
      <c r="A1457" s="3485"/>
      <c r="B1457" s="3486"/>
      <c r="C1457" s="3486"/>
      <c r="D1457" s="3486"/>
      <c r="E1457" s="3486"/>
      <c r="F1457" s="3486"/>
      <c r="G1457" s="3486"/>
      <c r="H1457" s="3486"/>
      <c r="I1457" s="3486"/>
      <c r="J1457" s="3486"/>
      <c r="K1457" s="3486"/>
      <c r="L1457" s="3486"/>
      <c r="M1457" s="3486"/>
      <c r="N1457" s="3486"/>
      <c r="O1457" s="3486"/>
      <c r="P1457" s="3486"/>
      <c r="Q1457" s="3486"/>
      <c r="R1457" s="3486"/>
      <c r="S1457" s="3486"/>
      <c r="T1457" s="3486"/>
      <c r="U1457" s="3486"/>
      <c r="V1457" s="3486"/>
      <c r="W1457" s="3486"/>
      <c r="X1457" s="3486"/>
      <c r="Y1457" s="3943"/>
    </row>
    <row r="1458" spans="1:25" s="3492" customFormat="1">
      <c r="A1458" s="3485"/>
      <c r="B1458" s="3486"/>
      <c r="C1458" s="3486"/>
      <c r="D1458" s="3486"/>
      <c r="E1458" s="3486"/>
      <c r="F1458" s="3486"/>
      <c r="G1458" s="3486"/>
      <c r="H1458" s="3486"/>
      <c r="I1458" s="3486"/>
      <c r="J1458" s="3486"/>
      <c r="K1458" s="3486"/>
      <c r="L1458" s="3486"/>
      <c r="M1458" s="3486"/>
      <c r="N1458" s="3486"/>
      <c r="O1458" s="3486"/>
      <c r="P1458" s="3486"/>
      <c r="Q1458" s="3486"/>
      <c r="R1458" s="3486"/>
      <c r="S1458" s="3486"/>
      <c r="T1458" s="3486"/>
      <c r="U1458" s="3486"/>
      <c r="V1458" s="3486"/>
      <c r="W1458" s="3486"/>
      <c r="X1458" s="3486"/>
      <c r="Y1458" s="3943"/>
    </row>
    <row r="1459" spans="1:25" s="3492" customFormat="1">
      <c r="A1459" s="3485"/>
      <c r="B1459" s="3486"/>
      <c r="C1459" s="3486"/>
      <c r="D1459" s="3486"/>
      <c r="E1459" s="3486"/>
      <c r="F1459" s="3486"/>
      <c r="G1459" s="3486"/>
      <c r="H1459" s="3486"/>
      <c r="I1459" s="3486"/>
      <c r="J1459" s="3486"/>
      <c r="K1459" s="3486"/>
      <c r="L1459" s="3486"/>
      <c r="M1459" s="3486"/>
      <c r="N1459" s="3486"/>
      <c r="O1459" s="3486"/>
      <c r="P1459" s="3486"/>
      <c r="Q1459" s="3486"/>
      <c r="R1459" s="3486"/>
      <c r="S1459" s="3486"/>
      <c r="T1459" s="3486"/>
      <c r="U1459" s="3486"/>
      <c r="V1459" s="3486"/>
      <c r="W1459" s="3486"/>
      <c r="X1459" s="3486"/>
      <c r="Y1459" s="3943"/>
    </row>
    <row r="1460" spans="1:25" s="3492" customFormat="1">
      <c r="A1460" s="3485"/>
      <c r="B1460" s="3486"/>
      <c r="C1460" s="3486"/>
      <c r="D1460" s="3486"/>
      <c r="E1460" s="3486"/>
      <c r="F1460" s="3486"/>
      <c r="G1460" s="3486"/>
      <c r="H1460" s="3486"/>
      <c r="I1460" s="3486"/>
      <c r="J1460" s="3486"/>
      <c r="K1460" s="3486"/>
      <c r="L1460" s="3486"/>
      <c r="M1460" s="3486"/>
      <c r="N1460" s="3486"/>
      <c r="O1460" s="3486"/>
      <c r="P1460" s="3486"/>
      <c r="Q1460" s="3486"/>
      <c r="R1460" s="3486"/>
      <c r="S1460" s="3486"/>
      <c r="T1460" s="3486"/>
      <c r="U1460" s="3486"/>
      <c r="V1460" s="3486"/>
      <c r="W1460" s="3486"/>
      <c r="X1460" s="3486"/>
      <c r="Y1460" s="3943"/>
    </row>
    <row r="1461" spans="1:25" s="3492" customFormat="1">
      <c r="A1461" s="3485"/>
      <c r="B1461" s="3486"/>
      <c r="C1461" s="3486"/>
      <c r="D1461" s="3486"/>
      <c r="E1461" s="3486"/>
      <c r="F1461" s="3486"/>
      <c r="G1461" s="3486"/>
      <c r="H1461" s="3486"/>
      <c r="I1461" s="3486"/>
      <c r="J1461" s="3486"/>
      <c r="K1461" s="3486"/>
      <c r="L1461" s="3486"/>
      <c r="M1461" s="3486"/>
      <c r="N1461" s="3486"/>
      <c r="O1461" s="3486"/>
      <c r="P1461" s="3486"/>
      <c r="Q1461" s="3486"/>
      <c r="R1461" s="3486"/>
      <c r="S1461" s="3486"/>
      <c r="T1461" s="3486"/>
      <c r="U1461" s="3486"/>
      <c r="V1461" s="3486"/>
      <c r="W1461" s="3486"/>
      <c r="X1461" s="3486"/>
      <c r="Y1461" s="3943"/>
    </row>
    <row r="1462" spans="1:25" s="3492" customFormat="1">
      <c r="A1462" s="3485"/>
      <c r="B1462" s="3486"/>
      <c r="C1462" s="3486"/>
      <c r="D1462" s="3486"/>
      <c r="E1462" s="3486"/>
      <c r="F1462" s="3486"/>
      <c r="G1462" s="3486"/>
      <c r="H1462" s="3486"/>
      <c r="I1462" s="3486"/>
      <c r="J1462" s="3486"/>
      <c r="K1462" s="3486"/>
      <c r="L1462" s="3486"/>
      <c r="M1462" s="3486"/>
      <c r="N1462" s="3486"/>
      <c r="O1462" s="3486"/>
      <c r="P1462" s="3486"/>
      <c r="Q1462" s="3486"/>
      <c r="R1462" s="3486"/>
      <c r="S1462" s="3486"/>
      <c r="T1462" s="3486"/>
      <c r="U1462" s="3486"/>
      <c r="V1462" s="3486"/>
      <c r="W1462" s="3486"/>
      <c r="X1462" s="3486"/>
      <c r="Y1462" s="3943"/>
    </row>
    <row r="1463" spans="1:25" s="3492" customFormat="1">
      <c r="A1463" s="3485"/>
      <c r="B1463" s="3486"/>
      <c r="C1463" s="3486"/>
      <c r="D1463" s="3486"/>
      <c r="E1463" s="3486"/>
      <c r="F1463" s="3486"/>
      <c r="G1463" s="3486"/>
      <c r="H1463" s="3486"/>
      <c r="I1463" s="3486"/>
      <c r="J1463" s="3486"/>
      <c r="K1463" s="3486"/>
      <c r="L1463" s="3486"/>
      <c r="M1463" s="3486"/>
      <c r="N1463" s="3486"/>
      <c r="O1463" s="3486"/>
      <c r="P1463" s="3486"/>
      <c r="Q1463" s="3486"/>
      <c r="R1463" s="3486"/>
      <c r="S1463" s="3486"/>
      <c r="T1463" s="3486"/>
      <c r="U1463" s="3486"/>
      <c r="V1463" s="3486"/>
      <c r="W1463" s="3486"/>
      <c r="X1463" s="3486"/>
      <c r="Y1463" s="3943"/>
    </row>
    <row r="1464" spans="1:25" s="3492" customFormat="1">
      <c r="A1464" s="3485"/>
      <c r="B1464" s="3486"/>
      <c r="C1464" s="3486"/>
      <c r="D1464" s="3486"/>
      <c r="E1464" s="3486"/>
      <c r="F1464" s="3486"/>
      <c r="G1464" s="3486"/>
      <c r="H1464" s="3486"/>
      <c r="I1464" s="3486"/>
      <c r="J1464" s="3486"/>
      <c r="K1464" s="3486"/>
      <c r="L1464" s="3486"/>
      <c r="M1464" s="3486"/>
      <c r="N1464" s="3486"/>
      <c r="O1464" s="3486"/>
      <c r="P1464" s="3486"/>
      <c r="Q1464" s="3486"/>
      <c r="R1464" s="3486"/>
      <c r="S1464" s="3486"/>
      <c r="T1464" s="3486"/>
      <c r="U1464" s="3486"/>
      <c r="V1464" s="3486"/>
      <c r="W1464" s="3486"/>
      <c r="X1464" s="3486"/>
      <c r="Y1464" s="3943"/>
    </row>
    <row r="1465" spans="1:25" s="3492" customFormat="1">
      <c r="A1465" s="3485"/>
      <c r="B1465" s="3486"/>
      <c r="C1465" s="3486"/>
      <c r="D1465" s="3486"/>
      <c r="E1465" s="3486"/>
      <c r="F1465" s="3486"/>
      <c r="G1465" s="3486"/>
      <c r="H1465" s="3486"/>
      <c r="I1465" s="3486"/>
      <c r="J1465" s="3486"/>
      <c r="K1465" s="3486"/>
      <c r="L1465" s="3486"/>
      <c r="M1465" s="3486"/>
      <c r="N1465" s="3486"/>
      <c r="O1465" s="3486"/>
      <c r="P1465" s="3486"/>
      <c r="Q1465" s="3486"/>
      <c r="R1465" s="3486"/>
      <c r="S1465" s="3486"/>
      <c r="T1465" s="3486"/>
      <c r="U1465" s="3486"/>
      <c r="V1465" s="3486"/>
      <c r="W1465" s="3486"/>
      <c r="X1465" s="3486"/>
      <c r="Y1465" s="3943"/>
    </row>
    <row r="1466" spans="1:25" s="3492" customFormat="1">
      <c r="A1466" s="3485"/>
      <c r="B1466" s="3486"/>
      <c r="C1466" s="3486"/>
      <c r="D1466" s="3486"/>
      <c r="E1466" s="3486"/>
      <c r="F1466" s="3486"/>
      <c r="G1466" s="3486"/>
      <c r="H1466" s="3486"/>
      <c r="I1466" s="3486"/>
      <c r="J1466" s="3486"/>
      <c r="K1466" s="3486"/>
      <c r="L1466" s="3486"/>
      <c r="M1466" s="3486"/>
      <c r="N1466" s="3486"/>
      <c r="O1466" s="3486"/>
      <c r="P1466" s="3486"/>
      <c r="Q1466" s="3486"/>
      <c r="R1466" s="3486"/>
      <c r="S1466" s="3486"/>
      <c r="T1466" s="3486"/>
      <c r="U1466" s="3486"/>
      <c r="V1466" s="3486"/>
      <c r="W1466" s="3486"/>
      <c r="X1466" s="3486"/>
      <c r="Y1466" s="3943"/>
    </row>
    <row r="1467" spans="1:25" s="3492" customFormat="1">
      <c r="A1467" s="3485"/>
      <c r="B1467" s="3486"/>
      <c r="C1467" s="3486"/>
      <c r="D1467" s="3486"/>
      <c r="E1467" s="3486"/>
      <c r="F1467" s="3486"/>
      <c r="G1467" s="3486"/>
      <c r="H1467" s="3486"/>
      <c r="I1467" s="3486"/>
      <c r="J1467" s="3486"/>
      <c r="K1467" s="3486"/>
      <c r="L1467" s="3486"/>
      <c r="M1467" s="3486"/>
      <c r="N1467" s="3486"/>
      <c r="O1467" s="3486"/>
      <c r="P1467" s="3486"/>
      <c r="Q1467" s="3486"/>
      <c r="R1467" s="3486"/>
      <c r="S1467" s="3486"/>
      <c r="T1467" s="3486"/>
      <c r="U1467" s="3486"/>
      <c r="V1467" s="3486"/>
      <c r="W1467" s="3486"/>
      <c r="X1467" s="3486"/>
      <c r="Y1467" s="3943"/>
    </row>
    <row r="1468" spans="1:25" s="3492" customFormat="1">
      <c r="A1468" s="3485"/>
      <c r="B1468" s="3486"/>
      <c r="C1468" s="3486"/>
      <c r="D1468" s="3486"/>
      <c r="E1468" s="3486"/>
      <c r="F1468" s="3486"/>
      <c r="G1468" s="3486"/>
      <c r="H1468" s="3486"/>
      <c r="I1468" s="3486"/>
      <c r="J1468" s="3486"/>
      <c r="K1468" s="3486"/>
      <c r="L1468" s="3486"/>
      <c r="M1468" s="3486"/>
      <c r="N1468" s="3486"/>
      <c r="O1468" s="3486"/>
      <c r="P1468" s="3486"/>
      <c r="Q1468" s="3486"/>
      <c r="R1468" s="3486"/>
      <c r="S1468" s="3486"/>
      <c r="T1468" s="3486"/>
      <c r="U1468" s="3486"/>
      <c r="V1468" s="3486"/>
      <c r="W1468" s="3486"/>
      <c r="X1468" s="3486"/>
      <c r="Y1468" s="3943"/>
    </row>
    <row r="1469" spans="1:25" s="3492" customFormat="1">
      <c r="A1469" s="3485"/>
      <c r="B1469" s="3486"/>
      <c r="C1469" s="3486"/>
      <c r="D1469" s="3486"/>
      <c r="E1469" s="3486"/>
      <c r="F1469" s="3486"/>
      <c r="G1469" s="3486"/>
      <c r="H1469" s="3486"/>
      <c r="I1469" s="3486"/>
      <c r="J1469" s="3486"/>
      <c r="K1469" s="3486"/>
      <c r="L1469" s="3486"/>
      <c r="M1469" s="3486"/>
      <c r="N1469" s="3486"/>
      <c r="O1469" s="3486"/>
      <c r="P1469" s="3486"/>
      <c r="Q1469" s="3486"/>
      <c r="R1469" s="3486"/>
      <c r="S1469" s="3486"/>
      <c r="T1469" s="3486"/>
      <c r="U1469" s="3486"/>
      <c r="V1469" s="3486"/>
      <c r="W1469" s="3486"/>
      <c r="X1469" s="3486"/>
      <c r="Y1469" s="3943"/>
    </row>
    <row r="1470" spans="1:25" s="3492" customFormat="1">
      <c r="A1470" s="3485"/>
      <c r="B1470" s="3486"/>
      <c r="C1470" s="3486"/>
      <c r="D1470" s="3486"/>
      <c r="E1470" s="3486"/>
      <c r="F1470" s="3486"/>
      <c r="G1470" s="3486"/>
      <c r="H1470" s="3486"/>
      <c r="I1470" s="3486"/>
      <c r="J1470" s="3486"/>
      <c r="K1470" s="3486"/>
      <c r="L1470" s="3486"/>
      <c r="M1470" s="3486"/>
      <c r="N1470" s="3486"/>
      <c r="O1470" s="3486"/>
      <c r="P1470" s="3486"/>
      <c r="Q1470" s="3486"/>
      <c r="R1470" s="3486"/>
      <c r="S1470" s="3486"/>
      <c r="T1470" s="3486"/>
      <c r="U1470" s="3486"/>
      <c r="V1470" s="3486"/>
      <c r="W1470" s="3486"/>
      <c r="X1470" s="3486"/>
      <c r="Y1470" s="3943"/>
    </row>
    <row r="1471" spans="1:25" s="3492" customFormat="1">
      <c r="A1471" s="3485"/>
      <c r="B1471" s="3486"/>
      <c r="C1471" s="3486"/>
      <c r="D1471" s="3486"/>
      <c r="E1471" s="3486"/>
      <c r="F1471" s="3486"/>
      <c r="G1471" s="3486"/>
      <c r="H1471" s="3486"/>
      <c r="I1471" s="3486"/>
      <c r="J1471" s="3486"/>
      <c r="K1471" s="3486"/>
      <c r="L1471" s="3486"/>
      <c r="M1471" s="3486"/>
      <c r="N1471" s="3486"/>
      <c r="O1471" s="3486"/>
      <c r="P1471" s="3486"/>
      <c r="Q1471" s="3486"/>
      <c r="R1471" s="3486"/>
      <c r="S1471" s="3486"/>
      <c r="T1471" s="3486"/>
      <c r="U1471" s="3486"/>
      <c r="V1471" s="3486"/>
      <c r="W1471" s="3486"/>
      <c r="X1471" s="3486"/>
      <c r="Y1471" s="3943"/>
    </row>
    <row r="1472" spans="1:25" s="3492" customFormat="1">
      <c r="A1472" s="3485"/>
      <c r="B1472" s="3486"/>
      <c r="C1472" s="3486"/>
      <c r="D1472" s="3486"/>
      <c r="E1472" s="3486"/>
      <c r="F1472" s="3486"/>
      <c r="G1472" s="3486"/>
      <c r="H1472" s="3486"/>
      <c r="I1472" s="3486"/>
      <c r="J1472" s="3486"/>
      <c r="K1472" s="3486"/>
      <c r="L1472" s="3486"/>
      <c r="M1472" s="3486"/>
      <c r="N1472" s="3486"/>
      <c r="O1472" s="3486"/>
      <c r="P1472" s="3486"/>
      <c r="Q1472" s="3486"/>
      <c r="R1472" s="3486"/>
      <c r="S1472" s="3486"/>
      <c r="T1472" s="3486"/>
      <c r="U1472" s="3486"/>
      <c r="V1472" s="3486"/>
      <c r="W1472" s="3486"/>
      <c r="X1472" s="3486"/>
      <c r="Y1472" s="3943"/>
    </row>
    <row r="1473" spans="1:25" s="3492" customFormat="1">
      <c r="A1473" s="3485"/>
      <c r="B1473" s="3486"/>
      <c r="C1473" s="3486"/>
      <c r="D1473" s="3486"/>
      <c r="E1473" s="3486"/>
      <c r="F1473" s="3486"/>
      <c r="G1473" s="3486"/>
      <c r="H1473" s="3486"/>
      <c r="I1473" s="3486"/>
      <c r="J1473" s="3486"/>
      <c r="K1473" s="3486"/>
      <c r="L1473" s="3486"/>
      <c r="M1473" s="3486"/>
      <c r="N1473" s="3486"/>
      <c r="O1473" s="3486"/>
      <c r="P1473" s="3486"/>
      <c r="Q1473" s="3486"/>
      <c r="R1473" s="3486"/>
      <c r="S1473" s="3486"/>
      <c r="T1473" s="3486"/>
      <c r="U1473" s="3486"/>
      <c r="V1473" s="3486"/>
      <c r="W1473" s="3486"/>
      <c r="X1473" s="3486"/>
      <c r="Y1473" s="3943"/>
    </row>
    <row r="1474" spans="1:25" s="3492" customFormat="1">
      <c r="A1474" s="3485"/>
      <c r="B1474" s="3486"/>
      <c r="C1474" s="3486"/>
      <c r="D1474" s="3486"/>
      <c r="E1474" s="3486"/>
      <c r="F1474" s="3486"/>
      <c r="G1474" s="3486"/>
      <c r="H1474" s="3486"/>
      <c r="I1474" s="3486"/>
      <c r="J1474" s="3486"/>
      <c r="K1474" s="3486"/>
      <c r="L1474" s="3486"/>
      <c r="M1474" s="3486"/>
      <c r="N1474" s="3486"/>
      <c r="O1474" s="3486"/>
      <c r="P1474" s="3486"/>
      <c r="Q1474" s="3486"/>
      <c r="R1474" s="3486"/>
      <c r="S1474" s="3486"/>
      <c r="T1474" s="3486"/>
      <c r="U1474" s="3486"/>
      <c r="V1474" s="3486"/>
      <c r="W1474" s="3486"/>
      <c r="X1474" s="3486"/>
      <c r="Y1474" s="3943"/>
    </row>
    <row r="1475" spans="1:25" s="3492" customFormat="1">
      <c r="A1475" s="3485"/>
      <c r="B1475" s="3486"/>
      <c r="C1475" s="3486"/>
      <c r="D1475" s="3486"/>
      <c r="E1475" s="3486"/>
      <c r="F1475" s="3486"/>
      <c r="G1475" s="3486"/>
      <c r="H1475" s="3486"/>
      <c r="I1475" s="3486"/>
      <c r="J1475" s="3486"/>
      <c r="K1475" s="3486"/>
      <c r="L1475" s="3486"/>
      <c r="M1475" s="3486"/>
      <c r="N1475" s="3486"/>
      <c r="O1475" s="3486"/>
      <c r="P1475" s="3486"/>
      <c r="Q1475" s="3486"/>
      <c r="R1475" s="3486"/>
      <c r="S1475" s="3486"/>
      <c r="T1475" s="3486"/>
      <c r="U1475" s="3486"/>
      <c r="V1475" s="3486"/>
      <c r="W1475" s="3486"/>
      <c r="X1475" s="3486"/>
      <c r="Y1475" s="3943"/>
    </row>
    <row r="1476" spans="1:25" s="3492" customFormat="1">
      <c r="A1476" s="3485"/>
      <c r="B1476" s="3486"/>
      <c r="C1476" s="3486"/>
      <c r="D1476" s="3486"/>
      <c r="E1476" s="3486"/>
      <c r="F1476" s="3486"/>
      <c r="G1476" s="3486"/>
      <c r="H1476" s="3486"/>
      <c r="I1476" s="3486"/>
      <c r="J1476" s="3486"/>
      <c r="K1476" s="3486"/>
      <c r="L1476" s="3486"/>
      <c r="M1476" s="3486"/>
      <c r="N1476" s="3486"/>
      <c r="O1476" s="3486"/>
      <c r="P1476" s="3486"/>
      <c r="Q1476" s="3486"/>
      <c r="R1476" s="3486"/>
      <c r="S1476" s="3486"/>
      <c r="T1476" s="3486"/>
      <c r="U1476" s="3486"/>
      <c r="V1476" s="3486"/>
      <c r="W1476" s="3486"/>
      <c r="X1476" s="3486"/>
      <c r="Y1476" s="3943"/>
    </row>
    <row r="1477" spans="1:25" s="3492" customFormat="1">
      <c r="A1477" s="3485"/>
      <c r="B1477" s="3486"/>
      <c r="C1477" s="3486"/>
      <c r="D1477" s="3486"/>
      <c r="E1477" s="3486"/>
      <c r="F1477" s="3486"/>
      <c r="G1477" s="3486"/>
      <c r="H1477" s="3486"/>
      <c r="I1477" s="3486"/>
      <c r="J1477" s="3486"/>
      <c r="K1477" s="3486"/>
      <c r="L1477" s="3486"/>
      <c r="M1477" s="3486"/>
      <c r="N1477" s="3486"/>
      <c r="O1477" s="3486"/>
      <c r="P1477" s="3486"/>
      <c r="Q1477" s="3486"/>
      <c r="R1477" s="3486"/>
      <c r="S1477" s="3486"/>
      <c r="T1477" s="3486"/>
      <c r="U1477" s="3486"/>
      <c r="V1477" s="3486"/>
      <c r="W1477" s="3486"/>
      <c r="X1477" s="3486"/>
      <c r="Y1477" s="3943"/>
    </row>
    <row r="1478" spans="1:25" s="3492" customFormat="1">
      <c r="A1478" s="3485"/>
      <c r="B1478" s="3486"/>
      <c r="C1478" s="3486"/>
      <c r="D1478" s="3486"/>
      <c r="E1478" s="3486"/>
      <c r="F1478" s="3486"/>
      <c r="G1478" s="3486"/>
      <c r="H1478" s="3486"/>
      <c r="I1478" s="3486"/>
      <c r="J1478" s="3486"/>
      <c r="K1478" s="3486"/>
      <c r="L1478" s="3486"/>
      <c r="M1478" s="3486"/>
      <c r="N1478" s="3486"/>
      <c r="O1478" s="3486"/>
      <c r="P1478" s="3486"/>
      <c r="Q1478" s="3486"/>
      <c r="R1478" s="3486"/>
      <c r="S1478" s="3486"/>
      <c r="T1478" s="3486"/>
      <c r="U1478" s="3486"/>
      <c r="V1478" s="3486"/>
      <c r="W1478" s="3486"/>
      <c r="X1478" s="3486"/>
      <c r="Y1478" s="3943"/>
    </row>
    <row r="1479" spans="1:25" s="3492" customFormat="1">
      <c r="A1479" s="3485"/>
      <c r="B1479" s="3486"/>
      <c r="C1479" s="3486"/>
      <c r="D1479" s="3486"/>
      <c r="E1479" s="3486"/>
      <c r="F1479" s="3486"/>
      <c r="G1479" s="3486"/>
      <c r="H1479" s="3486"/>
      <c r="I1479" s="3486"/>
      <c r="J1479" s="3486"/>
      <c r="K1479" s="3486"/>
      <c r="L1479" s="3486"/>
      <c r="M1479" s="3486"/>
      <c r="N1479" s="3486"/>
      <c r="O1479" s="3486"/>
      <c r="P1479" s="3486"/>
      <c r="Q1479" s="3486"/>
      <c r="R1479" s="3486"/>
      <c r="S1479" s="3486"/>
      <c r="T1479" s="3486"/>
      <c r="U1479" s="3486"/>
      <c r="V1479" s="3486"/>
      <c r="W1479" s="3486"/>
      <c r="X1479" s="3486"/>
      <c r="Y1479" s="3943"/>
    </row>
    <row r="1480" spans="1:25" s="3492" customFormat="1">
      <c r="A1480" s="3485"/>
      <c r="B1480" s="3486"/>
      <c r="C1480" s="3486"/>
      <c r="D1480" s="3486"/>
      <c r="E1480" s="3486"/>
      <c r="F1480" s="3486"/>
      <c r="G1480" s="3486"/>
      <c r="H1480" s="3486"/>
      <c r="I1480" s="3486"/>
      <c r="J1480" s="3486"/>
      <c r="K1480" s="3486"/>
      <c r="L1480" s="3486"/>
      <c r="M1480" s="3486"/>
      <c r="N1480" s="3486"/>
      <c r="O1480" s="3486"/>
      <c r="P1480" s="3486"/>
      <c r="Q1480" s="3486"/>
      <c r="R1480" s="3486"/>
      <c r="S1480" s="3486"/>
      <c r="T1480" s="3486"/>
      <c r="U1480" s="3486"/>
      <c r="V1480" s="3486"/>
      <c r="W1480" s="3486"/>
      <c r="X1480" s="3486"/>
      <c r="Y1480" s="3943"/>
    </row>
    <row r="1481" spans="1:25" s="3492" customFormat="1">
      <c r="A1481" s="3485"/>
      <c r="B1481" s="3486"/>
      <c r="C1481" s="3486"/>
      <c r="D1481" s="3486"/>
      <c r="E1481" s="3486"/>
      <c r="F1481" s="3486"/>
      <c r="G1481" s="3486"/>
      <c r="H1481" s="3486"/>
      <c r="I1481" s="3486"/>
      <c r="J1481" s="3486"/>
      <c r="K1481" s="3486"/>
      <c r="L1481" s="3486"/>
      <c r="M1481" s="3486"/>
      <c r="N1481" s="3486"/>
      <c r="O1481" s="3486"/>
      <c r="P1481" s="3486"/>
      <c r="Q1481" s="3486"/>
      <c r="R1481" s="3486"/>
      <c r="S1481" s="3486"/>
      <c r="T1481" s="3486"/>
      <c r="U1481" s="3486"/>
      <c r="V1481" s="3486"/>
      <c r="W1481" s="3486"/>
      <c r="X1481" s="3486"/>
      <c r="Y1481" s="3943"/>
    </row>
    <row r="1482" spans="1:25" s="3492" customFormat="1">
      <c r="A1482" s="3485"/>
      <c r="B1482" s="3486"/>
      <c r="C1482" s="3486"/>
      <c r="D1482" s="3486"/>
      <c r="E1482" s="3486"/>
      <c r="F1482" s="3486"/>
      <c r="G1482" s="3486"/>
      <c r="H1482" s="3486"/>
      <c r="I1482" s="3486"/>
      <c r="J1482" s="3486"/>
      <c r="K1482" s="3486"/>
      <c r="L1482" s="3486"/>
      <c r="M1482" s="3486"/>
      <c r="N1482" s="3486"/>
      <c r="O1482" s="3486"/>
      <c r="P1482" s="3486"/>
      <c r="Q1482" s="3486"/>
      <c r="R1482" s="3486"/>
      <c r="S1482" s="3486"/>
      <c r="T1482" s="3486"/>
      <c r="U1482" s="3486"/>
      <c r="V1482" s="3486"/>
      <c r="W1482" s="3486"/>
      <c r="X1482" s="3486"/>
      <c r="Y1482" s="3943"/>
    </row>
    <row r="1483" spans="1:25" s="3492" customFormat="1">
      <c r="A1483" s="3485"/>
      <c r="B1483" s="3486"/>
      <c r="C1483" s="3486"/>
      <c r="D1483" s="3486"/>
      <c r="E1483" s="3486"/>
      <c r="F1483" s="3486"/>
      <c r="G1483" s="3486"/>
      <c r="H1483" s="3486"/>
      <c r="I1483" s="3486"/>
      <c r="J1483" s="3486"/>
      <c r="K1483" s="3486"/>
      <c r="L1483" s="3486"/>
      <c r="M1483" s="3486"/>
      <c r="N1483" s="3486"/>
      <c r="O1483" s="3486"/>
      <c r="P1483" s="3486"/>
      <c r="Q1483" s="3486"/>
      <c r="R1483" s="3486"/>
      <c r="S1483" s="3486"/>
      <c r="T1483" s="3486"/>
      <c r="U1483" s="3486"/>
      <c r="V1483" s="3486"/>
      <c r="W1483" s="3486"/>
      <c r="X1483" s="3486"/>
      <c r="Y1483" s="3943"/>
    </row>
    <row r="1484" spans="1:25" s="3492" customFormat="1">
      <c r="A1484" s="3485"/>
      <c r="B1484" s="3486"/>
      <c r="C1484" s="3486"/>
      <c r="D1484" s="3486"/>
      <c r="E1484" s="3486"/>
      <c r="F1484" s="3486"/>
      <c r="G1484" s="3486"/>
      <c r="H1484" s="3486"/>
      <c r="I1484" s="3486"/>
      <c r="J1484" s="3486"/>
      <c r="K1484" s="3486"/>
      <c r="L1484" s="3486"/>
      <c r="M1484" s="3486"/>
      <c r="N1484" s="3486"/>
      <c r="O1484" s="3486"/>
      <c r="P1484" s="3486"/>
      <c r="Q1484" s="3486"/>
      <c r="R1484" s="3486"/>
      <c r="S1484" s="3486"/>
      <c r="T1484" s="3486"/>
      <c r="U1484" s="3486"/>
      <c r="V1484" s="3486"/>
      <c r="W1484" s="3486"/>
      <c r="X1484" s="3486"/>
      <c r="Y1484" s="3943"/>
    </row>
    <row r="1485" spans="1:25" s="3492" customFormat="1">
      <c r="A1485" s="3485"/>
      <c r="B1485" s="3486"/>
      <c r="C1485" s="3486"/>
      <c r="D1485" s="3486"/>
      <c r="E1485" s="3486"/>
      <c r="F1485" s="3486"/>
      <c r="G1485" s="3486"/>
      <c r="H1485" s="3486"/>
      <c r="I1485" s="3486"/>
      <c r="J1485" s="3486"/>
      <c r="K1485" s="3486"/>
      <c r="L1485" s="3486"/>
      <c r="M1485" s="3486"/>
      <c r="N1485" s="3486"/>
      <c r="O1485" s="3486"/>
      <c r="P1485" s="3486"/>
      <c r="Q1485" s="3486"/>
      <c r="R1485" s="3486"/>
      <c r="S1485" s="3486"/>
      <c r="T1485" s="3486"/>
      <c r="U1485" s="3486"/>
      <c r="V1485" s="3486"/>
      <c r="W1485" s="3486"/>
      <c r="X1485" s="3486"/>
      <c r="Y1485" s="3943"/>
    </row>
    <row r="1486" spans="1:25" s="3492" customFormat="1">
      <c r="A1486" s="3485"/>
      <c r="B1486" s="3486"/>
      <c r="C1486" s="3486"/>
      <c r="D1486" s="3486"/>
      <c r="E1486" s="3486"/>
      <c r="F1486" s="3486"/>
      <c r="G1486" s="3486"/>
      <c r="H1486" s="3486"/>
      <c r="I1486" s="3486"/>
      <c r="J1486" s="3486"/>
      <c r="K1486" s="3486"/>
      <c r="L1486" s="3486"/>
      <c r="M1486" s="3486"/>
      <c r="N1486" s="3486"/>
      <c r="O1486" s="3486"/>
      <c r="P1486" s="3486"/>
      <c r="Q1486" s="3486"/>
      <c r="R1486" s="3486"/>
      <c r="S1486" s="3486"/>
      <c r="T1486" s="3486"/>
      <c r="U1486" s="3486"/>
      <c r="V1486" s="3486"/>
      <c r="W1486" s="3486"/>
      <c r="X1486" s="3486"/>
      <c r="Y1486" s="3943"/>
    </row>
    <row r="1487" spans="1:25" s="3492" customFormat="1">
      <c r="A1487" s="3485"/>
      <c r="B1487" s="3486"/>
      <c r="C1487" s="3486"/>
      <c r="D1487" s="3486"/>
      <c r="E1487" s="3486"/>
      <c r="F1487" s="3486"/>
      <c r="G1487" s="3486"/>
      <c r="H1487" s="3486"/>
      <c r="I1487" s="3486"/>
      <c r="J1487" s="3486"/>
      <c r="K1487" s="3486"/>
      <c r="L1487" s="3486"/>
      <c r="M1487" s="3486"/>
      <c r="N1487" s="3486"/>
      <c r="O1487" s="3486"/>
      <c r="P1487" s="3486"/>
      <c r="Q1487" s="3486"/>
      <c r="R1487" s="3486"/>
      <c r="S1487" s="3486"/>
      <c r="T1487" s="3486"/>
      <c r="U1487" s="3486"/>
      <c r="V1487" s="3486"/>
      <c r="W1487" s="3486"/>
      <c r="X1487" s="3486"/>
      <c r="Y1487" s="3943"/>
    </row>
    <row r="1488" spans="1:25" s="3492" customFormat="1">
      <c r="A1488" s="3485"/>
      <c r="B1488" s="3486"/>
      <c r="C1488" s="3486"/>
      <c r="D1488" s="3486"/>
      <c r="E1488" s="3486"/>
      <c r="F1488" s="3486"/>
      <c r="G1488" s="3486"/>
      <c r="H1488" s="3486"/>
      <c r="I1488" s="3486"/>
      <c r="J1488" s="3486"/>
      <c r="K1488" s="3486"/>
      <c r="L1488" s="3486"/>
      <c r="M1488" s="3486"/>
      <c r="N1488" s="3486"/>
      <c r="O1488" s="3486"/>
      <c r="P1488" s="3486"/>
      <c r="Q1488" s="3486"/>
      <c r="R1488" s="3486"/>
      <c r="S1488" s="3486"/>
      <c r="T1488" s="3486"/>
      <c r="U1488" s="3486"/>
      <c r="V1488" s="3486"/>
      <c r="W1488" s="3486"/>
      <c r="X1488" s="3486"/>
      <c r="Y1488" s="3943"/>
    </row>
    <row r="1489" spans="1:25" s="3492" customFormat="1">
      <c r="A1489" s="3485"/>
      <c r="B1489" s="3486"/>
      <c r="C1489" s="3486"/>
      <c r="D1489" s="3486"/>
      <c r="E1489" s="3486"/>
      <c r="F1489" s="3486"/>
      <c r="G1489" s="3486"/>
      <c r="H1489" s="3486"/>
      <c r="I1489" s="3486"/>
      <c r="J1489" s="3486"/>
      <c r="K1489" s="3486"/>
      <c r="L1489" s="3486"/>
      <c r="M1489" s="3486"/>
      <c r="N1489" s="3486"/>
      <c r="O1489" s="3486"/>
      <c r="P1489" s="3486"/>
      <c r="Q1489" s="3486"/>
      <c r="R1489" s="3486"/>
      <c r="S1489" s="3486"/>
      <c r="T1489" s="3486"/>
      <c r="U1489" s="3486"/>
      <c r="V1489" s="3486"/>
      <c r="W1489" s="3486"/>
      <c r="X1489" s="3486"/>
      <c r="Y1489" s="3943"/>
    </row>
    <row r="1490" spans="1:25" s="3492" customFormat="1">
      <c r="A1490" s="3485"/>
      <c r="B1490" s="3486"/>
      <c r="C1490" s="3486"/>
      <c r="D1490" s="3486"/>
      <c r="E1490" s="3486"/>
      <c r="F1490" s="3486"/>
      <c r="G1490" s="3486"/>
      <c r="H1490" s="3486"/>
      <c r="I1490" s="3486"/>
      <c r="J1490" s="3486"/>
      <c r="K1490" s="3486"/>
      <c r="L1490" s="3486"/>
      <c r="M1490" s="3486"/>
      <c r="N1490" s="3486"/>
      <c r="O1490" s="3486"/>
      <c r="P1490" s="3486"/>
      <c r="Q1490" s="3486"/>
      <c r="R1490" s="3486"/>
      <c r="S1490" s="3486"/>
      <c r="T1490" s="3486"/>
      <c r="U1490" s="3486"/>
      <c r="V1490" s="3486"/>
      <c r="W1490" s="3486"/>
      <c r="X1490" s="3486"/>
      <c r="Y1490" s="3943"/>
    </row>
    <row r="1491" spans="1:25" s="3492" customFormat="1">
      <c r="A1491" s="3485"/>
      <c r="B1491" s="3486"/>
      <c r="C1491" s="3486"/>
      <c r="D1491" s="3486"/>
      <c r="E1491" s="3486"/>
      <c r="F1491" s="3486"/>
      <c r="G1491" s="3486"/>
      <c r="H1491" s="3486"/>
      <c r="I1491" s="3486"/>
      <c r="J1491" s="3486"/>
      <c r="K1491" s="3486"/>
      <c r="L1491" s="3486"/>
      <c r="M1491" s="3486"/>
      <c r="N1491" s="3486"/>
      <c r="O1491" s="3486"/>
      <c r="P1491" s="3486"/>
      <c r="Q1491" s="3486"/>
      <c r="R1491" s="3486"/>
      <c r="S1491" s="3486"/>
      <c r="T1491" s="3486"/>
      <c r="U1491" s="3486"/>
      <c r="V1491" s="3486"/>
      <c r="W1491" s="3486"/>
      <c r="X1491" s="3486"/>
      <c r="Y1491" s="3943"/>
    </row>
    <row r="1492" spans="1:25" s="3492" customFormat="1">
      <c r="A1492" s="3485"/>
      <c r="B1492" s="3486"/>
      <c r="C1492" s="3486"/>
      <c r="D1492" s="3486"/>
      <c r="E1492" s="3486"/>
      <c r="F1492" s="3486"/>
      <c r="G1492" s="3486"/>
      <c r="H1492" s="3486"/>
      <c r="I1492" s="3486"/>
      <c r="J1492" s="3486"/>
      <c r="K1492" s="3486"/>
      <c r="L1492" s="3486"/>
      <c r="M1492" s="3486"/>
      <c r="N1492" s="3486"/>
      <c r="O1492" s="3486"/>
      <c r="P1492" s="3486"/>
      <c r="Q1492" s="3486"/>
      <c r="R1492" s="3486"/>
      <c r="S1492" s="3486"/>
      <c r="T1492" s="3486"/>
      <c r="U1492" s="3486"/>
      <c r="V1492" s="3486"/>
      <c r="W1492" s="3486"/>
      <c r="X1492" s="3486"/>
      <c r="Y1492" s="3943"/>
    </row>
    <row r="1493" spans="1:25" s="3492" customFormat="1">
      <c r="A1493" s="3485"/>
      <c r="B1493" s="3486"/>
      <c r="C1493" s="3486"/>
      <c r="D1493" s="3486"/>
      <c r="E1493" s="3486"/>
      <c r="F1493" s="3486"/>
      <c r="G1493" s="3486"/>
      <c r="H1493" s="3486"/>
      <c r="I1493" s="3486"/>
      <c r="J1493" s="3486"/>
      <c r="K1493" s="3486"/>
      <c r="L1493" s="3486"/>
      <c r="M1493" s="3486"/>
      <c r="N1493" s="3486"/>
      <c r="O1493" s="3486"/>
      <c r="P1493" s="3486"/>
      <c r="Q1493" s="3486"/>
      <c r="R1493" s="3486"/>
      <c r="S1493" s="3486"/>
      <c r="T1493" s="3486"/>
      <c r="U1493" s="3486"/>
      <c r="V1493" s="3486"/>
      <c r="W1493" s="3486"/>
      <c r="X1493" s="3486"/>
      <c r="Y1493" s="3943"/>
    </row>
    <row r="1494" spans="1:25" s="3492" customFormat="1">
      <c r="A1494" s="3485"/>
      <c r="B1494" s="3486"/>
      <c r="C1494" s="3486"/>
      <c r="D1494" s="3486"/>
      <c r="E1494" s="3486"/>
      <c r="F1494" s="3486"/>
      <c r="G1494" s="3486"/>
      <c r="H1494" s="3486"/>
      <c r="I1494" s="3486"/>
      <c r="J1494" s="3486"/>
      <c r="K1494" s="3486"/>
      <c r="L1494" s="3486"/>
      <c r="M1494" s="3486"/>
      <c r="N1494" s="3486"/>
      <c r="O1494" s="3486"/>
      <c r="P1494" s="3486"/>
      <c r="Q1494" s="3486"/>
      <c r="R1494" s="3486"/>
      <c r="S1494" s="3486"/>
      <c r="T1494" s="3486"/>
      <c r="U1494" s="3486"/>
      <c r="V1494" s="3486"/>
      <c r="W1494" s="3486"/>
      <c r="X1494" s="3486"/>
      <c r="Y1494" s="3943"/>
    </row>
    <row r="1495" spans="1:25" s="3492" customFormat="1">
      <c r="A1495" s="3485"/>
      <c r="B1495" s="3486"/>
      <c r="C1495" s="3486"/>
      <c r="D1495" s="3486"/>
      <c r="E1495" s="3486"/>
      <c r="F1495" s="3486"/>
      <c r="G1495" s="3486"/>
      <c r="H1495" s="3486"/>
      <c r="I1495" s="3486"/>
      <c r="J1495" s="3486"/>
      <c r="K1495" s="3486"/>
      <c r="L1495" s="3486"/>
      <c r="M1495" s="3486"/>
      <c r="N1495" s="3486"/>
      <c r="O1495" s="3486"/>
      <c r="P1495" s="3486"/>
      <c r="Q1495" s="3486"/>
      <c r="R1495" s="3486"/>
      <c r="S1495" s="3486"/>
      <c r="T1495" s="3486"/>
      <c r="U1495" s="3486"/>
      <c r="V1495" s="3486"/>
      <c r="W1495" s="3486"/>
      <c r="X1495" s="3486"/>
      <c r="Y1495" s="3943"/>
    </row>
    <row r="1496" spans="1:25" s="3492" customFormat="1">
      <c r="A1496" s="3485"/>
      <c r="B1496" s="3486"/>
      <c r="C1496" s="3486"/>
      <c r="D1496" s="3486"/>
      <c r="E1496" s="3486"/>
      <c r="F1496" s="3486"/>
      <c r="G1496" s="3486"/>
      <c r="H1496" s="3486"/>
      <c r="I1496" s="3486"/>
      <c r="J1496" s="3486"/>
      <c r="K1496" s="3486"/>
      <c r="L1496" s="3486"/>
      <c r="M1496" s="3486"/>
      <c r="N1496" s="3486"/>
      <c r="O1496" s="3486"/>
      <c r="P1496" s="3486"/>
      <c r="Q1496" s="3486"/>
      <c r="R1496" s="3486"/>
      <c r="S1496" s="3486"/>
      <c r="T1496" s="3486"/>
      <c r="U1496" s="3486"/>
      <c r="V1496" s="3486"/>
      <c r="W1496" s="3486"/>
      <c r="X1496" s="3486"/>
      <c r="Y1496" s="3943"/>
    </row>
    <row r="1497" spans="1:25" s="3492" customFormat="1">
      <c r="A1497" s="3485"/>
      <c r="B1497" s="3486"/>
      <c r="C1497" s="3486"/>
      <c r="D1497" s="3486"/>
      <c r="E1497" s="3486"/>
      <c r="F1497" s="3486"/>
      <c r="G1497" s="3486"/>
      <c r="H1497" s="3486"/>
      <c r="I1497" s="3486"/>
      <c r="J1497" s="3486"/>
      <c r="K1497" s="3486"/>
      <c r="L1497" s="3486"/>
      <c r="M1497" s="3486"/>
      <c r="N1497" s="3486"/>
      <c r="O1497" s="3486"/>
      <c r="P1497" s="3486"/>
      <c r="Q1497" s="3486"/>
      <c r="R1497" s="3486"/>
      <c r="S1497" s="3486"/>
      <c r="T1497" s="3486"/>
      <c r="U1497" s="3486"/>
      <c r="V1497" s="3486"/>
      <c r="W1497" s="3486"/>
      <c r="X1497" s="3486"/>
      <c r="Y1497" s="3943"/>
    </row>
    <row r="1498" spans="1:25" s="3492" customFormat="1">
      <c r="A1498" s="3485"/>
      <c r="B1498" s="3486"/>
      <c r="C1498" s="3486"/>
      <c r="D1498" s="3486"/>
      <c r="E1498" s="3486"/>
      <c r="F1498" s="3486"/>
      <c r="G1498" s="3486"/>
      <c r="H1498" s="3486"/>
      <c r="I1498" s="3486"/>
      <c r="J1498" s="3486"/>
      <c r="K1498" s="3486"/>
      <c r="L1498" s="3486"/>
      <c r="M1498" s="3486"/>
      <c r="N1498" s="3486"/>
      <c r="O1498" s="3486"/>
      <c r="P1498" s="3486"/>
      <c r="Q1498" s="3486"/>
      <c r="R1498" s="3486"/>
      <c r="S1498" s="3486"/>
      <c r="T1498" s="3486"/>
      <c r="U1498" s="3486"/>
      <c r="V1498" s="3486"/>
      <c r="W1498" s="3486"/>
      <c r="X1498" s="3486"/>
      <c r="Y1498" s="3943"/>
    </row>
    <row r="1499" spans="1:25" s="3492" customFormat="1">
      <c r="A1499" s="3485"/>
      <c r="B1499" s="3486"/>
      <c r="C1499" s="3486"/>
      <c r="D1499" s="3486"/>
      <c r="E1499" s="3486"/>
      <c r="F1499" s="3486"/>
      <c r="G1499" s="3486"/>
      <c r="H1499" s="3486"/>
      <c r="I1499" s="3486"/>
      <c r="J1499" s="3486"/>
      <c r="K1499" s="3486"/>
      <c r="L1499" s="3486"/>
      <c r="M1499" s="3486"/>
      <c r="N1499" s="3486"/>
      <c r="O1499" s="3486"/>
      <c r="P1499" s="3486"/>
      <c r="Q1499" s="3486"/>
      <c r="R1499" s="3486"/>
      <c r="S1499" s="3486"/>
      <c r="T1499" s="3486"/>
      <c r="U1499" s="3486"/>
      <c r="V1499" s="3486"/>
      <c r="W1499" s="3486"/>
      <c r="X1499" s="3486"/>
      <c r="Y1499" s="3943"/>
    </row>
    <row r="1500" spans="1:25" s="3492" customFormat="1">
      <c r="A1500" s="3485"/>
      <c r="B1500" s="3486"/>
      <c r="C1500" s="3486"/>
      <c r="D1500" s="3486"/>
      <c r="E1500" s="3486"/>
      <c r="F1500" s="3486"/>
      <c r="G1500" s="3486"/>
      <c r="H1500" s="3486"/>
      <c r="I1500" s="3486"/>
      <c r="J1500" s="3486"/>
      <c r="K1500" s="3486"/>
      <c r="L1500" s="3486"/>
      <c r="M1500" s="3486"/>
      <c r="N1500" s="3486"/>
      <c r="O1500" s="3486"/>
      <c r="P1500" s="3486"/>
      <c r="Q1500" s="3486"/>
      <c r="R1500" s="3486"/>
      <c r="S1500" s="3486"/>
      <c r="T1500" s="3486"/>
      <c r="U1500" s="3486"/>
      <c r="V1500" s="3486"/>
      <c r="W1500" s="3486"/>
      <c r="X1500" s="3486"/>
      <c r="Y1500" s="3943"/>
    </row>
    <row r="1501" spans="1:25" s="3492" customFormat="1">
      <c r="A1501" s="3485"/>
      <c r="B1501" s="3486"/>
      <c r="C1501" s="3486"/>
      <c r="D1501" s="3486"/>
      <c r="E1501" s="3486"/>
      <c r="F1501" s="3486"/>
      <c r="G1501" s="3486"/>
      <c r="H1501" s="3486"/>
      <c r="I1501" s="3486"/>
      <c r="J1501" s="3486"/>
      <c r="K1501" s="3486"/>
      <c r="L1501" s="3486"/>
      <c r="M1501" s="3486"/>
      <c r="N1501" s="3486"/>
      <c r="O1501" s="3486"/>
      <c r="P1501" s="3486"/>
      <c r="Q1501" s="3486"/>
      <c r="R1501" s="3486"/>
      <c r="S1501" s="3486"/>
      <c r="T1501" s="3486"/>
      <c r="U1501" s="3486"/>
      <c r="V1501" s="3486"/>
      <c r="W1501" s="3486"/>
      <c r="X1501" s="3486"/>
      <c r="Y1501" s="3943"/>
    </row>
    <row r="1502" spans="1:25" s="3492" customFormat="1">
      <c r="A1502" s="3485"/>
      <c r="B1502" s="3486"/>
      <c r="C1502" s="3486"/>
      <c r="D1502" s="3486"/>
      <c r="E1502" s="3486"/>
      <c r="F1502" s="3486"/>
      <c r="G1502" s="3486"/>
      <c r="H1502" s="3486"/>
      <c r="I1502" s="3486"/>
      <c r="J1502" s="3486"/>
      <c r="K1502" s="3486"/>
      <c r="L1502" s="3486"/>
      <c r="M1502" s="3486"/>
      <c r="N1502" s="3486"/>
      <c r="O1502" s="3486"/>
      <c r="P1502" s="3486"/>
      <c r="Q1502" s="3486"/>
      <c r="R1502" s="3486"/>
      <c r="S1502" s="3486"/>
      <c r="T1502" s="3486"/>
      <c r="U1502" s="3486"/>
      <c r="V1502" s="3486"/>
      <c r="W1502" s="3486"/>
      <c r="X1502" s="3486"/>
      <c r="Y1502" s="3943"/>
    </row>
    <row r="1503" spans="1:25" s="3492" customFormat="1">
      <c r="A1503" s="3485"/>
      <c r="B1503" s="3486"/>
      <c r="C1503" s="3486"/>
      <c r="D1503" s="3486"/>
      <c r="E1503" s="3486"/>
      <c r="F1503" s="3486"/>
      <c r="G1503" s="3486"/>
      <c r="H1503" s="3486"/>
      <c r="I1503" s="3486"/>
      <c r="J1503" s="3486"/>
      <c r="K1503" s="3486"/>
      <c r="L1503" s="3486"/>
      <c r="M1503" s="3486"/>
      <c r="N1503" s="3486"/>
      <c r="O1503" s="3486"/>
      <c r="P1503" s="3486"/>
      <c r="Q1503" s="3486"/>
      <c r="R1503" s="3486"/>
      <c r="S1503" s="3486"/>
      <c r="T1503" s="3486"/>
      <c r="U1503" s="3486"/>
      <c r="V1503" s="3486"/>
      <c r="W1503" s="3486"/>
      <c r="X1503" s="3486"/>
      <c r="Y1503" s="3943"/>
    </row>
    <row r="1504" spans="1:25" s="3492" customFormat="1">
      <c r="A1504" s="3485"/>
      <c r="B1504" s="3486"/>
      <c r="C1504" s="3486"/>
      <c r="D1504" s="3486"/>
      <c r="E1504" s="3486"/>
      <c r="F1504" s="3486"/>
      <c r="G1504" s="3486"/>
      <c r="H1504" s="3486"/>
      <c r="I1504" s="3486"/>
      <c r="J1504" s="3486"/>
      <c r="K1504" s="3486"/>
      <c r="L1504" s="3486"/>
      <c r="M1504" s="3486"/>
      <c r="N1504" s="3486"/>
      <c r="O1504" s="3486"/>
      <c r="P1504" s="3486"/>
      <c r="Q1504" s="3486"/>
      <c r="R1504" s="3486"/>
      <c r="S1504" s="3486"/>
      <c r="T1504" s="3486"/>
      <c r="U1504" s="3486"/>
      <c r="V1504" s="3486"/>
      <c r="W1504" s="3486"/>
      <c r="X1504" s="3486"/>
      <c r="Y1504" s="3943"/>
    </row>
    <row r="1505" spans="1:25" s="3492" customFormat="1">
      <c r="A1505" s="3485"/>
      <c r="B1505" s="3486"/>
      <c r="C1505" s="3486"/>
      <c r="D1505" s="3486"/>
      <c r="E1505" s="3486"/>
      <c r="F1505" s="3486"/>
      <c r="G1505" s="3486"/>
      <c r="H1505" s="3486"/>
      <c r="I1505" s="3486"/>
      <c r="J1505" s="3486"/>
      <c r="K1505" s="3486"/>
      <c r="L1505" s="3486"/>
      <c r="M1505" s="3486"/>
      <c r="N1505" s="3486"/>
      <c r="O1505" s="3486"/>
      <c r="P1505" s="3486"/>
      <c r="Q1505" s="3486"/>
      <c r="R1505" s="3486"/>
      <c r="S1505" s="3486"/>
      <c r="T1505" s="3486"/>
      <c r="U1505" s="3486"/>
      <c r="V1505" s="3486"/>
      <c r="W1505" s="3486"/>
      <c r="X1505" s="3486"/>
      <c r="Y1505" s="3943"/>
    </row>
    <row r="1506" spans="1:25" s="3492" customFormat="1">
      <c r="A1506" s="3485"/>
      <c r="B1506" s="3486"/>
      <c r="C1506" s="3486"/>
      <c r="D1506" s="3486"/>
      <c r="E1506" s="3486"/>
      <c r="F1506" s="3486"/>
      <c r="G1506" s="3486"/>
      <c r="H1506" s="3486"/>
      <c r="I1506" s="3486"/>
      <c r="J1506" s="3486"/>
      <c r="K1506" s="3486"/>
      <c r="L1506" s="3486"/>
      <c r="M1506" s="3486"/>
      <c r="N1506" s="3486"/>
      <c r="O1506" s="3486"/>
      <c r="P1506" s="3486"/>
      <c r="Q1506" s="3486"/>
      <c r="R1506" s="3486"/>
      <c r="S1506" s="3486"/>
      <c r="T1506" s="3486"/>
      <c r="U1506" s="3486"/>
      <c r="V1506" s="3486"/>
      <c r="W1506" s="3486"/>
      <c r="X1506" s="3486"/>
      <c r="Y1506" s="3943"/>
    </row>
    <row r="1507" spans="1:25" s="3492" customFormat="1">
      <c r="A1507" s="3485"/>
      <c r="B1507" s="3486"/>
      <c r="C1507" s="3486"/>
      <c r="D1507" s="3486"/>
      <c r="E1507" s="3486"/>
      <c r="F1507" s="3486"/>
      <c r="G1507" s="3486"/>
      <c r="H1507" s="3486"/>
      <c r="I1507" s="3486"/>
      <c r="J1507" s="3486"/>
      <c r="K1507" s="3486"/>
      <c r="L1507" s="3486"/>
      <c r="M1507" s="3486"/>
      <c r="N1507" s="3486"/>
      <c r="O1507" s="3486"/>
      <c r="P1507" s="3486"/>
      <c r="Q1507" s="3486"/>
      <c r="R1507" s="3486"/>
      <c r="S1507" s="3486"/>
      <c r="T1507" s="3486"/>
      <c r="U1507" s="3486"/>
      <c r="V1507" s="3486"/>
      <c r="W1507" s="3486"/>
      <c r="X1507" s="3486"/>
      <c r="Y1507" s="3943"/>
    </row>
    <row r="1508" spans="1:25" s="3492" customFormat="1">
      <c r="A1508" s="3485"/>
      <c r="B1508" s="3486"/>
      <c r="C1508" s="3486"/>
      <c r="D1508" s="3486"/>
      <c r="E1508" s="3486"/>
      <c r="F1508" s="3486"/>
      <c r="G1508" s="3486"/>
      <c r="H1508" s="3486"/>
      <c r="I1508" s="3486"/>
      <c r="J1508" s="3486"/>
      <c r="K1508" s="3486"/>
      <c r="L1508" s="3486"/>
      <c r="M1508" s="3486"/>
      <c r="N1508" s="3486"/>
      <c r="O1508" s="3486"/>
      <c r="P1508" s="3486"/>
      <c r="Q1508" s="3486"/>
      <c r="R1508" s="3486"/>
      <c r="S1508" s="3486"/>
      <c r="T1508" s="3486"/>
      <c r="U1508" s="3486"/>
      <c r="V1508" s="3486"/>
      <c r="W1508" s="3486"/>
      <c r="X1508" s="3486"/>
      <c r="Y1508" s="3943"/>
    </row>
    <row r="1509" spans="1:25" s="3492" customFormat="1">
      <c r="A1509" s="3485"/>
      <c r="B1509" s="3486"/>
      <c r="C1509" s="3486"/>
      <c r="D1509" s="3486"/>
      <c r="E1509" s="3486"/>
      <c r="F1509" s="3486"/>
      <c r="G1509" s="3486"/>
      <c r="H1509" s="3486"/>
      <c r="I1509" s="3486"/>
      <c r="J1509" s="3486"/>
      <c r="K1509" s="3486"/>
      <c r="L1509" s="3486"/>
      <c r="M1509" s="3486"/>
      <c r="N1509" s="3486"/>
      <c r="O1509" s="3486"/>
      <c r="P1509" s="3486"/>
      <c r="Q1509" s="3486"/>
      <c r="R1509" s="3486"/>
      <c r="S1509" s="3486"/>
      <c r="T1509" s="3486"/>
      <c r="U1509" s="3486"/>
      <c r="V1509" s="3486"/>
      <c r="W1509" s="3486"/>
      <c r="X1509" s="3486"/>
      <c r="Y1509" s="3943"/>
    </row>
    <row r="1510" spans="1:25" s="3492" customFormat="1">
      <c r="A1510" s="3485"/>
      <c r="B1510" s="3486"/>
      <c r="C1510" s="3486"/>
      <c r="D1510" s="3486"/>
      <c r="E1510" s="3486"/>
      <c r="F1510" s="3486"/>
      <c r="G1510" s="3486"/>
      <c r="H1510" s="3486"/>
      <c r="I1510" s="3486"/>
      <c r="J1510" s="3486"/>
      <c r="K1510" s="3486"/>
      <c r="L1510" s="3486"/>
      <c r="M1510" s="3486"/>
      <c r="N1510" s="3486"/>
      <c r="O1510" s="3486"/>
      <c r="P1510" s="3486"/>
      <c r="Q1510" s="3486"/>
      <c r="R1510" s="3486"/>
      <c r="S1510" s="3486"/>
      <c r="T1510" s="3486"/>
      <c r="U1510" s="3486"/>
      <c r="V1510" s="3486"/>
      <c r="W1510" s="3486"/>
      <c r="X1510" s="3486"/>
      <c r="Y1510" s="3943"/>
    </row>
    <row r="1511" spans="1:25" s="3492" customFormat="1">
      <c r="A1511" s="3485"/>
      <c r="B1511" s="3486"/>
      <c r="C1511" s="3486"/>
      <c r="D1511" s="3486"/>
      <c r="E1511" s="3486"/>
      <c r="F1511" s="3486"/>
      <c r="G1511" s="3486"/>
      <c r="H1511" s="3486"/>
      <c r="I1511" s="3486"/>
      <c r="J1511" s="3486"/>
      <c r="K1511" s="3486"/>
      <c r="L1511" s="3486"/>
      <c r="M1511" s="3486"/>
      <c r="N1511" s="3486"/>
      <c r="O1511" s="3486"/>
      <c r="P1511" s="3486"/>
      <c r="Q1511" s="3486"/>
      <c r="R1511" s="3486"/>
      <c r="S1511" s="3486"/>
      <c r="T1511" s="3486"/>
      <c r="U1511" s="3486"/>
      <c r="V1511" s="3486"/>
      <c r="W1511" s="3486"/>
      <c r="X1511" s="3486"/>
      <c r="Y1511" s="3943"/>
    </row>
    <row r="1512" spans="1:25" s="3492" customFormat="1">
      <c r="A1512" s="3485"/>
      <c r="B1512" s="3486"/>
      <c r="C1512" s="3486"/>
      <c r="D1512" s="3486"/>
      <c r="E1512" s="3486"/>
      <c r="F1512" s="3486"/>
      <c r="G1512" s="3486"/>
      <c r="H1512" s="3486"/>
      <c r="I1512" s="3486"/>
      <c r="J1512" s="3486"/>
      <c r="K1512" s="3486"/>
      <c r="L1512" s="3486"/>
      <c r="M1512" s="3486"/>
      <c r="N1512" s="3486"/>
      <c r="O1512" s="3486"/>
      <c r="P1512" s="3486"/>
      <c r="Q1512" s="3486"/>
      <c r="R1512" s="3486"/>
      <c r="S1512" s="3486"/>
      <c r="T1512" s="3486"/>
      <c r="U1512" s="3486"/>
      <c r="V1512" s="3486"/>
      <c r="W1512" s="3486"/>
      <c r="X1512" s="3486"/>
      <c r="Y1512" s="3943"/>
    </row>
    <row r="1513" spans="1:25" s="3492" customFormat="1">
      <c r="A1513" s="3485"/>
      <c r="B1513" s="3486"/>
      <c r="C1513" s="3486"/>
      <c r="D1513" s="3486"/>
      <c r="E1513" s="3486"/>
      <c r="F1513" s="3486"/>
      <c r="G1513" s="3486"/>
      <c r="H1513" s="3486"/>
      <c r="I1513" s="3486"/>
      <c r="J1513" s="3486"/>
      <c r="K1513" s="3486"/>
      <c r="L1513" s="3486"/>
      <c r="M1513" s="3486"/>
      <c r="N1513" s="3486"/>
      <c r="O1513" s="3486"/>
      <c r="P1513" s="3486"/>
      <c r="Q1513" s="3486"/>
      <c r="R1513" s="3486"/>
      <c r="S1513" s="3486"/>
      <c r="T1513" s="3486"/>
      <c r="U1513" s="3486"/>
      <c r="V1513" s="3486"/>
      <c r="W1513" s="3486"/>
      <c r="X1513" s="3486"/>
      <c r="Y1513" s="3943"/>
    </row>
    <row r="1514" spans="1:25" s="3492" customFormat="1">
      <c r="A1514" s="3485"/>
      <c r="B1514" s="3486"/>
      <c r="C1514" s="3486"/>
      <c r="D1514" s="3486"/>
      <c r="E1514" s="3486"/>
      <c r="F1514" s="3486"/>
      <c r="G1514" s="3486"/>
      <c r="H1514" s="3486"/>
      <c r="I1514" s="3486"/>
      <c r="J1514" s="3486"/>
      <c r="K1514" s="3486"/>
      <c r="L1514" s="3486"/>
      <c r="M1514" s="3486"/>
      <c r="N1514" s="3486"/>
      <c r="O1514" s="3486"/>
      <c r="P1514" s="3486"/>
      <c r="Q1514" s="3486"/>
      <c r="R1514" s="3486"/>
      <c r="S1514" s="3486"/>
      <c r="T1514" s="3486"/>
      <c r="U1514" s="3486"/>
      <c r="V1514" s="3486"/>
      <c r="W1514" s="3486"/>
      <c r="X1514" s="3486"/>
      <c r="Y1514" s="3943"/>
    </row>
    <row r="1515" spans="1:25" s="3492" customFormat="1">
      <c r="A1515" s="3485"/>
      <c r="B1515" s="3486"/>
      <c r="C1515" s="3486"/>
      <c r="D1515" s="3486"/>
      <c r="E1515" s="3486"/>
      <c r="F1515" s="3486"/>
      <c r="G1515" s="3486"/>
      <c r="H1515" s="3486"/>
      <c r="I1515" s="3486"/>
      <c r="J1515" s="3486"/>
      <c r="K1515" s="3486"/>
      <c r="L1515" s="3486"/>
      <c r="M1515" s="3486"/>
      <c r="N1515" s="3486"/>
      <c r="O1515" s="3486"/>
      <c r="P1515" s="3486"/>
      <c r="Q1515" s="3486"/>
      <c r="R1515" s="3486"/>
      <c r="S1515" s="3486"/>
      <c r="T1515" s="3486"/>
      <c r="U1515" s="3486"/>
      <c r="V1515" s="3486"/>
      <c r="W1515" s="3486"/>
      <c r="X1515" s="3486"/>
      <c r="Y1515" s="3943"/>
    </row>
    <row r="1516" spans="1:25" s="3492" customFormat="1">
      <c r="A1516" s="3485"/>
      <c r="B1516" s="3486"/>
      <c r="C1516" s="3486"/>
      <c r="D1516" s="3486"/>
      <c r="E1516" s="3486"/>
      <c r="F1516" s="3486"/>
      <c r="G1516" s="3486"/>
      <c r="H1516" s="3486"/>
      <c r="I1516" s="3486"/>
      <c r="J1516" s="3486"/>
      <c r="K1516" s="3486"/>
      <c r="L1516" s="3486"/>
      <c r="M1516" s="3486"/>
      <c r="N1516" s="3486"/>
      <c r="O1516" s="3486"/>
      <c r="P1516" s="3486"/>
      <c r="Q1516" s="3486"/>
      <c r="R1516" s="3486"/>
      <c r="S1516" s="3486"/>
      <c r="T1516" s="3486"/>
      <c r="U1516" s="3486"/>
      <c r="V1516" s="3486"/>
      <c r="W1516" s="3486"/>
      <c r="X1516" s="3486"/>
      <c r="Y1516" s="3943"/>
    </row>
    <row r="1517" spans="1:25" s="3492" customFormat="1">
      <c r="A1517" s="3485"/>
      <c r="B1517" s="3486"/>
      <c r="C1517" s="3486"/>
      <c r="D1517" s="3486"/>
      <c r="E1517" s="3486"/>
      <c r="F1517" s="3486"/>
      <c r="G1517" s="3486"/>
      <c r="H1517" s="3486"/>
      <c r="I1517" s="3486"/>
      <c r="J1517" s="3486"/>
      <c r="K1517" s="3486"/>
      <c r="L1517" s="3486"/>
      <c r="M1517" s="3486"/>
      <c r="N1517" s="3486"/>
      <c r="O1517" s="3486"/>
      <c r="P1517" s="3486"/>
      <c r="Q1517" s="3486"/>
      <c r="R1517" s="3486"/>
      <c r="S1517" s="3486"/>
      <c r="T1517" s="3486"/>
      <c r="U1517" s="3486"/>
      <c r="V1517" s="3486"/>
      <c r="W1517" s="3486"/>
      <c r="X1517" s="3486"/>
      <c r="Y1517" s="3943"/>
    </row>
    <row r="1518" spans="1:25" s="3492" customFormat="1">
      <c r="A1518" s="3485"/>
      <c r="B1518" s="3486"/>
      <c r="C1518" s="3486"/>
      <c r="D1518" s="3486"/>
      <c r="E1518" s="3486"/>
      <c r="F1518" s="3486"/>
      <c r="G1518" s="3486"/>
      <c r="H1518" s="3486"/>
      <c r="I1518" s="3486"/>
      <c r="J1518" s="3486"/>
      <c r="K1518" s="3486"/>
      <c r="L1518" s="3486"/>
      <c r="M1518" s="3486"/>
      <c r="N1518" s="3486"/>
      <c r="O1518" s="3486"/>
      <c r="P1518" s="3486"/>
      <c r="Q1518" s="3486"/>
      <c r="R1518" s="3486"/>
      <c r="S1518" s="3486"/>
      <c r="T1518" s="3486"/>
      <c r="U1518" s="3486"/>
      <c r="V1518" s="3486"/>
      <c r="W1518" s="3486"/>
      <c r="X1518" s="3486"/>
      <c r="Y1518" s="3943"/>
    </row>
    <row r="1519" spans="1:25" s="3492" customFormat="1">
      <c r="A1519" s="3485"/>
      <c r="B1519" s="3486"/>
      <c r="C1519" s="3486"/>
      <c r="D1519" s="3486"/>
      <c r="E1519" s="3486"/>
      <c r="F1519" s="3486"/>
      <c r="G1519" s="3486"/>
      <c r="H1519" s="3486"/>
      <c r="I1519" s="3486"/>
      <c r="J1519" s="3486"/>
      <c r="K1519" s="3486"/>
      <c r="L1519" s="3486"/>
      <c r="M1519" s="3486"/>
      <c r="N1519" s="3486"/>
      <c r="O1519" s="3486"/>
      <c r="P1519" s="3486"/>
      <c r="Q1519" s="3486"/>
      <c r="R1519" s="3486"/>
      <c r="S1519" s="3486"/>
      <c r="T1519" s="3486"/>
      <c r="U1519" s="3486"/>
      <c r="V1519" s="3486"/>
      <c r="W1519" s="3486"/>
      <c r="X1519" s="3486"/>
      <c r="Y1519" s="3943"/>
    </row>
    <row r="1520" spans="1:25" s="3492" customFormat="1">
      <c r="A1520" s="3485"/>
      <c r="B1520" s="3486"/>
      <c r="C1520" s="3486"/>
      <c r="D1520" s="3486"/>
      <c r="E1520" s="3486"/>
      <c r="F1520" s="3486"/>
      <c r="G1520" s="3486"/>
      <c r="H1520" s="3486"/>
      <c r="I1520" s="3486"/>
      <c r="J1520" s="3486"/>
      <c r="K1520" s="3486"/>
      <c r="L1520" s="3486"/>
      <c r="M1520" s="3486"/>
      <c r="N1520" s="3486"/>
      <c r="O1520" s="3486"/>
      <c r="P1520" s="3486"/>
      <c r="Q1520" s="3486"/>
      <c r="R1520" s="3486"/>
      <c r="S1520" s="3486"/>
      <c r="T1520" s="3486"/>
      <c r="U1520" s="3486"/>
      <c r="V1520" s="3486"/>
      <c r="W1520" s="3486"/>
      <c r="X1520" s="3486"/>
      <c r="Y1520" s="3943"/>
    </row>
    <row r="1521" spans="1:25" s="3492" customFormat="1">
      <c r="A1521" s="3485"/>
      <c r="B1521" s="3486"/>
      <c r="C1521" s="3486"/>
      <c r="D1521" s="3486"/>
      <c r="E1521" s="3486"/>
      <c r="F1521" s="3486"/>
      <c r="G1521" s="3486"/>
      <c r="H1521" s="3486"/>
      <c r="I1521" s="3486"/>
      <c r="J1521" s="3486"/>
      <c r="K1521" s="3486"/>
      <c r="L1521" s="3486"/>
      <c r="M1521" s="3486"/>
      <c r="N1521" s="3486"/>
      <c r="O1521" s="3486"/>
      <c r="P1521" s="3486"/>
      <c r="Q1521" s="3486"/>
      <c r="R1521" s="3486"/>
      <c r="S1521" s="3486"/>
      <c r="T1521" s="3486"/>
      <c r="U1521" s="3486"/>
      <c r="V1521" s="3486"/>
      <c r="W1521" s="3486"/>
      <c r="X1521" s="3486"/>
      <c r="Y1521" s="3943"/>
    </row>
    <row r="1522" spans="1:25" s="3492" customFormat="1">
      <c r="A1522" s="3485"/>
      <c r="B1522" s="3486"/>
      <c r="C1522" s="3486"/>
      <c r="D1522" s="3486"/>
      <c r="E1522" s="3486"/>
      <c r="F1522" s="3486"/>
      <c r="G1522" s="3486"/>
      <c r="H1522" s="3486"/>
      <c r="I1522" s="3486"/>
      <c r="J1522" s="3486"/>
      <c r="K1522" s="3486"/>
      <c r="L1522" s="3486"/>
      <c r="M1522" s="3486"/>
      <c r="N1522" s="3486"/>
      <c r="O1522" s="3486"/>
      <c r="P1522" s="3486"/>
      <c r="Q1522" s="3486"/>
      <c r="R1522" s="3486"/>
      <c r="S1522" s="3486"/>
      <c r="T1522" s="3486"/>
      <c r="U1522" s="3486"/>
      <c r="V1522" s="3486"/>
      <c r="W1522" s="3486"/>
      <c r="X1522" s="3486"/>
      <c r="Y1522" s="3943"/>
    </row>
    <row r="1523" spans="1:25" s="3492" customFormat="1">
      <c r="A1523" s="3485"/>
      <c r="B1523" s="3486"/>
      <c r="C1523" s="3486"/>
      <c r="D1523" s="3486"/>
      <c r="E1523" s="3486"/>
      <c r="F1523" s="3486"/>
      <c r="G1523" s="3486"/>
      <c r="H1523" s="3486"/>
      <c r="I1523" s="3486"/>
      <c r="J1523" s="3486"/>
      <c r="K1523" s="3486"/>
      <c r="L1523" s="3486"/>
      <c r="M1523" s="3486"/>
      <c r="N1523" s="3486"/>
      <c r="O1523" s="3486"/>
      <c r="P1523" s="3486"/>
      <c r="Q1523" s="3486"/>
      <c r="R1523" s="3486"/>
      <c r="S1523" s="3486"/>
      <c r="T1523" s="3486"/>
      <c r="U1523" s="3486"/>
      <c r="V1523" s="3486"/>
      <c r="W1523" s="3486"/>
      <c r="X1523" s="3486"/>
      <c r="Y1523" s="3943"/>
    </row>
    <row r="1524" spans="1:25" s="3492" customFormat="1">
      <c r="A1524" s="3485"/>
      <c r="B1524" s="3486"/>
      <c r="C1524" s="3486"/>
      <c r="D1524" s="3486"/>
      <c r="E1524" s="3486"/>
      <c r="F1524" s="3486"/>
      <c r="G1524" s="3486"/>
      <c r="H1524" s="3486"/>
      <c r="I1524" s="3486"/>
      <c r="J1524" s="3486"/>
      <c r="K1524" s="3486"/>
      <c r="L1524" s="3486"/>
      <c r="M1524" s="3486"/>
      <c r="N1524" s="3486"/>
      <c r="O1524" s="3486"/>
      <c r="P1524" s="3486"/>
      <c r="Q1524" s="3486"/>
      <c r="R1524" s="3486"/>
      <c r="S1524" s="3486"/>
      <c r="T1524" s="3486"/>
      <c r="U1524" s="3486"/>
      <c r="V1524" s="3486"/>
      <c r="W1524" s="3486"/>
      <c r="X1524" s="3486"/>
      <c r="Y1524" s="3943"/>
    </row>
    <row r="1525" spans="1:25" s="3492" customFormat="1">
      <c r="A1525" s="3485"/>
      <c r="B1525" s="3486"/>
      <c r="C1525" s="3486"/>
      <c r="D1525" s="3486"/>
      <c r="E1525" s="3486"/>
      <c r="F1525" s="3486"/>
      <c r="G1525" s="3486"/>
      <c r="H1525" s="3486"/>
      <c r="I1525" s="3486"/>
      <c r="J1525" s="3486"/>
      <c r="K1525" s="3486"/>
      <c r="L1525" s="3486"/>
      <c r="M1525" s="3486"/>
      <c r="N1525" s="3486"/>
      <c r="O1525" s="3486"/>
      <c r="P1525" s="3486"/>
      <c r="Q1525" s="3486"/>
      <c r="R1525" s="3486"/>
      <c r="S1525" s="3486"/>
      <c r="T1525" s="3486"/>
      <c r="U1525" s="3486"/>
      <c r="V1525" s="3486"/>
      <c r="W1525" s="3486"/>
      <c r="X1525" s="3486"/>
      <c r="Y1525" s="3943"/>
    </row>
    <row r="1526" spans="1:25" s="3492" customFormat="1">
      <c r="A1526" s="3485"/>
      <c r="B1526" s="3486"/>
      <c r="C1526" s="3486"/>
      <c r="D1526" s="3486"/>
      <c r="E1526" s="3486"/>
      <c r="F1526" s="3486"/>
      <c r="G1526" s="3486"/>
      <c r="H1526" s="3486"/>
      <c r="I1526" s="3486"/>
      <c r="J1526" s="3486"/>
      <c r="K1526" s="3486"/>
      <c r="L1526" s="3486"/>
      <c r="M1526" s="3486"/>
      <c r="N1526" s="3486"/>
      <c r="O1526" s="3486"/>
      <c r="P1526" s="3486"/>
      <c r="Q1526" s="3486"/>
      <c r="R1526" s="3486"/>
      <c r="S1526" s="3486"/>
      <c r="T1526" s="3486"/>
      <c r="U1526" s="3486"/>
      <c r="V1526" s="3486"/>
      <c r="W1526" s="3486"/>
      <c r="X1526" s="3486"/>
      <c r="Y1526" s="3943"/>
    </row>
    <row r="1527" spans="1:25" s="3492" customFormat="1">
      <c r="A1527" s="3485"/>
      <c r="B1527" s="3486"/>
      <c r="C1527" s="3486"/>
      <c r="D1527" s="3486"/>
      <c r="E1527" s="3486"/>
      <c r="F1527" s="3486"/>
      <c r="G1527" s="3486"/>
      <c r="H1527" s="3486"/>
      <c r="I1527" s="3486"/>
      <c r="J1527" s="3486"/>
      <c r="K1527" s="3486"/>
      <c r="L1527" s="3486"/>
      <c r="M1527" s="3486"/>
      <c r="N1527" s="3486"/>
      <c r="O1527" s="3486"/>
      <c r="P1527" s="3486"/>
      <c r="Q1527" s="3486"/>
      <c r="R1527" s="3486"/>
      <c r="S1527" s="3486"/>
      <c r="T1527" s="3486"/>
      <c r="U1527" s="3486"/>
      <c r="V1527" s="3486"/>
      <c r="W1527" s="3486"/>
      <c r="X1527" s="3486"/>
      <c r="Y1527" s="3943"/>
    </row>
    <row r="1528" spans="1:25" s="3492" customFormat="1">
      <c r="A1528" s="3485"/>
      <c r="B1528" s="3486"/>
      <c r="C1528" s="3486"/>
      <c r="D1528" s="3486"/>
      <c r="E1528" s="3486"/>
      <c r="F1528" s="3486"/>
      <c r="G1528" s="3486"/>
      <c r="H1528" s="3486"/>
      <c r="I1528" s="3486"/>
      <c r="J1528" s="3486"/>
      <c r="K1528" s="3486"/>
      <c r="L1528" s="3486"/>
      <c r="M1528" s="3486"/>
      <c r="N1528" s="3486"/>
      <c r="O1528" s="3486"/>
      <c r="P1528" s="3486"/>
      <c r="Q1528" s="3486"/>
      <c r="R1528" s="3486"/>
      <c r="S1528" s="3486"/>
      <c r="T1528" s="3486"/>
      <c r="U1528" s="3486"/>
      <c r="V1528" s="3486"/>
      <c r="W1528" s="3486"/>
      <c r="X1528" s="3486"/>
      <c r="Y1528" s="3943"/>
    </row>
    <row r="1529" spans="1:25" s="3492" customFormat="1">
      <c r="A1529" s="3485"/>
      <c r="B1529" s="3486"/>
      <c r="C1529" s="3486"/>
      <c r="D1529" s="3486"/>
      <c r="E1529" s="3486"/>
      <c r="F1529" s="3486"/>
      <c r="G1529" s="3486"/>
      <c r="H1529" s="3486"/>
      <c r="I1529" s="3486"/>
      <c r="J1529" s="3486"/>
      <c r="K1529" s="3486"/>
      <c r="L1529" s="3486"/>
      <c r="M1529" s="3486"/>
      <c r="N1529" s="3486"/>
      <c r="O1529" s="3486"/>
      <c r="P1529" s="3486"/>
      <c r="Q1529" s="3486"/>
      <c r="R1529" s="3486"/>
      <c r="S1529" s="3486"/>
      <c r="T1529" s="3486"/>
      <c r="U1529" s="3486"/>
      <c r="V1529" s="3486"/>
      <c r="W1529" s="3486"/>
      <c r="X1529" s="3486"/>
      <c r="Y1529" s="3943"/>
    </row>
    <row r="1530" spans="1:25" s="3492" customFormat="1">
      <c r="A1530" s="3485"/>
      <c r="B1530" s="3486"/>
      <c r="C1530" s="3486"/>
      <c r="D1530" s="3486"/>
      <c r="E1530" s="3486"/>
      <c r="F1530" s="3486"/>
      <c r="G1530" s="3486"/>
      <c r="H1530" s="3486"/>
      <c r="I1530" s="3486"/>
      <c r="J1530" s="3486"/>
      <c r="K1530" s="3486"/>
      <c r="L1530" s="3486"/>
      <c r="M1530" s="3486"/>
      <c r="N1530" s="3486"/>
      <c r="O1530" s="3486"/>
      <c r="P1530" s="3486"/>
      <c r="Q1530" s="3486"/>
      <c r="R1530" s="3486"/>
      <c r="S1530" s="3486"/>
      <c r="T1530" s="3486"/>
      <c r="U1530" s="3486"/>
      <c r="V1530" s="3486"/>
      <c r="W1530" s="3486"/>
      <c r="X1530" s="3486"/>
      <c r="Y1530" s="3943"/>
    </row>
    <row r="1531" spans="1:25" s="3492" customFormat="1">
      <c r="A1531" s="3485"/>
      <c r="B1531" s="3486"/>
      <c r="C1531" s="3486"/>
      <c r="D1531" s="3486"/>
      <c r="E1531" s="3486"/>
      <c r="F1531" s="3486"/>
      <c r="G1531" s="3486"/>
      <c r="H1531" s="3486"/>
      <c r="I1531" s="3486"/>
      <c r="J1531" s="3486"/>
      <c r="K1531" s="3486"/>
      <c r="L1531" s="3486"/>
      <c r="M1531" s="3486"/>
      <c r="N1531" s="3486"/>
      <c r="O1531" s="3486"/>
      <c r="P1531" s="3486"/>
      <c r="Q1531" s="3486"/>
      <c r="R1531" s="3486"/>
      <c r="S1531" s="3486"/>
      <c r="T1531" s="3486"/>
      <c r="U1531" s="3486"/>
      <c r="V1531" s="3486"/>
      <c r="W1531" s="3486"/>
      <c r="X1531" s="3486"/>
      <c r="Y1531" s="3943"/>
    </row>
    <row r="1532" spans="1:25" s="3492" customFormat="1">
      <c r="A1532" s="3485"/>
      <c r="B1532" s="3486"/>
      <c r="C1532" s="3486"/>
      <c r="D1532" s="3486"/>
      <c r="E1532" s="3486"/>
      <c r="F1532" s="3486"/>
      <c r="G1532" s="3486"/>
      <c r="H1532" s="3486"/>
      <c r="I1532" s="3486"/>
      <c r="J1532" s="3486"/>
      <c r="K1532" s="3486"/>
      <c r="L1532" s="3486"/>
      <c r="M1532" s="3486"/>
      <c r="N1532" s="3486"/>
      <c r="O1532" s="3486"/>
      <c r="P1532" s="3486"/>
      <c r="Q1532" s="3486"/>
      <c r="R1532" s="3486"/>
      <c r="S1532" s="3486"/>
      <c r="T1532" s="3486"/>
      <c r="U1532" s="3486"/>
      <c r="V1532" s="3486"/>
      <c r="W1532" s="3486"/>
      <c r="X1532" s="3486"/>
      <c r="Y1532" s="3943"/>
    </row>
    <row r="1533" spans="1:25" s="3492" customFormat="1">
      <c r="A1533" s="3485"/>
      <c r="B1533" s="3486"/>
      <c r="C1533" s="3486"/>
      <c r="D1533" s="3486"/>
      <c r="E1533" s="3486"/>
      <c r="F1533" s="3486"/>
      <c r="G1533" s="3486"/>
      <c r="H1533" s="3486"/>
      <c r="I1533" s="3486"/>
      <c r="J1533" s="3486"/>
      <c r="K1533" s="3486"/>
      <c r="L1533" s="3486"/>
      <c r="M1533" s="3486"/>
      <c r="N1533" s="3486"/>
      <c r="O1533" s="3486"/>
      <c r="P1533" s="3486"/>
      <c r="Q1533" s="3486"/>
      <c r="R1533" s="3486"/>
      <c r="S1533" s="3486"/>
      <c r="T1533" s="3486"/>
      <c r="U1533" s="3486"/>
      <c r="V1533" s="3486"/>
      <c r="W1533" s="3486"/>
      <c r="X1533" s="3486"/>
      <c r="Y1533" s="3943"/>
    </row>
    <row r="1534" spans="1:25" s="3492" customFormat="1">
      <c r="A1534" s="3485"/>
      <c r="B1534" s="3486"/>
      <c r="C1534" s="3486"/>
      <c r="D1534" s="3486"/>
      <c r="E1534" s="3486"/>
      <c r="F1534" s="3486"/>
      <c r="G1534" s="3486"/>
      <c r="H1534" s="3486"/>
      <c r="I1534" s="3486"/>
      <c r="J1534" s="3486"/>
      <c r="K1534" s="3486"/>
      <c r="L1534" s="3486"/>
      <c r="M1534" s="3486"/>
      <c r="N1534" s="3486"/>
      <c r="O1534" s="3486"/>
      <c r="P1534" s="3486"/>
      <c r="Q1534" s="3486"/>
      <c r="R1534" s="3486"/>
      <c r="S1534" s="3486"/>
      <c r="T1534" s="3486"/>
      <c r="U1534" s="3486"/>
      <c r="V1534" s="3486"/>
      <c r="W1534" s="3486"/>
      <c r="X1534" s="3486"/>
      <c r="Y1534" s="3943"/>
    </row>
    <row r="1535" spans="1:25" s="3492" customFormat="1">
      <c r="A1535" s="3485"/>
      <c r="B1535" s="3486"/>
      <c r="C1535" s="3486"/>
      <c r="D1535" s="3486"/>
      <c r="E1535" s="3486"/>
      <c r="F1535" s="3486"/>
      <c r="G1535" s="3486"/>
      <c r="H1535" s="3486"/>
      <c r="I1535" s="3486"/>
      <c r="J1535" s="3486"/>
      <c r="K1535" s="3486"/>
      <c r="L1535" s="3486"/>
      <c r="M1535" s="3486"/>
      <c r="N1535" s="3486"/>
      <c r="O1535" s="3486"/>
      <c r="P1535" s="3486"/>
      <c r="Q1535" s="3486"/>
      <c r="R1535" s="3486"/>
      <c r="S1535" s="3486"/>
      <c r="T1535" s="3486"/>
      <c r="U1535" s="3486"/>
      <c r="V1535" s="3486"/>
      <c r="W1535" s="3486"/>
      <c r="X1535" s="3486"/>
      <c r="Y1535" s="3943"/>
    </row>
    <row r="1536" spans="1:25" s="3492" customFormat="1">
      <c r="A1536" s="3485"/>
      <c r="B1536" s="3486"/>
      <c r="C1536" s="3486"/>
      <c r="D1536" s="3486"/>
      <c r="E1536" s="3486"/>
      <c r="F1536" s="3486"/>
      <c r="G1536" s="3486"/>
      <c r="H1536" s="3486"/>
      <c r="I1536" s="3486"/>
      <c r="J1536" s="3486"/>
      <c r="K1536" s="3486"/>
      <c r="L1536" s="3486"/>
      <c r="M1536" s="3486"/>
      <c r="N1536" s="3486"/>
      <c r="O1536" s="3486"/>
      <c r="P1536" s="3486"/>
      <c r="Q1536" s="3486"/>
      <c r="R1536" s="3486"/>
      <c r="S1536" s="3486"/>
      <c r="T1536" s="3486"/>
      <c r="U1536" s="3486"/>
      <c r="V1536" s="3486"/>
      <c r="W1536" s="3486"/>
      <c r="X1536" s="3486"/>
      <c r="Y1536" s="3943"/>
    </row>
    <row r="1537" spans="1:25" s="3492" customFormat="1">
      <c r="A1537" s="3485"/>
      <c r="B1537" s="3486"/>
      <c r="C1537" s="3486"/>
      <c r="D1537" s="3486"/>
      <c r="E1537" s="3486"/>
      <c r="F1537" s="3486"/>
      <c r="G1537" s="3486"/>
      <c r="H1537" s="3486"/>
      <c r="I1537" s="3486"/>
      <c r="J1537" s="3486"/>
      <c r="K1537" s="3486"/>
      <c r="L1537" s="3486"/>
      <c r="M1537" s="3486"/>
      <c r="N1537" s="3486"/>
      <c r="O1537" s="3486"/>
      <c r="P1537" s="3486"/>
      <c r="Q1537" s="3486"/>
      <c r="R1537" s="3486"/>
      <c r="S1537" s="3486"/>
      <c r="T1537" s="3486"/>
      <c r="U1537" s="3486"/>
      <c r="V1537" s="3486"/>
      <c r="W1537" s="3486"/>
      <c r="X1537" s="3486"/>
      <c r="Y1537" s="3943"/>
    </row>
    <row r="1538" spans="1:25" s="3492" customFormat="1">
      <c r="A1538" s="3485"/>
      <c r="B1538" s="3486"/>
      <c r="C1538" s="3486"/>
      <c r="D1538" s="3486"/>
      <c r="E1538" s="3486"/>
      <c r="F1538" s="3486"/>
      <c r="G1538" s="3486"/>
      <c r="H1538" s="3486"/>
      <c r="I1538" s="3486"/>
      <c r="J1538" s="3486"/>
      <c r="K1538" s="3486"/>
      <c r="L1538" s="3486"/>
      <c r="M1538" s="3486"/>
      <c r="N1538" s="3486"/>
      <c r="O1538" s="3486"/>
      <c r="P1538" s="3486"/>
      <c r="Q1538" s="3486"/>
      <c r="R1538" s="3486"/>
      <c r="S1538" s="3486"/>
      <c r="T1538" s="3486"/>
      <c r="U1538" s="3486"/>
      <c r="V1538" s="3486"/>
      <c r="W1538" s="3486"/>
      <c r="X1538" s="3486"/>
      <c r="Y1538" s="3943"/>
    </row>
    <row r="1539" spans="1:25" s="3492" customFormat="1">
      <c r="A1539" s="3485"/>
      <c r="B1539" s="3486"/>
      <c r="C1539" s="3486"/>
      <c r="D1539" s="3486"/>
      <c r="E1539" s="3486"/>
      <c r="F1539" s="3486"/>
      <c r="G1539" s="3486"/>
      <c r="H1539" s="3486"/>
      <c r="I1539" s="3486"/>
      <c r="J1539" s="3486"/>
      <c r="K1539" s="3486"/>
      <c r="L1539" s="3486"/>
      <c r="M1539" s="3486"/>
      <c r="N1539" s="3486"/>
      <c r="O1539" s="3486"/>
      <c r="P1539" s="3486"/>
      <c r="Q1539" s="3486"/>
      <c r="R1539" s="3486"/>
      <c r="S1539" s="3486"/>
      <c r="T1539" s="3486"/>
      <c r="U1539" s="3486"/>
      <c r="V1539" s="3486"/>
      <c r="W1539" s="3486"/>
      <c r="X1539" s="3486"/>
      <c r="Y1539" s="3943"/>
    </row>
    <row r="1540" spans="1:25" s="3492" customFormat="1">
      <c r="A1540" s="3485"/>
      <c r="B1540" s="3486"/>
      <c r="C1540" s="3486"/>
      <c r="D1540" s="3486"/>
      <c r="E1540" s="3486"/>
      <c r="F1540" s="3486"/>
      <c r="G1540" s="3486"/>
      <c r="H1540" s="3486"/>
      <c r="I1540" s="3486"/>
      <c r="J1540" s="3486"/>
      <c r="K1540" s="3486"/>
      <c r="L1540" s="3486"/>
      <c r="M1540" s="3486"/>
      <c r="N1540" s="3486"/>
      <c r="O1540" s="3486"/>
      <c r="P1540" s="3486"/>
      <c r="Q1540" s="3486"/>
      <c r="R1540" s="3486"/>
      <c r="S1540" s="3486"/>
      <c r="T1540" s="3486"/>
      <c r="U1540" s="3486"/>
      <c r="V1540" s="3486"/>
      <c r="W1540" s="3486"/>
      <c r="X1540" s="3486"/>
      <c r="Y1540" s="3943"/>
    </row>
    <row r="1541" spans="1:25" s="3492" customFormat="1">
      <c r="A1541" s="3485"/>
      <c r="B1541" s="3486"/>
      <c r="C1541" s="3486"/>
      <c r="D1541" s="3486"/>
      <c r="E1541" s="3486"/>
      <c r="F1541" s="3486"/>
      <c r="G1541" s="3486"/>
      <c r="H1541" s="3486"/>
      <c r="I1541" s="3486"/>
      <c r="J1541" s="3486"/>
      <c r="K1541" s="3486"/>
      <c r="L1541" s="3486"/>
      <c r="M1541" s="3486"/>
      <c r="N1541" s="3486"/>
      <c r="O1541" s="3486"/>
      <c r="P1541" s="3486"/>
      <c r="Q1541" s="3486"/>
      <c r="R1541" s="3486"/>
      <c r="S1541" s="3486"/>
      <c r="T1541" s="3486"/>
      <c r="U1541" s="3486"/>
      <c r="V1541" s="3486"/>
      <c r="W1541" s="3486"/>
      <c r="X1541" s="3486"/>
      <c r="Y1541" s="3943"/>
    </row>
    <row r="1542" spans="1:25" s="3492" customFormat="1">
      <c r="A1542" s="3485"/>
      <c r="B1542" s="3486"/>
      <c r="C1542" s="3486"/>
      <c r="D1542" s="3486"/>
      <c r="E1542" s="3486"/>
      <c r="F1542" s="3486"/>
      <c r="G1542" s="3486"/>
      <c r="H1542" s="3486"/>
      <c r="I1542" s="3486"/>
      <c r="J1542" s="3486"/>
      <c r="K1542" s="3486"/>
      <c r="L1542" s="3486"/>
      <c r="M1542" s="3486"/>
      <c r="N1542" s="3486"/>
      <c r="O1542" s="3486"/>
      <c r="P1542" s="3486"/>
      <c r="Q1542" s="3486"/>
      <c r="R1542" s="3486"/>
      <c r="S1542" s="3486"/>
      <c r="T1542" s="3486"/>
      <c r="U1542" s="3486"/>
      <c r="V1542" s="3486"/>
      <c r="W1542" s="3486"/>
      <c r="X1542" s="3486"/>
      <c r="Y1542" s="3943"/>
    </row>
    <row r="1543" spans="1:25" s="3492" customFormat="1">
      <c r="A1543" s="3485"/>
      <c r="B1543" s="3486"/>
      <c r="C1543" s="3486"/>
      <c r="D1543" s="3486"/>
      <c r="E1543" s="3486"/>
      <c r="F1543" s="3486"/>
      <c r="G1543" s="3486"/>
      <c r="H1543" s="3486"/>
      <c r="I1543" s="3486"/>
      <c r="J1543" s="3486"/>
      <c r="K1543" s="3486"/>
      <c r="L1543" s="3486"/>
      <c r="M1543" s="3486"/>
      <c r="N1543" s="3486"/>
      <c r="O1543" s="3486"/>
      <c r="P1543" s="3486"/>
      <c r="Q1543" s="3486"/>
      <c r="R1543" s="3486"/>
      <c r="S1543" s="3486"/>
      <c r="T1543" s="3486"/>
      <c r="U1543" s="3486"/>
      <c r="V1543" s="3486"/>
      <c r="W1543" s="3486"/>
      <c r="X1543" s="3486"/>
      <c r="Y1543" s="3943"/>
    </row>
    <row r="1544" spans="1:25" s="3492" customFormat="1">
      <c r="A1544" s="3485"/>
      <c r="B1544" s="3486"/>
      <c r="C1544" s="3486"/>
      <c r="D1544" s="3486"/>
      <c r="E1544" s="3486"/>
      <c r="F1544" s="3486"/>
      <c r="G1544" s="3486"/>
      <c r="H1544" s="3486"/>
      <c r="I1544" s="3486"/>
      <c r="J1544" s="3486"/>
      <c r="K1544" s="3486"/>
      <c r="L1544" s="3486"/>
      <c r="M1544" s="3486"/>
      <c r="N1544" s="3486"/>
      <c r="O1544" s="3486"/>
      <c r="P1544" s="3486"/>
      <c r="Q1544" s="3486"/>
      <c r="R1544" s="3486"/>
      <c r="S1544" s="3486"/>
      <c r="T1544" s="3486"/>
      <c r="U1544" s="3486"/>
      <c r="V1544" s="3486"/>
      <c r="W1544" s="3486"/>
      <c r="X1544" s="3486"/>
      <c r="Y1544" s="3943"/>
    </row>
    <row r="1545" spans="1:25" s="3492" customFormat="1">
      <c r="A1545" s="3485"/>
      <c r="B1545" s="3486"/>
      <c r="C1545" s="3486"/>
      <c r="D1545" s="3486"/>
      <c r="E1545" s="3486"/>
      <c r="F1545" s="3486"/>
      <c r="G1545" s="3486"/>
      <c r="H1545" s="3486"/>
      <c r="I1545" s="3486"/>
      <c r="J1545" s="3486"/>
      <c r="K1545" s="3486"/>
      <c r="L1545" s="3486"/>
      <c r="M1545" s="3486"/>
      <c r="N1545" s="3486"/>
      <c r="O1545" s="3486"/>
      <c r="P1545" s="3486"/>
      <c r="Q1545" s="3486"/>
      <c r="R1545" s="3486"/>
      <c r="S1545" s="3486"/>
      <c r="T1545" s="3486"/>
      <c r="U1545" s="3486"/>
      <c r="V1545" s="3486"/>
      <c r="W1545" s="3486"/>
      <c r="X1545" s="3486"/>
      <c r="Y1545" s="3943"/>
    </row>
    <row r="1546" spans="1:25" s="3492" customFormat="1">
      <c r="A1546" s="3485"/>
      <c r="B1546" s="3486"/>
      <c r="C1546" s="3486"/>
      <c r="D1546" s="3486"/>
      <c r="E1546" s="3486"/>
      <c r="F1546" s="3486"/>
      <c r="G1546" s="3486"/>
      <c r="H1546" s="3486"/>
      <c r="I1546" s="3486"/>
      <c r="J1546" s="3486"/>
      <c r="K1546" s="3486"/>
      <c r="L1546" s="3486"/>
      <c r="M1546" s="3486"/>
      <c r="N1546" s="3486"/>
      <c r="O1546" s="3486"/>
      <c r="P1546" s="3486"/>
      <c r="Q1546" s="3486"/>
      <c r="R1546" s="3486"/>
      <c r="S1546" s="3486"/>
      <c r="T1546" s="3486"/>
      <c r="U1546" s="3486"/>
      <c r="V1546" s="3486"/>
      <c r="W1546" s="3486"/>
      <c r="X1546" s="3486"/>
      <c r="Y1546" s="3943"/>
    </row>
    <row r="1547" spans="1:25" s="3492" customFormat="1">
      <c r="A1547" s="3485"/>
      <c r="B1547" s="3486"/>
      <c r="C1547" s="3486"/>
      <c r="D1547" s="3486"/>
      <c r="E1547" s="3486"/>
      <c r="F1547" s="3486"/>
      <c r="G1547" s="3486"/>
      <c r="H1547" s="3486"/>
      <c r="I1547" s="3486"/>
      <c r="J1547" s="3486"/>
      <c r="K1547" s="3486"/>
      <c r="L1547" s="3486"/>
      <c r="M1547" s="3486"/>
      <c r="N1547" s="3486"/>
      <c r="O1547" s="3486"/>
      <c r="P1547" s="3486"/>
      <c r="Q1547" s="3486"/>
      <c r="R1547" s="3486"/>
      <c r="S1547" s="3486"/>
      <c r="T1547" s="3486"/>
      <c r="U1547" s="3486"/>
      <c r="V1547" s="3486"/>
      <c r="W1547" s="3486"/>
      <c r="X1547" s="3486"/>
      <c r="Y1547" s="3943"/>
    </row>
    <row r="1548" spans="1:25" s="3492" customFormat="1">
      <c r="A1548" s="3485"/>
      <c r="B1548" s="3486"/>
      <c r="C1548" s="3486"/>
      <c r="D1548" s="3486"/>
      <c r="E1548" s="3486"/>
      <c r="F1548" s="3486"/>
      <c r="G1548" s="3486"/>
      <c r="H1548" s="3486"/>
      <c r="I1548" s="3486"/>
      <c r="J1548" s="3486"/>
      <c r="K1548" s="3486"/>
      <c r="L1548" s="3486"/>
      <c r="M1548" s="3486"/>
      <c r="N1548" s="3486"/>
      <c r="O1548" s="3486"/>
      <c r="P1548" s="3486"/>
      <c r="Q1548" s="3486"/>
      <c r="R1548" s="3486"/>
      <c r="S1548" s="3486"/>
      <c r="T1548" s="3486"/>
      <c r="U1548" s="3486"/>
      <c r="V1548" s="3486"/>
      <c r="W1548" s="3486"/>
      <c r="X1548" s="3486"/>
      <c r="Y1548" s="3943"/>
    </row>
    <row r="1549" spans="1:25" s="3492" customFormat="1">
      <c r="A1549" s="3485"/>
      <c r="B1549" s="3486"/>
      <c r="C1549" s="3486"/>
      <c r="D1549" s="3486"/>
      <c r="E1549" s="3486"/>
      <c r="F1549" s="3486"/>
      <c r="G1549" s="3486"/>
      <c r="H1549" s="3486"/>
      <c r="I1549" s="3486"/>
      <c r="J1549" s="3486"/>
      <c r="K1549" s="3486"/>
      <c r="L1549" s="3486"/>
      <c r="M1549" s="3486"/>
      <c r="N1549" s="3486"/>
      <c r="O1549" s="3486"/>
      <c r="P1549" s="3486"/>
      <c r="Q1549" s="3486"/>
      <c r="R1549" s="3486"/>
      <c r="S1549" s="3486"/>
      <c r="T1549" s="3486"/>
      <c r="U1549" s="3486"/>
      <c r="V1549" s="3486"/>
      <c r="W1549" s="3486"/>
      <c r="X1549" s="3486"/>
      <c r="Y1549" s="3943"/>
    </row>
    <row r="1550" spans="1:25" s="3492" customFormat="1">
      <c r="A1550" s="3485"/>
      <c r="B1550" s="3486"/>
      <c r="C1550" s="3486"/>
      <c r="D1550" s="3486"/>
      <c r="E1550" s="3486"/>
      <c r="F1550" s="3486"/>
      <c r="G1550" s="3486"/>
      <c r="H1550" s="3486"/>
      <c r="I1550" s="3486"/>
      <c r="J1550" s="3486"/>
      <c r="K1550" s="3486"/>
      <c r="L1550" s="3486"/>
      <c r="M1550" s="3486"/>
      <c r="N1550" s="3486"/>
      <c r="O1550" s="3486"/>
      <c r="P1550" s="3486"/>
      <c r="Q1550" s="3486"/>
      <c r="R1550" s="3486"/>
      <c r="S1550" s="3486"/>
      <c r="T1550" s="3486"/>
      <c r="U1550" s="3486"/>
      <c r="V1550" s="3486"/>
      <c r="W1550" s="3486"/>
      <c r="X1550" s="3486"/>
      <c r="Y1550" s="3943"/>
    </row>
    <row r="1551" spans="1:25" s="3492" customFormat="1">
      <c r="A1551" s="3485"/>
      <c r="B1551" s="3486"/>
      <c r="C1551" s="3486"/>
      <c r="D1551" s="3486"/>
      <c r="E1551" s="3486"/>
      <c r="F1551" s="3486"/>
      <c r="G1551" s="3486"/>
      <c r="H1551" s="3486"/>
      <c r="I1551" s="3486"/>
      <c r="J1551" s="3486"/>
      <c r="K1551" s="3486"/>
      <c r="L1551" s="3486"/>
      <c r="M1551" s="3486"/>
      <c r="N1551" s="3486"/>
      <c r="O1551" s="3486"/>
      <c r="P1551" s="3486"/>
      <c r="Q1551" s="3486"/>
      <c r="R1551" s="3486"/>
      <c r="S1551" s="3486"/>
      <c r="T1551" s="3486"/>
      <c r="U1551" s="3486"/>
      <c r="V1551" s="3486"/>
      <c r="W1551" s="3486"/>
      <c r="X1551" s="3486"/>
      <c r="Y1551" s="3943"/>
    </row>
    <row r="1552" spans="1:25" s="3492" customFormat="1">
      <c r="A1552" s="3485"/>
      <c r="B1552" s="3486"/>
      <c r="C1552" s="3486"/>
      <c r="D1552" s="3486"/>
      <c r="E1552" s="3486"/>
      <c r="F1552" s="3486"/>
      <c r="G1552" s="3486"/>
      <c r="H1552" s="3486"/>
      <c r="I1552" s="3486"/>
      <c r="J1552" s="3486"/>
      <c r="K1552" s="3486"/>
      <c r="L1552" s="3486"/>
      <c r="M1552" s="3486"/>
      <c r="N1552" s="3486"/>
      <c r="O1552" s="3486"/>
      <c r="P1552" s="3486"/>
      <c r="Q1552" s="3486"/>
      <c r="R1552" s="3486"/>
      <c r="S1552" s="3486"/>
      <c r="T1552" s="3486"/>
      <c r="U1552" s="3486"/>
      <c r="V1552" s="3486"/>
      <c r="W1552" s="3486"/>
      <c r="X1552" s="3486"/>
      <c r="Y1552" s="3943"/>
    </row>
    <row r="1553" spans="1:25" s="3492" customFormat="1">
      <c r="A1553" s="3485"/>
      <c r="B1553" s="3486"/>
      <c r="C1553" s="3486"/>
      <c r="D1553" s="3486"/>
      <c r="E1553" s="3486"/>
      <c r="F1553" s="3486"/>
      <c r="G1553" s="3486"/>
      <c r="H1553" s="3486"/>
      <c r="I1553" s="3486"/>
      <c r="J1553" s="3486"/>
      <c r="K1553" s="3486"/>
      <c r="L1553" s="3486"/>
      <c r="M1553" s="3486"/>
      <c r="N1553" s="3486"/>
      <c r="O1553" s="3486"/>
      <c r="P1553" s="3486"/>
      <c r="Q1553" s="3486"/>
      <c r="R1553" s="3486"/>
      <c r="S1553" s="3486"/>
      <c r="T1553" s="3486"/>
      <c r="U1553" s="3486"/>
      <c r="V1553" s="3486"/>
      <c r="W1553" s="3486"/>
      <c r="X1553" s="3486"/>
      <c r="Y1553" s="3943"/>
    </row>
    <row r="1554" spans="1:25" s="3492" customFormat="1">
      <c r="A1554" s="3485"/>
      <c r="B1554" s="3486"/>
      <c r="C1554" s="3486"/>
      <c r="D1554" s="3486"/>
      <c r="E1554" s="3486"/>
      <c r="F1554" s="3486"/>
      <c r="G1554" s="3486"/>
      <c r="H1554" s="3486"/>
      <c r="I1554" s="3486"/>
      <c r="J1554" s="3486"/>
      <c r="K1554" s="3486"/>
      <c r="L1554" s="3486"/>
      <c r="M1554" s="3486"/>
      <c r="N1554" s="3486"/>
      <c r="O1554" s="3486"/>
      <c r="P1554" s="3486"/>
      <c r="Q1554" s="3486"/>
      <c r="R1554" s="3486"/>
      <c r="S1554" s="3486"/>
      <c r="T1554" s="3486"/>
      <c r="U1554" s="3486"/>
      <c r="V1554" s="3486"/>
      <c r="W1554" s="3486"/>
      <c r="X1554" s="3486"/>
      <c r="Y1554" s="3943"/>
    </row>
    <row r="1555" spans="1:25" s="3492" customFormat="1">
      <c r="A1555" s="3485"/>
      <c r="B1555" s="3486"/>
      <c r="C1555" s="3486"/>
      <c r="D1555" s="3486"/>
      <c r="E1555" s="3486"/>
      <c r="F1555" s="3486"/>
      <c r="G1555" s="3486"/>
      <c r="H1555" s="3486"/>
      <c r="I1555" s="3486"/>
      <c r="J1555" s="3486"/>
      <c r="K1555" s="3486"/>
      <c r="L1555" s="3486"/>
      <c r="M1555" s="3486"/>
      <c r="N1555" s="3486"/>
      <c r="O1555" s="3486"/>
      <c r="P1555" s="3486"/>
      <c r="Q1555" s="3486"/>
      <c r="R1555" s="3486"/>
      <c r="S1555" s="3486"/>
      <c r="T1555" s="3486"/>
      <c r="U1555" s="3486"/>
      <c r="V1555" s="3486"/>
      <c r="W1555" s="3486"/>
      <c r="X1555" s="3486"/>
      <c r="Y1555" s="3943"/>
    </row>
    <row r="1556" spans="1:25" s="3492" customFormat="1">
      <c r="A1556" s="3485"/>
      <c r="B1556" s="3486"/>
      <c r="C1556" s="3486"/>
      <c r="D1556" s="3486"/>
      <c r="E1556" s="3486"/>
      <c r="F1556" s="3486"/>
      <c r="G1556" s="3486"/>
      <c r="H1556" s="3486"/>
      <c r="I1556" s="3486"/>
      <c r="J1556" s="3486"/>
      <c r="K1556" s="3486"/>
      <c r="L1556" s="3486"/>
      <c r="M1556" s="3486"/>
      <c r="N1556" s="3486"/>
      <c r="O1556" s="3486"/>
      <c r="P1556" s="3486"/>
      <c r="Q1556" s="3486"/>
      <c r="R1556" s="3486"/>
      <c r="S1556" s="3486"/>
      <c r="T1556" s="3486"/>
      <c r="U1556" s="3486"/>
      <c r="V1556" s="3486"/>
      <c r="W1556" s="3486"/>
      <c r="X1556" s="3486"/>
      <c r="Y1556" s="3943"/>
    </row>
    <row r="1557" spans="1:25" s="3492" customFormat="1">
      <c r="A1557" s="3485"/>
      <c r="B1557" s="3486"/>
      <c r="C1557" s="3486"/>
      <c r="D1557" s="3486"/>
      <c r="E1557" s="3486"/>
      <c r="F1557" s="3486"/>
      <c r="G1557" s="3486"/>
      <c r="H1557" s="3486"/>
      <c r="I1557" s="3486"/>
      <c r="J1557" s="3486"/>
      <c r="K1557" s="3486"/>
      <c r="L1557" s="3486"/>
      <c r="M1557" s="3486"/>
      <c r="N1557" s="3486"/>
      <c r="O1557" s="3486"/>
      <c r="P1557" s="3486"/>
      <c r="Q1557" s="3486"/>
      <c r="R1557" s="3486"/>
      <c r="S1557" s="3486"/>
      <c r="T1557" s="3486"/>
      <c r="U1557" s="3486"/>
      <c r="V1557" s="3486"/>
      <c r="W1557" s="3486"/>
      <c r="X1557" s="3486"/>
      <c r="Y1557" s="3943"/>
    </row>
    <row r="1558" spans="1:25" s="3492" customFormat="1">
      <c r="A1558" s="3485"/>
      <c r="B1558" s="3486"/>
      <c r="C1558" s="3486"/>
      <c r="D1558" s="3486"/>
      <c r="E1558" s="3486"/>
      <c r="F1558" s="3486"/>
      <c r="G1558" s="3486"/>
      <c r="H1558" s="3486"/>
      <c r="I1558" s="3486"/>
      <c r="J1558" s="3486"/>
      <c r="K1558" s="3486"/>
      <c r="L1558" s="3486"/>
      <c r="M1558" s="3486"/>
      <c r="N1558" s="3486"/>
      <c r="O1558" s="3486"/>
      <c r="P1558" s="3486"/>
      <c r="Q1558" s="3486"/>
      <c r="R1558" s="3486"/>
      <c r="S1558" s="3486"/>
      <c r="T1558" s="3486"/>
      <c r="U1558" s="3486"/>
      <c r="V1558" s="3486"/>
      <c r="W1558" s="3486"/>
      <c r="X1558" s="3486"/>
      <c r="Y1558" s="3943"/>
    </row>
    <row r="1559" spans="1:25" s="3492" customFormat="1">
      <c r="A1559" s="3485"/>
      <c r="B1559" s="3486"/>
      <c r="C1559" s="3486"/>
      <c r="D1559" s="3486"/>
      <c r="E1559" s="3486"/>
      <c r="F1559" s="3486"/>
      <c r="G1559" s="3486"/>
      <c r="H1559" s="3486"/>
      <c r="I1559" s="3486"/>
      <c r="J1559" s="3486"/>
      <c r="K1559" s="3486"/>
      <c r="L1559" s="3486"/>
      <c r="M1559" s="3486"/>
      <c r="N1559" s="3486"/>
      <c r="O1559" s="3486"/>
      <c r="P1559" s="3486"/>
      <c r="Q1559" s="3486"/>
      <c r="R1559" s="3486"/>
      <c r="S1559" s="3486"/>
      <c r="T1559" s="3486"/>
      <c r="U1559" s="3486"/>
      <c r="V1559" s="3486"/>
      <c r="W1559" s="3486"/>
      <c r="X1559" s="3486"/>
      <c r="Y1559" s="3943"/>
    </row>
    <row r="1560" spans="1:25" s="3492" customFormat="1">
      <c r="A1560" s="3485"/>
      <c r="B1560" s="3486"/>
      <c r="C1560" s="3486"/>
      <c r="D1560" s="3486"/>
      <c r="E1560" s="3486"/>
      <c r="F1560" s="3486"/>
      <c r="G1560" s="3486"/>
      <c r="H1560" s="3486"/>
      <c r="I1560" s="3486"/>
      <c r="J1560" s="3486"/>
      <c r="K1560" s="3486"/>
      <c r="L1560" s="3486"/>
      <c r="M1560" s="3486"/>
      <c r="N1560" s="3486"/>
      <c r="O1560" s="3486"/>
      <c r="P1560" s="3486"/>
      <c r="Q1560" s="3486"/>
      <c r="R1560" s="3486"/>
      <c r="S1560" s="3486"/>
      <c r="T1560" s="3486"/>
      <c r="U1560" s="3486"/>
      <c r="V1560" s="3486"/>
      <c r="W1560" s="3486"/>
      <c r="X1560" s="3486"/>
      <c r="Y1560" s="3943"/>
    </row>
    <row r="1561" spans="1:25" s="3492" customFormat="1">
      <c r="A1561" s="3485"/>
      <c r="B1561" s="3486"/>
      <c r="C1561" s="3486"/>
      <c r="D1561" s="3486"/>
      <c r="E1561" s="3486"/>
      <c r="F1561" s="3486"/>
      <c r="G1561" s="3486"/>
      <c r="H1561" s="3486"/>
      <c r="I1561" s="3486"/>
      <c r="J1561" s="3486"/>
      <c r="K1561" s="3486"/>
      <c r="L1561" s="3486"/>
      <c r="M1561" s="3486"/>
      <c r="N1561" s="3486"/>
      <c r="O1561" s="3486"/>
      <c r="P1561" s="3486"/>
      <c r="Q1561" s="3486"/>
      <c r="R1561" s="3486"/>
      <c r="S1561" s="3486"/>
      <c r="T1561" s="3486"/>
      <c r="U1561" s="3486"/>
      <c r="V1561" s="3486"/>
      <c r="W1561" s="3486"/>
      <c r="X1561" s="3486"/>
      <c r="Y1561" s="3943"/>
    </row>
    <row r="1562" spans="1:25" s="3492" customFormat="1">
      <c r="A1562" s="3485"/>
      <c r="B1562" s="3486"/>
      <c r="C1562" s="3486"/>
      <c r="D1562" s="3486"/>
      <c r="E1562" s="3486"/>
      <c r="F1562" s="3486"/>
      <c r="G1562" s="3486"/>
      <c r="H1562" s="3486"/>
      <c r="I1562" s="3486"/>
      <c r="J1562" s="3486"/>
      <c r="K1562" s="3486"/>
      <c r="L1562" s="3486"/>
      <c r="M1562" s="3486"/>
      <c r="N1562" s="3486"/>
      <c r="O1562" s="3486"/>
      <c r="P1562" s="3486"/>
      <c r="Q1562" s="3486"/>
      <c r="R1562" s="3486"/>
      <c r="S1562" s="3486"/>
      <c r="T1562" s="3486"/>
      <c r="U1562" s="3486"/>
      <c r="V1562" s="3486"/>
      <c r="W1562" s="3486"/>
      <c r="X1562" s="3486"/>
      <c r="Y1562" s="3943"/>
    </row>
    <row r="1563" spans="1:25" s="3492" customFormat="1">
      <c r="A1563" s="3485"/>
      <c r="B1563" s="3486"/>
      <c r="C1563" s="3486"/>
      <c r="D1563" s="3486"/>
      <c r="E1563" s="3486"/>
      <c r="F1563" s="3486"/>
      <c r="G1563" s="3486"/>
      <c r="H1563" s="3486"/>
      <c r="I1563" s="3486"/>
      <c r="J1563" s="3486"/>
      <c r="K1563" s="3486"/>
      <c r="L1563" s="3486"/>
      <c r="M1563" s="3486"/>
      <c r="N1563" s="3486"/>
      <c r="O1563" s="3486"/>
      <c r="P1563" s="3486"/>
      <c r="Q1563" s="3486"/>
      <c r="R1563" s="3486"/>
      <c r="S1563" s="3486"/>
      <c r="T1563" s="3486"/>
      <c r="U1563" s="3486"/>
      <c r="V1563" s="3486"/>
      <c r="W1563" s="3486"/>
      <c r="X1563" s="3486"/>
      <c r="Y1563" s="3943"/>
    </row>
    <row r="1564" spans="1:25" s="3492" customFormat="1">
      <c r="A1564" s="3485"/>
      <c r="B1564" s="3486"/>
      <c r="C1564" s="3486"/>
      <c r="D1564" s="3486"/>
      <c r="E1564" s="3486"/>
      <c r="F1564" s="3486"/>
      <c r="G1564" s="3486"/>
      <c r="H1564" s="3486"/>
      <c r="I1564" s="3486"/>
      <c r="J1564" s="3486"/>
      <c r="K1564" s="3486"/>
      <c r="L1564" s="3486"/>
      <c r="M1564" s="3486"/>
      <c r="N1564" s="3486"/>
      <c r="O1564" s="3486"/>
      <c r="P1564" s="3486"/>
      <c r="Q1564" s="3486"/>
      <c r="R1564" s="3486"/>
      <c r="S1564" s="3486"/>
      <c r="T1564" s="3486"/>
      <c r="U1564" s="3486"/>
      <c r="V1564" s="3486"/>
      <c r="W1564" s="3486"/>
      <c r="X1564" s="3486"/>
      <c r="Y1564" s="3943"/>
    </row>
    <row r="1565" spans="1:25" s="3492" customFormat="1">
      <c r="A1565" s="3485"/>
      <c r="B1565" s="3486"/>
      <c r="C1565" s="3486"/>
      <c r="D1565" s="3486"/>
      <c r="E1565" s="3486"/>
      <c r="F1565" s="3486"/>
      <c r="G1565" s="3486"/>
      <c r="H1565" s="3486"/>
      <c r="I1565" s="3486"/>
      <c r="J1565" s="3486"/>
      <c r="K1565" s="3486"/>
      <c r="L1565" s="3486"/>
      <c r="M1565" s="3486"/>
      <c r="N1565" s="3486"/>
      <c r="O1565" s="3486"/>
      <c r="P1565" s="3486"/>
      <c r="Q1565" s="3486"/>
      <c r="R1565" s="3486"/>
      <c r="S1565" s="3486"/>
      <c r="T1565" s="3486"/>
      <c r="U1565" s="3486"/>
      <c r="V1565" s="3486"/>
      <c r="W1565" s="3486"/>
      <c r="X1565" s="3486"/>
      <c r="Y1565" s="3943"/>
    </row>
    <row r="1566" spans="1:25" s="3492" customFormat="1">
      <c r="A1566" s="3485"/>
      <c r="B1566" s="3486"/>
      <c r="C1566" s="3486"/>
      <c r="D1566" s="3486"/>
      <c r="E1566" s="3486"/>
      <c r="F1566" s="3486"/>
      <c r="G1566" s="3486"/>
      <c r="H1566" s="3486"/>
      <c r="I1566" s="3486"/>
      <c r="J1566" s="3486"/>
      <c r="K1566" s="3486"/>
      <c r="L1566" s="3486"/>
      <c r="M1566" s="3486"/>
      <c r="N1566" s="3486"/>
      <c r="O1566" s="3486"/>
      <c r="P1566" s="3486"/>
      <c r="Q1566" s="3486"/>
      <c r="R1566" s="3486"/>
      <c r="S1566" s="3486"/>
      <c r="T1566" s="3486"/>
      <c r="U1566" s="3486"/>
      <c r="V1566" s="3486"/>
      <c r="W1566" s="3486"/>
      <c r="X1566" s="3486"/>
      <c r="Y1566" s="3943"/>
    </row>
    <row r="1567" spans="1:25" s="3492" customFormat="1">
      <c r="A1567" s="3485"/>
      <c r="B1567" s="3486"/>
      <c r="C1567" s="3486"/>
      <c r="D1567" s="3486"/>
      <c r="E1567" s="3486"/>
      <c r="F1567" s="3486"/>
      <c r="G1567" s="3486"/>
      <c r="H1567" s="3486"/>
      <c r="I1567" s="3486"/>
      <c r="J1567" s="3486"/>
      <c r="K1567" s="3486"/>
      <c r="L1567" s="3486"/>
      <c r="M1567" s="3486"/>
      <c r="N1567" s="3486"/>
      <c r="O1567" s="3486"/>
      <c r="P1567" s="3486"/>
      <c r="Q1567" s="3486"/>
      <c r="R1567" s="3486"/>
      <c r="S1567" s="3486"/>
      <c r="T1567" s="3486"/>
      <c r="U1567" s="3486"/>
      <c r="V1567" s="3486"/>
      <c r="W1567" s="3486"/>
      <c r="X1567" s="3486"/>
      <c r="Y1567" s="3943"/>
    </row>
    <row r="1568" spans="1:25" s="3492" customFormat="1">
      <c r="A1568" s="3485"/>
      <c r="B1568" s="3486"/>
      <c r="C1568" s="3486"/>
      <c r="D1568" s="3486"/>
      <c r="E1568" s="3486"/>
      <c r="F1568" s="3486"/>
      <c r="G1568" s="3486"/>
      <c r="H1568" s="3486"/>
      <c r="I1568" s="3486"/>
      <c r="J1568" s="3486"/>
      <c r="K1568" s="3486"/>
      <c r="L1568" s="3486"/>
      <c r="M1568" s="3486"/>
      <c r="N1568" s="3486"/>
      <c r="O1568" s="3486"/>
      <c r="P1568" s="3486"/>
      <c r="Q1568" s="3486"/>
      <c r="R1568" s="3486"/>
      <c r="S1568" s="3486"/>
      <c r="T1568" s="3486"/>
      <c r="U1568" s="3486"/>
      <c r="V1568" s="3486"/>
      <c r="W1568" s="3486"/>
      <c r="X1568" s="3486"/>
      <c r="Y1568" s="3943"/>
    </row>
    <row r="1569" spans="1:25" s="3492" customFormat="1">
      <c r="A1569" s="3485"/>
      <c r="B1569" s="3486"/>
      <c r="C1569" s="3486"/>
      <c r="D1569" s="3486"/>
      <c r="E1569" s="3486"/>
      <c r="F1569" s="3486"/>
      <c r="G1569" s="3486"/>
      <c r="H1569" s="3486"/>
      <c r="I1569" s="3486"/>
      <c r="J1569" s="3486"/>
      <c r="K1569" s="3486"/>
      <c r="L1569" s="3486"/>
      <c r="M1569" s="3486"/>
      <c r="N1569" s="3486"/>
      <c r="O1569" s="3486"/>
      <c r="P1569" s="3486"/>
      <c r="Q1569" s="3486"/>
      <c r="R1569" s="3486"/>
      <c r="S1569" s="3486"/>
      <c r="T1569" s="3486"/>
      <c r="U1569" s="3486"/>
      <c r="V1569" s="3486"/>
      <c r="W1569" s="3486"/>
      <c r="X1569" s="3486"/>
      <c r="Y1569" s="3943"/>
    </row>
    <row r="1570" spans="1:25" s="3492" customFormat="1">
      <c r="A1570" s="3485"/>
      <c r="B1570" s="3486"/>
      <c r="C1570" s="3486"/>
      <c r="D1570" s="3486"/>
      <c r="E1570" s="3486"/>
      <c r="F1570" s="3486"/>
      <c r="G1570" s="3486"/>
      <c r="H1570" s="3486"/>
      <c r="I1570" s="3486"/>
      <c r="J1570" s="3486"/>
      <c r="K1570" s="3486"/>
      <c r="L1570" s="3486"/>
      <c r="M1570" s="3486"/>
      <c r="N1570" s="3486"/>
      <c r="O1570" s="3486"/>
      <c r="P1570" s="3486"/>
      <c r="Q1570" s="3486"/>
      <c r="R1570" s="3486"/>
      <c r="S1570" s="3486"/>
      <c r="T1570" s="3486"/>
      <c r="U1570" s="3486"/>
      <c r="V1570" s="3486"/>
      <c r="W1570" s="3486"/>
      <c r="X1570" s="3486"/>
      <c r="Y1570" s="3943"/>
    </row>
    <row r="1571" spans="1:25" s="3492" customFormat="1">
      <c r="A1571" s="3485"/>
      <c r="B1571" s="3486"/>
      <c r="C1571" s="3486"/>
      <c r="D1571" s="3486"/>
      <c r="E1571" s="3486"/>
      <c r="F1571" s="3486"/>
      <c r="G1571" s="3486"/>
      <c r="H1571" s="3486"/>
      <c r="I1571" s="3486"/>
      <c r="J1571" s="3486"/>
      <c r="K1571" s="3486"/>
      <c r="L1571" s="3486"/>
      <c r="M1571" s="3486"/>
      <c r="N1571" s="3486"/>
      <c r="O1571" s="3486"/>
      <c r="P1571" s="3486"/>
      <c r="Q1571" s="3486"/>
      <c r="R1571" s="3486"/>
      <c r="S1571" s="3486"/>
      <c r="T1571" s="3486"/>
      <c r="U1571" s="3486"/>
      <c r="V1571" s="3486"/>
      <c r="W1571" s="3486"/>
      <c r="X1571" s="3486"/>
      <c r="Y1571" s="3943"/>
    </row>
    <row r="1572" spans="1:25" s="3492" customFormat="1">
      <c r="A1572" s="3485"/>
      <c r="B1572" s="3486"/>
      <c r="C1572" s="3486"/>
      <c r="D1572" s="3486"/>
      <c r="E1572" s="3486"/>
      <c r="F1572" s="3486"/>
      <c r="G1572" s="3486"/>
      <c r="H1572" s="3486"/>
      <c r="I1572" s="3486"/>
      <c r="J1572" s="3486"/>
      <c r="K1572" s="3486"/>
      <c r="L1572" s="3486"/>
      <c r="M1572" s="3486"/>
      <c r="N1572" s="3486"/>
      <c r="O1572" s="3486"/>
      <c r="P1572" s="3486"/>
      <c r="Q1572" s="3486"/>
      <c r="R1572" s="3486"/>
      <c r="S1572" s="3486"/>
      <c r="T1572" s="3486"/>
      <c r="U1572" s="3486"/>
      <c r="V1572" s="3486"/>
      <c r="W1572" s="3486"/>
      <c r="X1572" s="3486"/>
      <c r="Y1572" s="3943"/>
    </row>
    <row r="1573" spans="1:25" s="3492" customFormat="1">
      <c r="A1573" s="3485"/>
      <c r="B1573" s="3486"/>
      <c r="C1573" s="3486"/>
      <c r="D1573" s="3486"/>
      <c r="E1573" s="3486"/>
      <c r="F1573" s="3486"/>
      <c r="G1573" s="3486"/>
      <c r="H1573" s="3486"/>
      <c r="I1573" s="3486"/>
      <c r="J1573" s="3486"/>
      <c r="K1573" s="3486"/>
      <c r="L1573" s="3486"/>
      <c r="M1573" s="3486"/>
      <c r="N1573" s="3486"/>
      <c r="O1573" s="3486"/>
      <c r="P1573" s="3486"/>
      <c r="Q1573" s="3486"/>
      <c r="R1573" s="3486"/>
      <c r="S1573" s="3486"/>
      <c r="T1573" s="3486"/>
      <c r="U1573" s="3486"/>
      <c r="V1573" s="3486"/>
      <c r="W1573" s="3486"/>
      <c r="X1573" s="3486"/>
      <c r="Y1573" s="3943"/>
    </row>
    <row r="1574" spans="1:25" s="3492" customFormat="1">
      <c r="A1574" s="3485"/>
      <c r="B1574" s="3486"/>
      <c r="C1574" s="3486"/>
      <c r="D1574" s="3486"/>
      <c r="E1574" s="3486"/>
      <c r="F1574" s="3486"/>
      <c r="G1574" s="3486"/>
      <c r="H1574" s="3486"/>
      <c r="I1574" s="3486"/>
      <c r="J1574" s="3486"/>
      <c r="K1574" s="3486"/>
      <c r="L1574" s="3486"/>
      <c r="M1574" s="3486"/>
      <c r="N1574" s="3486"/>
      <c r="O1574" s="3486"/>
      <c r="P1574" s="3486"/>
      <c r="Q1574" s="3486"/>
      <c r="R1574" s="3486"/>
      <c r="S1574" s="3486"/>
      <c r="T1574" s="3486"/>
      <c r="U1574" s="3486"/>
      <c r="V1574" s="3486"/>
      <c r="W1574" s="3486"/>
      <c r="X1574" s="3486"/>
      <c r="Y1574" s="3943"/>
    </row>
    <row r="1575" spans="1:25" s="3492" customFormat="1">
      <c r="A1575" s="3485"/>
      <c r="B1575" s="3486"/>
      <c r="C1575" s="3486"/>
      <c r="D1575" s="3486"/>
      <c r="E1575" s="3486"/>
      <c r="F1575" s="3486"/>
      <c r="G1575" s="3486"/>
      <c r="H1575" s="3486"/>
      <c r="I1575" s="3486"/>
      <c r="J1575" s="3486"/>
      <c r="K1575" s="3486"/>
      <c r="L1575" s="3486"/>
      <c r="M1575" s="3486"/>
      <c r="N1575" s="3486"/>
      <c r="O1575" s="3486"/>
      <c r="P1575" s="3486"/>
      <c r="Q1575" s="3486"/>
      <c r="R1575" s="3486"/>
      <c r="S1575" s="3486"/>
      <c r="T1575" s="3486"/>
      <c r="U1575" s="3486"/>
      <c r="V1575" s="3486"/>
      <c r="W1575" s="3486"/>
      <c r="X1575" s="3486"/>
      <c r="Y1575" s="3943"/>
    </row>
    <row r="1576" spans="1:25" s="3492" customFormat="1">
      <c r="A1576" s="3485"/>
      <c r="B1576" s="3486"/>
      <c r="C1576" s="3486"/>
      <c r="D1576" s="3486"/>
      <c r="E1576" s="3486"/>
      <c r="F1576" s="3486"/>
      <c r="G1576" s="3486"/>
      <c r="H1576" s="3486"/>
      <c r="I1576" s="3486"/>
      <c r="J1576" s="3486"/>
      <c r="K1576" s="3486"/>
      <c r="L1576" s="3486"/>
      <c r="M1576" s="3486"/>
      <c r="N1576" s="3486"/>
      <c r="O1576" s="3486"/>
      <c r="P1576" s="3486"/>
      <c r="Q1576" s="3486"/>
      <c r="R1576" s="3486"/>
      <c r="S1576" s="3486"/>
      <c r="T1576" s="3486"/>
      <c r="U1576" s="3486"/>
      <c r="V1576" s="3486"/>
      <c r="W1576" s="3486"/>
      <c r="X1576" s="3486"/>
      <c r="Y1576" s="3943"/>
    </row>
    <row r="1577" spans="1:25" s="3492" customFormat="1">
      <c r="A1577" s="3485"/>
      <c r="B1577" s="3486"/>
      <c r="C1577" s="3486"/>
      <c r="D1577" s="3486"/>
      <c r="E1577" s="3486"/>
      <c r="F1577" s="3486"/>
      <c r="G1577" s="3486"/>
      <c r="H1577" s="3486"/>
      <c r="I1577" s="3486"/>
      <c r="J1577" s="3486"/>
      <c r="K1577" s="3486"/>
      <c r="L1577" s="3486"/>
      <c r="M1577" s="3486"/>
      <c r="N1577" s="3486"/>
      <c r="O1577" s="3486"/>
      <c r="P1577" s="3486"/>
      <c r="Q1577" s="3486"/>
      <c r="R1577" s="3486"/>
      <c r="S1577" s="3486"/>
      <c r="T1577" s="3486"/>
      <c r="U1577" s="3486"/>
      <c r="V1577" s="3486"/>
      <c r="W1577" s="3486"/>
      <c r="X1577" s="3486"/>
      <c r="Y1577" s="3943"/>
    </row>
    <row r="1578" spans="1:25" s="3492" customFormat="1">
      <c r="A1578" s="3485"/>
      <c r="B1578" s="3486"/>
      <c r="C1578" s="3486"/>
      <c r="D1578" s="3486"/>
      <c r="E1578" s="3486"/>
      <c r="F1578" s="3486"/>
      <c r="G1578" s="3486"/>
      <c r="H1578" s="3486"/>
      <c r="I1578" s="3486"/>
      <c r="J1578" s="3486"/>
      <c r="K1578" s="3486"/>
      <c r="L1578" s="3486"/>
      <c r="M1578" s="3486"/>
      <c r="N1578" s="3486"/>
      <c r="O1578" s="3486"/>
      <c r="P1578" s="3486"/>
      <c r="Q1578" s="3486"/>
      <c r="R1578" s="3486"/>
      <c r="S1578" s="3486"/>
      <c r="T1578" s="3486"/>
      <c r="U1578" s="3486"/>
      <c r="V1578" s="3486"/>
      <c r="W1578" s="3486"/>
      <c r="X1578" s="3486"/>
      <c r="Y1578" s="3943"/>
    </row>
    <row r="1579" spans="1:25" s="3492" customFormat="1">
      <c r="A1579" s="3485"/>
      <c r="B1579" s="3486"/>
      <c r="C1579" s="3486"/>
      <c r="D1579" s="3486"/>
      <c r="E1579" s="3486"/>
      <c r="F1579" s="3486"/>
      <c r="G1579" s="3486"/>
      <c r="H1579" s="3486"/>
      <c r="I1579" s="3486"/>
      <c r="J1579" s="3486"/>
      <c r="K1579" s="3486"/>
      <c r="L1579" s="3486"/>
      <c r="M1579" s="3486"/>
      <c r="N1579" s="3486"/>
      <c r="O1579" s="3486"/>
      <c r="P1579" s="3486"/>
      <c r="Q1579" s="3486"/>
      <c r="R1579" s="3486"/>
      <c r="S1579" s="3486"/>
      <c r="T1579" s="3486"/>
      <c r="U1579" s="3486"/>
      <c r="V1579" s="3486"/>
      <c r="W1579" s="3486"/>
      <c r="X1579" s="3486"/>
      <c r="Y1579" s="3943"/>
    </row>
    <row r="1580" spans="1:25" s="3492" customFormat="1">
      <c r="A1580" s="3485"/>
      <c r="B1580" s="3486"/>
      <c r="C1580" s="3486"/>
      <c r="D1580" s="3486"/>
      <c r="E1580" s="3486"/>
      <c r="F1580" s="3486"/>
      <c r="G1580" s="3486"/>
      <c r="H1580" s="3486"/>
      <c r="I1580" s="3486"/>
      <c r="J1580" s="3486"/>
      <c r="K1580" s="3486"/>
      <c r="L1580" s="3486"/>
      <c r="M1580" s="3486"/>
      <c r="N1580" s="3486"/>
      <c r="O1580" s="3486"/>
      <c r="P1580" s="3486"/>
      <c r="Q1580" s="3486"/>
      <c r="R1580" s="3486"/>
      <c r="S1580" s="3486"/>
      <c r="T1580" s="3486"/>
      <c r="U1580" s="3486"/>
      <c r="V1580" s="3486"/>
      <c r="W1580" s="3486"/>
      <c r="X1580" s="3486"/>
      <c r="Y1580" s="3943"/>
    </row>
    <row r="1581" spans="1:25" s="3492" customFormat="1">
      <c r="A1581" s="3485"/>
      <c r="B1581" s="3486"/>
      <c r="C1581" s="3486"/>
      <c r="D1581" s="3486"/>
      <c r="E1581" s="3486"/>
      <c r="F1581" s="3486"/>
      <c r="G1581" s="3486"/>
      <c r="H1581" s="3486"/>
      <c r="I1581" s="3486"/>
      <c r="J1581" s="3486"/>
      <c r="K1581" s="3486"/>
      <c r="L1581" s="3486"/>
      <c r="M1581" s="3486"/>
      <c r="N1581" s="3486"/>
      <c r="O1581" s="3486"/>
      <c r="P1581" s="3486"/>
      <c r="Q1581" s="3486"/>
      <c r="R1581" s="3486"/>
      <c r="S1581" s="3486"/>
      <c r="T1581" s="3486"/>
      <c r="U1581" s="3486"/>
      <c r="V1581" s="3486"/>
      <c r="W1581" s="3486"/>
      <c r="X1581" s="3486"/>
      <c r="Y1581" s="3943"/>
    </row>
    <row r="1582" spans="1:25" s="3492" customFormat="1">
      <c r="A1582" s="3485"/>
      <c r="B1582" s="3486"/>
      <c r="C1582" s="3486"/>
      <c r="D1582" s="3486"/>
      <c r="E1582" s="3486"/>
      <c r="F1582" s="3486"/>
      <c r="G1582" s="3486"/>
      <c r="H1582" s="3486"/>
      <c r="I1582" s="3486"/>
      <c r="J1582" s="3486"/>
      <c r="K1582" s="3486"/>
      <c r="L1582" s="3486"/>
      <c r="M1582" s="3486"/>
      <c r="N1582" s="3486"/>
      <c r="O1582" s="3486"/>
      <c r="P1582" s="3486"/>
      <c r="Q1582" s="3486"/>
      <c r="R1582" s="3486"/>
      <c r="S1582" s="3486"/>
      <c r="T1582" s="3486"/>
      <c r="U1582" s="3486"/>
      <c r="V1582" s="3486"/>
      <c r="W1582" s="3486"/>
      <c r="X1582" s="3486"/>
      <c r="Y1582" s="3943"/>
    </row>
    <row r="1583" spans="1:25" s="3492" customFormat="1">
      <c r="A1583" s="3485"/>
      <c r="B1583" s="3486"/>
      <c r="C1583" s="3486"/>
      <c r="D1583" s="3486"/>
      <c r="E1583" s="3486"/>
      <c r="F1583" s="3486"/>
      <c r="G1583" s="3486"/>
      <c r="H1583" s="3486"/>
      <c r="I1583" s="3486"/>
      <c r="J1583" s="3486"/>
      <c r="K1583" s="3486"/>
      <c r="L1583" s="3486"/>
      <c r="M1583" s="3486"/>
      <c r="N1583" s="3486"/>
      <c r="O1583" s="3486"/>
      <c r="P1583" s="3486"/>
      <c r="Q1583" s="3486"/>
      <c r="R1583" s="3486"/>
      <c r="S1583" s="3486"/>
      <c r="T1583" s="3486"/>
      <c r="U1583" s="3486"/>
      <c r="V1583" s="3486"/>
      <c r="W1583" s="3486"/>
      <c r="X1583" s="3486"/>
      <c r="Y1583" s="3943"/>
    </row>
    <row r="1584" spans="1:25" s="3492" customFormat="1">
      <c r="A1584" s="3485"/>
      <c r="B1584" s="3486"/>
      <c r="C1584" s="3486"/>
      <c r="D1584" s="3486"/>
      <c r="E1584" s="3486"/>
      <c r="F1584" s="3486"/>
      <c r="G1584" s="3486"/>
      <c r="H1584" s="3486"/>
      <c r="I1584" s="3486"/>
      <c r="J1584" s="3486"/>
      <c r="K1584" s="3486"/>
      <c r="L1584" s="3486"/>
      <c r="M1584" s="3486"/>
      <c r="N1584" s="3486"/>
      <c r="O1584" s="3486"/>
      <c r="P1584" s="3486"/>
      <c r="Q1584" s="3486"/>
      <c r="R1584" s="3486"/>
      <c r="S1584" s="3486"/>
      <c r="T1584" s="3486"/>
      <c r="U1584" s="3486"/>
      <c r="V1584" s="3486"/>
      <c r="W1584" s="3486"/>
      <c r="X1584" s="3486"/>
      <c r="Y1584" s="3943"/>
    </row>
    <row r="1585" spans="1:25" s="3492" customFormat="1">
      <c r="A1585" s="3485"/>
      <c r="B1585" s="3486"/>
      <c r="C1585" s="3486"/>
      <c r="D1585" s="3486"/>
      <c r="E1585" s="3486"/>
      <c r="F1585" s="3486"/>
      <c r="G1585" s="3486"/>
      <c r="H1585" s="3486"/>
      <c r="I1585" s="3486"/>
      <c r="J1585" s="3486"/>
      <c r="K1585" s="3486"/>
      <c r="L1585" s="3486"/>
      <c r="M1585" s="3486"/>
      <c r="N1585" s="3486"/>
      <c r="O1585" s="3486"/>
      <c r="P1585" s="3486"/>
      <c r="Q1585" s="3486"/>
      <c r="R1585" s="3486"/>
      <c r="S1585" s="3486"/>
      <c r="T1585" s="3486"/>
      <c r="U1585" s="3486"/>
      <c r="V1585" s="3486"/>
      <c r="W1585" s="3486"/>
      <c r="X1585" s="3486"/>
      <c r="Y1585" s="3943"/>
    </row>
    <row r="1586" spans="1:25" s="3492" customFormat="1">
      <c r="A1586" s="3485"/>
      <c r="B1586" s="3486"/>
      <c r="C1586" s="3486"/>
      <c r="D1586" s="3486"/>
      <c r="E1586" s="3486"/>
      <c r="F1586" s="3486"/>
      <c r="G1586" s="3486"/>
      <c r="H1586" s="3486"/>
      <c r="I1586" s="3486"/>
      <c r="J1586" s="3486"/>
      <c r="K1586" s="3486"/>
      <c r="L1586" s="3486"/>
      <c r="M1586" s="3486"/>
      <c r="N1586" s="3486"/>
      <c r="O1586" s="3486"/>
      <c r="P1586" s="3486"/>
      <c r="Q1586" s="3486"/>
      <c r="R1586" s="3486"/>
      <c r="S1586" s="3486"/>
      <c r="T1586" s="3486"/>
      <c r="U1586" s="3486"/>
      <c r="V1586" s="3486"/>
      <c r="W1586" s="3486"/>
      <c r="X1586" s="3486"/>
      <c r="Y1586" s="3943"/>
    </row>
    <row r="1587" spans="1:25" s="3492" customFormat="1">
      <c r="A1587" s="3485"/>
      <c r="B1587" s="3486"/>
      <c r="C1587" s="3486"/>
      <c r="D1587" s="3486"/>
      <c r="E1587" s="3486"/>
      <c r="F1587" s="3486"/>
      <c r="G1587" s="3486"/>
      <c r="H1587" s="3486"/>
      <c r="I1587" s="3486"/>
      <c r="J1587" s="3486"/>
      <c r="K1587" s="3486"/>
      <c r="L1587" s="3486"/>
      <c r="M1587" s="3486"/>
      <c r="N1587" s="3486"/>
      <c r="O1587" s="3486"/>
      <c r="P1587" s="3486"/>
      <c r="Q1587" s="3486"/>
      <c r="R1587" s="3486"/>
      <c r="S1587" s="3486"/>
      <c r="T1587" s="3486"/>
      <c r="U1587" s="3486"/>
      <c r="V1587" s="3486"/>
      <c r="W1587" s="3486"/>
      <c r="X1587" s="3486"/>
      <c r="Y1587" s="3943"/>
    </row>
    <row r="1588" spans="1:25" s="3492" customFormat="1">
      <c r="A1588" s="3485"/>
      <c r="B1588" s="3486"/>
      <c r="C1588" s="3486"/>
      <c r="D1588" s="3486"/>
      <c r="E1588" s="3486"/>
      <c r="F1588" s="3486"/>
      <c r="G1588" s="3486"/>
      <c r="H1588" s="3486"/>
      <c r="I1588" s="3486"/>
      <c r="J1588" s="3486"/>
      <c r="K1588" s="3486"/>
      <c r="L1588" s="3486"/>
      <c r="M1588" s="3486"/>
      <c r="N1588" s="3486"/>
      <c r="O1588" s="3486"/>
      <c r="P1588" s="3486"/>
      <c r="Q1588" s="3486"/>
      <c r="R1588" s="3486"/>
      <c r="S1588" s="3486"/>
      <c r="T1588" s="3486"/>
      <c r="U1588" s="3486"/>
      <c r="V1588" s="3486"/>
      <c r="W1588" s="3486"/>
      <c r="X1588" s="3486"/>
      <c r="Y1588" s="3943"/>
    </row>
    <row r="1589" spans="1:25" s="3492" customFormat="1">
      <c r="A1589" s="3485"/>
      <c r="B1589" s="3486"/>
      <c r="C1589" s="3486"/>
      <c r="D1589" s="3486"/>
      <c r="E1589" s="3486"/>
      <c r="F1589" s="3486"/>
      <c r="G1589" s="3486"/>
      <c r="H1589" s="3486"/>
      <c r="I1589" s="3486"/>
      <c r="J1589" s="3486"/>
      <c r="K1589" s="3486"/>
      <c r="L1589" s="3486"/>
      <c r="M1589" s="3486"/>
      <c r="N1589" s="3486"/>
      <c r="O1589" s="3486"/>
      <c r="P1589" s="3486"/>
      <c r="Q1589" s="3486"/>
      <c r="R1589" s="3486"/>
      <c r="S1589" s="3486"/>
      <c r="T1589" s="3486"/>
      <c r="U1589" s="3486"/>
      <c r="V1589" s="3486"/>
      <c r="W1589" s="3486"/>
      <c r="X1589" s="3486"/>
      <c r="Y1589" s="3943"/>
    </row>
    <row r="1590" spans="1:25" s="3492" customFormat="1">
      <c r="A1590" s="3485"/>
      <c r="B1590" s="3486"/>
      <c r="C1590" s="3486"/>
      <c r="D1590" s="3486"/>
      <c r="E1590" s="3486"/>
      <c r="F1590" s="3486"/>
      <c r="G1590" s="3486"/>
      <c r="H1590" s="3486"/>
      <c r="I1590" s="3486"/>
      <c r="J1590" s="3486"/>
      <c r="K1590" s="3486"/>
      <c r="L1590" s="3486"/>
      <c r="M1590" s="3486"/>
      <c r="N1590" s="3486"/>
      <c r="O1590" s="3486"/>
      <c r="P1590" s="3486"/>
      <c r="Q1590" s="3486"/>
      <c r="R1590" s="3486"/>
      <c r="S1590" s="3486"/>
      <c r="T1590" s="3486"/>
      <c r="U1590" s="3486"/>
      <c r="V1590" s="3486"/>
      <c r="W1590" s="3486"/>
      <c r="X1590" s="3486"/>
      <c r="Y1590" s="3943"/>
    </row>
    <row r="1591" spans="1:25" s="3492" customFormat="1">
      <c r="A1591" s="3485"/>
      <c r="B1591" s="3486"/>
      <c r="C1591" s="3486"/>
      <c r="D1591" s="3486"/>
      <c r="E1591" s="3486"/>
      <c r="F1591" s="3486"/>
      <c r="G1591" s="3486"/>
      <c r="H1591" s="3486"/>
      <c r="I1591" s="3486"/>
      <c r="J1591" s="3486"/>
      <c r="K1591" s="3486"/>
      <c r="L1591" s="3486"/>
      <c r="M1591" s="3486"/>
      <c r="N1591" s="3486"/>
      <c r="O1591" s="3486"/>
      <c r="P1591" s="3486"/>
      <c r="Q1591" s="3486"/>
      <c r="R1591" s="3486"/>
      <c r="S1591" s="3486"/>
      <c r="T1591" s="3486"/>
      <c r="U1591" s="3486"/>
      <c r="V1591" s="3486"/>
      <c r="W1591" s="3486"/>
      <c r="X1591" s="3486"/>
      <c r="Y1591" s="3943"/>
    </row>
    <row r="1592" spans="1:25" s="3492" customFormat="1">
      <c r="A1592" s="3485"/>
      <c r="B1592" s="3486"/>
      <c r="C1592" s="3486"/>
      <c r="D1592" s="3486"/>
      <c r="E1592" s="3486"/>
      <c r="F1592" s="3486"/>
      <c r="G1592" s="3486"/>
      <c r="H1592" s="3486"/>
      <c r="I1592" s="3486"/>
      <c r="J1592" s="3486"/>
      <c r="K1592" s="3486"/>
      <c r="L1592" s="3486"/>
      <c r="M1592" s="3486"/>
      <c r="N1592" s="3486"/>
      <c r="O1592" s="3486"/>
      <c r="P1592" s="3486"/>
      <c r="Q1592" s="3486"/>
      <c r="R1592" s="3486"/>
      <c r="S1592" s="3486"/>
      <c r="T1592" s="3486"/>
      <c r="U1592" s="3486"/>
      <c r="V1592" s="3486"/>
      <c r="W1592" s="3486"/>
      <c r="X1592" s="3486"/>
      <c r="Y1592" s="3943"/>
    </row>
    <row r="1593" spans="1:25" s="3492" customFormat="1">
      <c r="A1593" s="3485"/>
      <c r="B1593" s="3486"/>
      <c r="C1593" s="3486"/>
      <c r="D1593" s="3486"/>
      <c r="E1593" s="3486"/>
      <c r="F1593" s="3486"/>
      <c r="G1593" s="3486"/>
      <c r="H1593" s="3486"/>
      <c r="I1593" s="3486"/>
      <c r="J1593" s="3486"/>
      <c r="K1593" s="3486"/>
      <c r="L1593" s="3486"/>
      <c r="M1593" s="3486"/>
      <c r="N1593" s="3486"/>
      <c r="O1593" s="3486"/>
      <c r="P1593" s="3486"/>
      <c r="Q1593" s="3486"/>
      <c r="R1593" s="3486"/>
      <c r="S1593" s="3486"/>
      <c r="T1593" s="3486"/>
      <c r="U1593" s="3486"/>
      <c r="V1593" s="3486"/>
      <c r="W1593" s="3486"/>
      <c r="X1593" s="3486"/>
      <c r="Y1593" s="3943"/>
    </row>
    <row r="1594" spans="1:25" s="3492" customFormat="1">
      <c r="A1594" s="3485"/>
      <c r="B1594" s="3486"/>
      <c r="C1594" s="3486"/>
      <c r="D1594" s="3486"/>
      <c r="E1594" s="3486"/>
      <c r="F1594" s="3486"/>
      <c r="G1594" s="3486"/>
      <c r="H1594" s="3486"/>
      <c r="I1594" s="3486"/>
      <c r="J1594" s="3486"/>
      <c r="K1594" s="3486"/>
      <c r="L1594" s="3486"/>
      <c r="M1594" s="3486"/>
      <c r="N1594" s="3486"/>
      <c r="O1594" s="3486"/>
      <c r="P1594" s="3486"/>
      <c r="Q1594" s="3486"/>
      <c r="R1594" s="3486"/>
      <c r="S1594" s="3486"/>
      <c r="T1594" s="3486"/>
      <c r="U1594" s="3486"/>
      <c r="V1594" s="3486"/>
      <c r="W1594" s="3486"/>
      <c r="X1594" s="3486"/>
      <c r="Y1594" s="3943"/>
    </row>
    <row r="1595" spans="1:25" s="3492" customFormat="1">
      <c r="A1595" s="3485"/>
      <c r="B1595" s="3486"/>
      <c r="C1595" s="3486"/>
      <c r="D1595" s="3486"/>
      <c r="E1595" s="3486"/>
      <c r="F1595" s="3486"/>
      <c r="G1595" s="3486"/>
      <c r="H1595" s="3486"/>
      <c r="I1595" s="3486"/>
      <c r="J1595" s="3486"/>
      <c r="K1595" s="3486"/>
      <c r="L1595" s="3486"/>
      <c r="M1595" s="3486"/>
      <c r="N1595" s="3486"/>
      <c r="O1595" s="3486"/>
      <c r="P1595" s="3486"/>
      <c r="Q1595" s="3486"/>
      <c r="R1595" s="3486"/>
      <c r="S1595" s="3486"/>
      <c r="T1595" s="3486"/>
      <c r="U1595" s="3486"/>
      <c r="V1595" s="3486"/>
      <c r="W1595" s="3486"/>
      <c r="X1595" s="3486"/>
      <c r="Y1595" s="3943"/>
    </row>
    <row r="1596" spans="1:25" s="3492" customFormat="1">
      <c r="A1596" s="3485"/>
      <c r="B1596" s="3486"/>
      <c r="C1596" s="3486"/>
      <c r="D1596" s="3486"/>
      <c r="E1596" s="3486"/>
      <c r="F1596" s="3486"/>
      <c r="G1596" s="3486"/>
      <c r="H1596" s="3486"/>
      <c r="I1596" s="3486"/>
      <c r="J1596" s="3486"/>
      <c r="K1596" s="3486"/>
      <c r="L1596" s="3486"/>
      <c r="M1596" s="3486"/>
      <c r="N1596" s="3486"/>
      <c r="O1596" s="3486"/>
      <c r="P1596" s="3486"/>
      <c r="Q1596" s="3486"/>
      <c r="R1596" s="3486"/>
      <c r="S1596" s="3486"/>
      <c r="T1596" s="3486"/>
      <c r="U1596" s="3486"/>
      <c r="V1596" s="3486"/>
      <c r="W1596" s="3486"/>
      <c r="X1596" s="3486"/>
      <c r="Y1596" s="3943"/>
    </row>
    <row r="1597" spans="1:25" s="3492" customFormat="1">
      <c r="A1597" s="3485"/>
      <c r="B1597" s="3486"/>
      <c r="C1597" s="3486"/>
      <c r="D1597" s="3486"/>
      <c r="E1597" s="3486"/>
      <c r="F1597" s="3486"/>
      <c r="G1597" s="3486"/>
      <c r="H1597" s="3486"/>
      <c r="I1597" s="3486"/>
      <c r="J1597" s="3486"/>
      <c r="K1597" s="3486"/>
      <c r="L1597" s="3486"/>
      <c r="M1597" s="3486"/>
      <c r="N1597" s="3486"/>
      <c r="O1597" s="3486"/>
      <c r="P1597" s="3486"/>
      <c r="Q1597" s="3486"/>
      <c r="R1597" s="3486"/>
      <c r="S1597" s="3486"/>
      <c r="T1597" s="3486"/>
      <c r="U1597" s="3486"/>
      <c r="V1597" s="3486"/>
      <c r="W1597" s="3486"/>
      <c r="X1597" s="3486"/>
      <c r="Y1597" s="3943"/>
    </row>
    <row r="1598" spans="1:25" s="3492" customFormat="1">
      <c r="A1598" s="3485"/>
      <c r="B1598" s="3486"/>
      <c r="C1598" s="3486"/>
      <c r="D1598" s="3486"/>
      <c r="E1598" s="3486"/>
      <c r="F1598" s="3486"/>
      <c r="G1598" s="3486"/>
      <c r="H1598" s="3486"/>
      <c r="I1598" s="3486"/>
      <c r="J1598" s="3486"/>
      <c r="K1598" s="3486"/>
      <c r="L1598" s="3486"/>
      <c r="M1598" s="3486"/>
      <c r="N1598" s="3486"/>
      <c r="O1598" s="3486"/>
      <c r="P1598" s="3486"/>
      <c r="Q1598" s="3486"/>
      <c r="R1598" s="3486"/>
      <c r="S1598" s="3486"/>
      <c r="T1598" s="3486"/>
      <c r="U1598" s="3486"/>
      <c r="V1598" s="3486"/>
      <c r="W1598" s="3486"/>
      <c r="X1598" s="3486"/>
      <c r="Y1598" s="3943"/>
    </row>
    <row r="1599" spans="1:25" s="3492" customFormat="1">
      <c r="A1599" s="3485"/>
      <c r="B1599" s="3486"/>
      <c r="C1599" s="3486"/>
      <c r="D1599" s="3486"/>
      <c r="E1599" s="3486"/>
      <c r="F1599" s="3486"/>
      <c r="G1599" s="3486"/>
      <c r="H1599" s="3486"/>
      <c r="I1599" s="3486"/>
      <c r="J1599" s="3486"/>
      <c r="K1599" s="3486"/>
      <c r="L1599" s="3486"/>
      <c r="M1599" s="3486"/>
      <c r="N1599" s="3486"/>
      <c r="O1599" s="3486"/>
      <c r="P1599" s="3486"/>
      <c r="Q1599" s="3486"/>
      <c r="R1599" s="3486"/>
      <c r="S1599" s="3486"/>
      <c r="T1599" s="3486"/>
      <c r="U1599" s="3486"/>
      <c r="V1599" s="3486"/>
      <c r="W1599" s="3486"/>
      <c r="X1599" s="3486"/>
      <c r="Y1599" s="3943"/>
    </row>
    <row r="1600" spans="1:25" s="3492" customFormat="1">
      <c r="A1600" s="3485"/>
      <c r="B1600" s="3486"/>
      <c r="C1600" s="3486"/>
      <c r="D1600" s="3486"/>
      <c r="E1600" s="3486"/>
      <c r="F1600" s="3486"/>
      <c r="G1600" s="3486"/>
      <c r="H1600" s="3486"/>
      <c r="I1600" s="3486"/>
      <c r="J1600" s="3486"/>
      <c r="K1600" s="3486"/>
      <c r="L1600" s="3486"/>
      <c r="M1600" s="3486"/>
      <c r="N1600" s="3486"/>
      <c r="O1600" s="3486"/>
      <c r="P1600" s="3486"/>
      <c r="Q1600" s="3486"/>
      <c r="R1600" s="3486"/>
      <c r="S1600" s="3486"/>
      <c r="T1600" s="3486"/>
      <c r="U1600" s="3486"/>
      <c r="V1600" s="3486"/>
      <c r="W1600" s="3486"/>
      <c r="X1600" s="3486"/>
      <c r="Y1600" s="3943"/>
    </row>
    <row r="1601" spans="1:25" s="3492" customFormat="1">
      <c r="A1601" s="3485"/>
      <c r="B1601" s="3486"/>
      <c r="C1601" s="3486"/>
      <c r="D1601" s="3486"/>
      <c r="E1601" s="3486"/>
      <c r="F1601" s="3486"/>
      <c r="G1601" s="3486"/>
      <c r="H1601" s="3486"/>
      <c r="I1601" s="3486"/>
      <c r="J1601" s="3486"/>
      <c r="K1601" s="3486"/>
      <c r="L1601" s="3486"/>
      <c r="M1601" s="3486"/>
      <c r="N1601" s="3486"/>
      <c r="O1601" s="3486"/>
      <c r="P1601" s="3486"/>
      <c r="Q1601" s="3486"/>
      <c r="R1601" s="3486"/>
      <c r="S1601" s="3486"/>
      <c r="T1601" s="3486"/>
      <c r="U1601" s="3486"/>
      <c r="V1601" s="3486"/>
      <c r="W1601" s="3486"/>
      <c r="X1601" s="3486"/>
      <c r="Y1601" s="3943"/>
    </row>
    <row r="1602" spans="1:25" s="3492" customFormat="1">
      <c r="A1602" s="3485"/>
      <c r="B1602" s="3486"/>
      <c r="C1602" s="3486"/>
      <c r="D1602" s="3486"/>
      <c r="E1602" s="3486"/>
      <c r="F1602" s="3486"/>
      <c r="G1602" s="3486"/>
      <c r="H1602" s="3486"/>
      <c r="I1602" s="3486"/>
      <c r="J1602" s="3486"/>
      <c r="K1602" s="3486"/>
      <c r="L1602" s="3486"/>
      <c r="M1602" s="3486"/>
      <c r="N1602" s="3486"/>
      <c r="O1602" s="3486"/>
      <c r="P1602" s="3486"/>
      <c r="Q1602" s="3486"/>
      <c r="R1602" s="3486"/>
      <c r="S1602" s="3486"/>
      <c r="T1602" s="3486"/>
      <c r="U1602" s="3486"/>
      <c r="V1602" s="3486"/>
      <c r="W1602" s="3486"/>
      <c r="X1602" s="3486"/>
      <c r="Y1602" s="3943"/>
    </row>
    <row r="1603" spans="1:25" s="3492" customFormat="1">
      <c r="A1603" s="3485"/>
      <c r="B1603" s="3486"/>
      <c r="C1603" s="3486"/>
      <c r="D1603" s="3486"/>
      <c r="E1603" s="3486"/>
      <c r="F1603" s="3486"/>
      <c r="G1603" s="3486"/>
      <c r="H1603" s="3486"/>
      <c r="I1603" s="3486"/>
      <c r="J1603" s="3486"/>
      <c r="K1603" s="3486"/>
      <c r="L1603" s="3486"/>
      <c r="M1603" s="3486"/>
      <c r="N1603" s="3486"/>
      <c r="O1603" s="3486"/>
      <c r="P1603" s="3486"/>
      <c r="Q1603" s="3486"/>
      <c r="R1603" s="3486"/>
      <c r="S1603" s="3486"/>
      <c r="T1603" s="3486"/>
      <c r="U1603" s="3486"/>
      <c r="V1603" s="3486"/>
      <c r="W1603" s="3486"/>
      <c r="X1603" s="3486"/>
      <c r="Y1603" s="3943"/>
    </row>
    <row r="1604" spans="1:25" s="3492" customFormat="1">
      <c r="A1604" s="3485"/>
      <c r="B1604" s="3486"/>
      <c r="C1604" s="3486"/>
      <c r="D1604" s="3486"/>
      <c r="E1604" s="3486"/>
      <c r="F1604" s="3486"/>
      <c r="G1604" s="3486"/>
      <c r="H1604" s="3486"/>
      <c r="I1604" s="3486"/>
      <c r="J1604" s="3486"/>
      <c r="K1604" s="3486"/>
      <c r="L1604" s="3486"/>
      <c r="M1604" s="3486"/>
      <c r="N1604" s="3486"/>
      <c r="O1604" s="3486"/>
      <c r="P1604" s="3486"/>
      <c r="Q1604" s="3486"/>
      <c r="R1604" s="3486"/>
      <c r="S1604" s="3486"/>
      <c r="T1604" s="3486"/>
      <c r="U1604" s="3486"/>
      <c r="V1604" s="3486"/>
      <c r="W1604" s="3486"/>
      <c r="X1604" s="3486"/>
      <c r="Y1604" s="3943"/>
    </row>
    <row r="1605" spans="1:25" s="3492" customFormat="1">
      <c r="A1605" s="3485"/>
      <c r="B1605" s="3486"/>
      <c r="C1605" s="3486"/>
      <c r="D1605" s="3486"/>
      <c r="E1605" s="3486"/>
      <c r="F1605" s="3486"/>
      <c r="G1605" s="3486"/>
      <c r="H1605" s="3486"/>
      <c r="I1605" s="3486"/>
      <c r="J1605" s="3486"/>
      <c r="K1605" s="3486"/>
      <c r="L1605" s="3486"/>
      <c r="M1605" s="3486"/>
      <c r="N1605" s="3486"/>
      <c r="O1605" s="3486"/>
      <c r="P1605" s="3486"/>
      <c r="Q1605" s="3486"/>
      <c r="R1605" s="3486"/>
      <c r="S1605" s="3486"/>
      <c r="T1605" s="3486"/>
      <c r="U1605" s="3486"/>
      <c r="V1605" s="3486"/>
      <c r="W1605" s="3486"/>
      <c r="X1605" s="3486"/>
      <c r="Y1605" s="3943"/>
    </row>
    <row r="1606" spans="1:25" s="3492" customFormat="1">
      <c r="A1606" s="3485"/>
      <c r="B1606" s="3486"/>
      <c r="C1606" s="3486"/>
      <c r="D1606" s="3486"/>
      <c r="E1606" s="3486"/>
      <c r="F1606" s="3486"/>
      <c r="G1606" s="3486"/>
      <c r="H1606" s="3486"/>
      <c r="I1606" s="3486"/>
      <c r="J1606" s="3486"/>
      <c r="K1606" s="3486"/>
      <c r="L1606" s="3486"/>
      <c r="M1606" s="3486"/>
      <c r="N1606" s="3486"/>
      <c r="O1606" s="3486"/>
      <c r="P1606" s="3486"/>
      <c r="Q1606" s="3486"/>
      <c r="R1606" s="3486"/>
      <c r="S1606" s="3486"/>
      <c r="T1606" s="3486"/>
      <c r="U1606" s="3486"/>
      <c r="V1606" s="3486"/>
      <c r="W1606" s="3486"/>
      <c r="X1606" s="3486"/>
      <c r="Y1606" s="3943"/>
    </row>
    <row r="1607" spans="1:25" s="3492" customFormat="1">
      <c r="A1607" s="3485"/>
      <c r="B1607" s="3486"/>
      <c r="C1607" s="3486"/>
      <c r="D1607" s="3486"/>
      <c r="E1607" s="3486"/>
      <c r="F1607" s="3486"/>
      <c r="G1607" s="3486"/>
      <c r="H1607" s="3486"/>
      <c r="I1607" s="3486"/>
      <c r="J1607" s="3486"/>
      <c r="K1607" s="3486"/>
      <c r="L1607" s="3486"/>
      <c r="M1607" s="3486"/>
      <c r="N1607" s="3486"/>
      <c r="O1607" s="3486"/>
      <c r="P1607" s="3486"/>
      <c r="Q1607" s="3486"/>
      <c r="R1607" s="3486"/>
      <c r="S1607" s="3486"/>
      <c r="T1607" s="3486"/>
      <c r="U1607" s="3486"/>
      <c r="V1607" s="3486"/>
      <c r="W1607" s="3486"/>
      <c r="X1607" s="3486"/>
      <c r="Y1607" s="3943"/>
    </row>
    <row r="1608" spans="1:25" s="3492" customFormat="1">
      <c r="A1608" s="3485"/>
      <c r="B1608" s="3486"/>
      <c r="C1608" s="3486"/>
      <c r="D1608" s="3486"/>
      <c r="E1608" s="3486"/>
      <c r="F1608" s="3486"/>
      <c r="G1608" s="3486"/>
      <c r="H1608" s="3486"/>
      <c r="I1608" s="3486"/>
      <c r="J1608" s="3486"/>
      <c r="K1608" s="3486"/>
      <c r="L1608" s="3486"/>
      <c r="M1608" s="3486"/>
      <c r="N1608" s="3486"/>
      <c r="O1608" s="3486"/>
      <c r="P1608" s="3486"/>
      <c r="Q1608" s="3486"/>
      <c r="R1608" s="3486"/>
      <c r="S1608" s="3486"/>
      <c r="T1608" s="3486"/>
      <c r="U1608" s="3486"/>
      <c r="V1608" s="3486"/>
      <c r="W1608" s="3486"/>
      <c r="X1608" s="3486"/>
      <c r="Y1608" s="3943"/>
    </row>
    <row r="1609" spans="1:25" s="3492" customFormat="1">
      <c r="A1609" s="3485"/>
      <c r="B1609" s="3486"/>
      <c r="C1609" s="3486"/>
      <c r="D1609" s="3486"/>
      <c r="E1609" s="3486"/>
      <c r="F1609" s="3486"/>
      <c r="G1609" s="3486"/>
      <c r="H1609" s="3486"/>
      <c r="I1609" s="3486"/>
      <c r="J1609" s="3486"/>
      <c r="K1609" s="3486"/>
      <c r="L1609" s="3486"/>
      <c r="M1609" s="3486"/>
      <c r="N1609" s="3486"/>
      <c r="O1609" s="3486"/>
      <c r="P1609" s="3486"/>
      <c r="Q1609" s="3486"/>
      <c r="R1609" s="3486"/>
      <c r="S1609" s="3486"/>
      <c r="T1609" s="3486"/>
      <c r="U1609" s="3486"/>
      <c r="V1609" s="3486"/>
      <c r="W1609" s="3486"/>
      <c r="X1609" s="3486"/>
      <c r="Y1609" s="3943"/>
    </row>
    <row r="1610" spans="1:25" s="3492" customFormat="1">
      <c r="A1610" s="3485"/>
      <c r="B1610" s="3486"/>
      <c r="C1610" s="3486"/>
      <c r="D1610" s="3486"/>
      <c r="E1610" s="3486"/>
      <c r="F1610" s="3486"/>
      <c r="G1610" s="3486"/>
      <c r="H1610" s="3486"/>
      <c r="I1610" s="3486"/>
      <c r="J1610" s="3486"/>
      <c r="K1610" s="3486"/>
      <c r="L1610" s="3486"/>
      <c r="M1610" s="3486"/>
      <c r="N1610" s="3486"/>
      <c r="O1610" s="3486"/>
      <c r="P1610" s="3486"/>
      <c r="Q1610" s="3486"/>
      <c r="R1610" s="3486"/>
      <c r="S1610" s="3486"/>
      <c r="T1610" s="3486"/>
      <c r="U1610" s="3486"/>
      <c r="V1610" s="3486"/>
      <c r="W1610" s="3486"/>
      <c r="X1610" s="3486"/>
      <c r="Y1610" s="3943"/>
    </row>
    <row r="1611" spans="1:25" s="3492" customFormat="1">
      <c r="A1611" s="3485"/>
      <c r="B1611" s="3486"/>
      <c r="C1611" s="3486"/>
      <c r="D1611" s="3486"/>
      <c r="E1611" s="3486"/>
      <c r="F1611" s="3486"/>
      <c r="G1611" s="3486"/>
      <c r="H1611" s="3486"/>
      <c r="I1611" s="3486"/>
      <c r="J1611" s="3486"/>
      <c r="K1611" s="3486"/>
      <c r="L1611" s="3486"/>
      <c r="M1611" s="3486"/>
      <c r="N1611" s="3486"/>
      <c r="O1611" s="3486"/>
      <c r="P1611" s="3486"/>
      <c r="Q1611" s="3486"/>
      <c r="R1611" s="3486"/>
      <c r="S1611" s="3486"/>
      <c r="T1611" s="3486"/>
      <c r="U1611" s="3486"/>
      <c r="V1611" s="3486"/>
      <c r="W1611" s="3486"/>
      <c r="X1611" s="3486"/>
      <c r="Y1611" s="3943"/>
    </row>
    <row r="1612" spans="1:25" s="3492" customFormat="1">
      <c r="A1612" s="3485"/>
      <c r="B1612" s="3486"/>
      <c r="C1612" s="3486"/>
      <c r="D1612" s="3486"/>
      <c r="E1612" s="3486"/>
      <c r="F1612" s="3486"/>
      <c r="G1612" s="3486"/>
      <c r="H1612" s="3486"/>
      <c r="I1612" s="3486"/>
      <c r="J1612" s="3486"/>
      <c r="K1612" s="3486"/>
      <c r="L1612" s="3486"/>
      <c r="M1612" s="3486"/>
      <c r="N1612" s="3486"/>
      <c r="O1612" s="3486"/>
      <c r="P1612" s="3486"/>
      <c r="Q1612" s="3486"/>
      <c r="R1612" s="3486"/>
      <c r="S1612" s="3486"/>
      <c r="T1612" s="3486"/>
      <c r="U1612" s="3486"/>
      <c r="V1612" s="3486"/>
      <c r="W1612" s="3486"/>
      <c r="X1612" s="3486"/>
      <c r="Y1612" s="3943"/>
    </row>
    <row r="1613" spans="1:25" s="3492" customFormat="1">
      <c r="A1613" s="3485"/>
      <c r="B1613" s="3486"/>
      <c r="C1613" s="3486"/>
      <c r="D1613" s="3486"/>
      <c r="E1613" s="3486"/>
      <c r="F1613" s="3486"/>
      <c r="G1613" s="3486"/>
      <c r="H1613" s="3486"/>
      <c r="I1613" s="3486"/>
      <c r="J1613" s="3486"/>
      <c r="K1613" s="3486"/>
      <c r="L1613" s="3486"/>
      <c r="M1613" s="3486"/>
      <c r="N1613" s="3486"/>
      <c r="O1613" s="3486"/>
      <c r="P1613" s="3486"/>
      <c r="Q1613" s="3486"/>
      <c r="R1613" s="3486"/>
      <c r="S1613" s="3486"/>
      <c r="T1613" s="3486"/>
      <c r="U1613" s="3486"/>
      <c r="V1613" s="3486"/>
      <c r="W1613" s="3486"/>
      <c r="X1613" s="3486"/>
      <c r="Y1613" s="3943"/>
    </row>
    <row r="1614" spans="1:25" s="3492" customFormat="1">
      <c r="A1614" s="3485"/>
      <c r="B1614" s="3486"/>
      <c r="C1614" s="3486"/>
      <c r="D1614" s="3486"/>
      <c r="E1614" s="3486"/>
      <c r="F1614" s="3486"/>
      <c r="G1614" s="3486"/>
      <c r="H1614" s="3486"/>
      <c r="I1614" s="3486"/>
      <c r="J1614" s="3486"/>
      <c r="K1614" s="3486"/>
      <c r="L1614" s="3486"/>
      <c r="M1614" s="3486"/>
      <c r="N1614" s="3486"/>
      <c r="O1614" s="3486"/>
      <c r="P1614" s="3486"/>
      <c r="Q1614" s="3486"/>
      <c r="R1614" s="3486"/>
      <c r="S1614" s="3486"/>
      <c r="T1614" s="3486"/>
      <c r="U1614" s="3486"/>
      <c r="V1614" s="3486"/>
      <c r="W1614" s="3486"/>
      <c r="X1614" s="3486"/>
      <c r="Y1614" s="3943"/>
    </row>
    <row r="1615" spans="1:25" s="3492" customFormat="1">
      <c r="A1615" s="3485"/>
      <c r="B1615" s="3486"/>
      <c r="C1615" s="3486"/>
      <c r="D1615" s="3486"/>
      <c r="E1615" s="3486"/>
      <c r="F1615" s="3486"/>
      <c r="G1615" s="3486"/>
      <c r="H1615" s="3486"/>
      <c r="I1615" s="3486"/>
      <c r="J1615" s="3486"/>
      <c r="K1615" s="3486"/>
      <c r="L1615" s="3486"/>
      <c r="M1615" s="3486"/>
      <c r="N1615" s="3486"/>
      <c r="O1615" s="3486"/>
      <c r="P1615" s="3486"/>
      <c r="Q1615" s="3486"/>
      <c r="R1615" s="3486"/>
      <c r="S1615" s="3486"/>
      <c r="T1615" s="3486"/>
      <c r="U1615" s="3486"/>
      <c r="V1615" s="3486"/>
      <c r="W1615" s="3486"/>
      <c r="X1615" s="3486"/>
      <c r="Y1615" s="3943"/>
    </row>
    <row r="1616" spans="1:25" s="3492" customFormat="1">
      <c r="A1616" s="3485"/>
      <c r="B1616" s="3486"/>
      <c r="C1616" s="3486"/>
      <c r="D1616" s="3486"/>
      <c r="E1616" s="3486"/>
      <c r="F1616" s="3486"/>
      <c r="G1616" s="3486"/>
      <c r="H1616" s="3486"/>
      <c r="I1616" s="3486"/>
      <c r="J1616" s="3486"/>
      <c r="K1616" s="3486"/>
      <c r="L1616" s="3486"/>
      <c r="M1616" s="3486"/>
      <c r="N1616" s="3486"/>
      <c r="O1616" s="3486"/>
      <c r="P1616" s="3486"/>
      <c r="Q1616" s="3486"/>
      <c r="R1616" s="3486"/>
      <c r="S1616" s="3486"/>
      <c r="T1616" s="3486"/>
      <c r="U1616" s="3486"/>
      <c r="V1616" s="3486"/>
      <c r="W1616" s="3486"/>
      <c r="X1616" s="3486"/>
      <c r="Y1616" s="3943"/>
    </row>
    <row r="1617" spans="1:25" s="3492" customFormat="1">
      <c r="A1617" s="3485"/>
      <c r="B1617" s="3486"/>
      <c r="C1617" s="3486"/>
      <c r="D1617" s="3486"/>
      <c r="E1617" s="3486"/>
      <c r="F1617" s="3486"/>
      <c r="G1617" s="3486"/>
      <c r="H1617" s="3486"/>
      <c r="I1617" s="3486"/>
      <c r="J1617" s="3486"/>
      <c r="K1617" s="3486"/>
      <c r="L1617" s="3486"/>
      <c r="M1617" s="3486"/>
      <c r="N1617" s="3486"/>
      <c r="O1617" s="3486"/>
      <c r="P1617" s="3486"/>
      <c r="Q1617" s="3486"/>
      <c r="R1617" s="3486"/>
      <c r="S1617" s="3486"/>
      <c r="T1617" s="3486"/>
      <c r="U1617" s="3486"/>
      <c r="V1617" s="3486"/>
      <c r="W1617" s="3486"/>
      <c r="X1617" s="3486"/>
      <c r="Y1617" s="3943"/>
    </row>
    <row r="1618" spans="1:25" s="3492" customFormat="1">
      <c r="A1618" s="3485"/>
      <c r="B1618" s="3486"/>
      <c r="C1618" s="3486"/>
      <c r="D1618" s="3486"/>
      <c r="E1618" s="3486"/>
      <c r="F1618" s="3486"/>
      <c r="G1618" s="3486"/>
      <c r="H1618" s="3486"/>
      <c r="I1618" s="3486"/>
      <c r="J1618" s="3486"/>
      <c r="K1618" s="3486"/>
      <c r="L1618" s="3486"/>
      <c r="M1618" s="3486"/>
      <c r="N1618" s="3486"/>
      <c r="O1618" s="3486"/>
      <c r="P1618" s="3486"/>
      <c r="Q1618" s="3486"/>
      <c r="R1618" s="3486"/>
      <c r="S1618" s="3486"/>
      <c r="T1618" s="3486"/>
      <c r="U1618" s="3486"/>
      <c r="V1618" s="3486"/>
      <c r="W1618" s="3486"/>
      <c r="X1618" s="3486"/>
      <c r="Y1618" s="3943"/>
    </row>
    <row r="1619" spans="1:25" s="3492" customFormat="1">
      <c r="A1619" s="3485"/>
      <c r="B1619" s="3486"/>
      <c r="C1619" s="3486"/>
      <c r="D1619" s="3486"/>
      <c r="E1619" s="3486"/>
      <c r="F1619" s="3486"/>
      <c r="G1619" s="3486"/>
      <c r="H1619" s="3486"/>
      <c r="I1619" s="3486"/>
      <c r="J1619" s="3486"/>
      <c r="K1619" s="3486"/>
      <c r="L1619" s="3486"/>
      <c r="M1619" s="3486"/>
      <c r="N1619" s="3486"/>
      <c r="O1619" s="3486"/>
      <c r="P1619" s="3486"/>
      <c r="Q1619" s="3486"/>
      <c r="R1619" s="3486"/>
      <c r="S1619" s="3486"/>
      <c r="T1619" s="3486"/>
      <c r="U1619" s="3486"/>
      <c r="V1619" s="3486"/>
      <c r="W1619" s="3486"/>
      <c r="X1619" s="3486"/>
      <c r="Y1619" s="3943"/>
    </row>
    <row r="1620" spans="1:25" s="3492" customFormat="1">
      <c r="A1620" s="3485"/>
      <c r="B1620" s="3486"/>
      <c r="C1620" s="3486"/>
      <c r="D1620" s="3486"/>
      <c r="E1620" s="3486"/>
      <c r="F1620" s="3486"/>
      <c r="G1620" s="3486"/>
      <c r="H1620" s="3486"/>
      <c r="I1620" s="3486"/>
      <c r="J1620" s="3486"/>
      <c r="K1620" s="3486"/>
      <c r="L1620" s="3486"/>
      <c r="M1620" s="3486"/>
      <c r="N1620" s="3486"/>
      <c r="O1620" s="3486"/>
      <c r="P1620" s="3486"/>
      <c r="Q1620" s="3486"/>
      <c r="R1620" s="3486"/>
      <c r="S1620" s="3486"/>
      <c r="T1620" s="3486"/>
      <c r="U1620" s="3486"/>
      <c r="V1620" s="3486"/>
      <c r="W1620" s="3486"/>
      <c r="X1620" s="3486"/>
      <c r="Y1620" s="3943"/>
    </row>
    <row r="1621" spans="1:25" s="3492" customFormat="1">
      <c r="A1621" s="3485"/>
      <c r="B1621" s="3486"/>
      <c r="C1621" s="3486"/>
      <c r="D1621" s="3486"/>
      <c r="E1621" s="3486"/>
      <c r="F1621" s="3486"/>
      <c r="G1621" s="3486"/>
      <c r="H1621" s="3486"/>
      <c r="I1621" s="3486"/>
      <c r="J1621" s="3486"/>
      <c r="K1621" s="3486"/>
      <c r="L1621" s="3486"/>
      <c r="M1621" s="3486"/>
      <c r="N1621" s="3486"/>
      <c r="O1621" s="3486"/>
      <c r="P1621" s="3486"/>
      <c r="Q1621" s="3486"/>
      <c r="R1621" s="3486"/>
      <c r="S1621" s="3486"/>
      <c r="T1621" s="3486"/>
      <c r="U1621" s="3486"/>
      <c r="V1621" s="3486"/>
      <c r="W1621" s="3486"/>
      <c r="X1621" s="3486"/>
      <c r="Y1621" s="3943"/>
    </row>
    <row r="1622" spans="1:25" s="3492" customFormat="1">
      <c r="A1622" s="3485"/>
      <c r="B1622" s="3486"/>
      <c r="C1622" s="3486"/>
      <c r="D1622" s="3486"/>
      <c r="E1622" s="3486"/>
      <c r="F1622" s="3486"/>
      <c r="G1622" s="3486"/>
      <c r="H1622" s="3486"/>
      <c r="I1622" s="3486"/>
      <c r="J1622" s="3486"/>
      <c r="K1622" s="3486"/>
      <c r="L1622" s="3486"/>
      <c r="M1622" s="3486"/>
      <c r="N1622" s="3486"/>
      <c r="O1622" s="3486"/>
      <c r="P1622" s="3486"/>
      <c r="Q1622" s="3486"/>
      <c r="R1622" s="3486"/>
      <c r="S1622" s="3486"/>
      <c r="T1622" s="3486"/>
      <c r="U1622" s="3486"/>
      <c r="V1622" s="3486"/>
      <c r="W1622" s="3486"/>
      <c r="X1622" s="3486"/>
      <c r="Y1622" s="3943"/>
    </row>
    <row r="1623" spans="1:25" s="3492" customFormat="1">
      <c r="A1623" s="3485"/>
      <c r="B1623" s="3486"/>
      <c r="C1623" s="3486"/>
      <c r="D1623" s="3486"/>
      <c r="E1623" s="3486"/>
      <c r="F1623" s="3486"/>
      <c r="G1623" s="3486"/>
      <c r="H1623" s="3486"/>
      <c r="I1623" s="3486"/>
      <c r="J1623" s="3486"/>
      <c r="K1623" s="3486"/>
      <c r="L1623" s="3486"/>
      <c r="M1623" s="3486"/>
      <c r="N1623" s="3486"/>
      <c r="O1623" s="3486"/>
      <c r="P1623" s="3486"/>
      <c r="Q1623" s="3486"/>
      <c r="R1623" s="3486"/>
      <c r="S1623" s="3486"/>
      <c r="T1623" s="3486"/>
      <c r="U1623" s="3486"/>
      <c r="V1623" s="3486"/>
      <c r="W1623" s="3486"/>
      <c r="X1623" s="3486"/>
      <c r="Y1623" s="3943"/>
    </row>
    <row r="1624" spans="1:25" s="3492" customFormat="1">
      <c r="A1624" s="3485"/>
      <c r="B1624" s="3486"/>
      <c r="C1624" s="3486"/>
      <c r="D1624" s="3486"/>
      <c r="E1624" s="3486"/>
      <c r="F1624" s="3486"/>
      <c r="G1624" s="3486"/>
      <c r="H1624" s="3486"/>
      <c r="I1624" s="3486"/>
      <c r="J1624" s="3486"/>
      <c r="K1624" s="3486"/>
      <c r="L1624" s="3486"/>
      <c r="M1624" s="3486"/>
      <c r="N1624" s="3486"/>
      <c r="O1624" s="3486"/>
      <c r="P1624" s="3486"/>
      <c r="Q1624" s="3486"/>
      <c r="R1624" s="3486"/>
      <c r="S1624" s="3486"/>
      <c r="T1624" s="3486"/>
      <c r="U1624" s="3486"/>
      <c r="V1624" s="3486"/>
      <c r="W1624" s="3486"/>
      <c r="X1624" s="3486"/>
      <c r="Y1624" s="3943"/>
    </row>
    <row r="1625" spans="1:25" s="3492" customFormat="1">
      <c r="A1625" s="3485"/>
      <c r="B1625" s="3486"/>
      <c r="C1625" s="3486"/>
      <c r="D1625" s="3486"/>
      <c r="E1625" s="3486"/>
      <c r="F1625" s="3486"/>
      <c r="G1625" s="3486"/>
      <c r="H1625" s="3486"/>
      <c r="I1625" s="3486"/>
      <c r="J1625" s="3486"/>
      <c r="K1625" s="3486"/>
      <c r="L1625" s="3486"/>
      <c r="M1625" s="3486"/>
      <c r="N1625" s="3486"/>
      <c r="O1625" s="3486"/>
      <c r="P1625" s="3486"/>
      <c r="Q1625" s="3486"/>
      <c r="R1625" s="3486"/>
      <c r="S1625" s="3486"/>
      <c r="T1625" s="3486"/>
      <c r="U1625" s="3486"/>
      <c r="V1625" s="3486"/>
      <c r="W1625" s="3486"/>
      <c r="X1625" s="3486"/>
      <c r="Y1625" s="3943"/>
    </row>
    <row r="1626" spans="1:25" s="3492" customFormat="1">
      <c r="A1626" s="3485"/>
      <c r="B1626" s="3486"/>
      <c r="C1626" s="3486"/>
      <c r="D1626" s="3486"/>
      <c r="E1626" s="3486"/>
      <c r="F1626" s="3486"/>
      <c r="G1626" s="3486"/>
      <c r="H1626" s="3486"/>
      <c r="I1626" s="3486"/>
      <c r="J1626" s="3486"/>
      <c r="K1626" s="3486"/>
      <c r="L1626" s="3486"/>
      <c r="M1626" s="3486"/>
      <c r="N1626" s="3486"/>
      <c r="O1626" s="3486"/>
      <c r="P1626" s="3486"/>
      <c r="Q1626" s="3486"/>
      <c r="R1626" s="3486"/>
      <c r="S1626" s="3486"/>
      <c r="T1626" s="3486"/>
      <c r="U1626" s="3486"/>
      <c r="V1626" s="3486"/>
      <c r="W1626" s="3486"/>
      <c r="X1626" s="3486"/>
      <c r="Y1626" s="3943"/>
    </row>
    <row r="1627" spans="1:25" s="3492" customFormat="1">
      <c r="A1627" s="3485"/>
      <c r="B1627" s="3486"/>
      <c r="C1627" s="3486"/>
      <c r="D1627" s="3486"/>
      <c r="E1627" s="3486"/>
      <c r="F1627" s="3486"/>
      <c r="G1627" s="3486"/>
      <c r="H1627" s="3486"/>
      <c r="I1627" s="3486"/>
      <c r="J1627" s="3486"/>
      <c r="K1627" s="3486"/>
      <c r="L1627" s="3486"/>
      <c r="M1627" s="3486"/>
      <c r="N1627" s="3486"/>
      <c r="O1627" s="3486"/>
      <c r="P1627" s="3486"/>
      <c r="Q1627" s="3486"/>
      <c r="R1627" s="3486"/>
      <c r="S1627" s="3486"/>
      <c r="T1627" s="3486"/>
      <c r="U1627" s="3486"/>
      <c r="V1627" s="3486"/>
      <c r="W1627" s="3486"/>
      <c r="X1627" s="3486"/>
      <c r="Y1627" s="3943"/>
    </row>
    <row r="1628" spans="1:25" s="3492" customFormat="1">
      <c r="A1628" s="3485"/>
      <c r="B1628" s="3486"/>
      <c r="C1628" s="3486"/>
      <c r="D1628" s="3486"/>
      <c r="E1628" s="3486"/>
      <c r="F1628" s="3486"/>
      <c r="G1628" s="3486"/>
      <c r="H1628" s="3486"/>
      <c r="I1628" s="3486"/>
      <c r="J1628" s="3486"/>
      <c r="K1628" s="3486"/>
      <c r="L1628" s="3486"/>
      <c r="M1628" s="3486"/>
      <c r="N1628" s="3486"/>
      <c r="O1628" s="3486"/>
      <c r="P1628" s="3486"/>
      <c r="Q1628" s="3486"/>
      <c r="R1628" s="3486"/>
      <c r="S1628" s="3486"/>
      <c r="T1628" s="3486"/>
      <c r="U1628" s="3486"/>
      <c r="V1628" s="3486"/>
      <c r="W1628" s="3486"/>
      <c r="X1628" s="3486"/>
      <c r="Y1628" s="3943"/>
    </row>
    <row r="1629" spans="1:25" s="3492" customFormat="1">
      <c r="A1629" s="3485"/>
      <c r="B1629" s="3486"/>
      <c r="C1629" s="3486"/>
      <c r="D1629" s="3486"/>
      <c r="E1629" s="3486"/>
      <c r="F1629" s="3486"/>
      <c r="G1629" s="3486"/>
      <c r="H1629" s="3486"/>
      <c r="I1629" s="3486"/>
      <c r="J1629" s="3486"/>
      <c r="K1629" s="3486"/>
      <c r="L1629" s="3486"/>
      <c r="M1629" s="3486"/>
      <c r="N1629" s="3486"/>
      <c r="O1629" s="3486"/>
      <c r="P1629" s="3486"/>
      <c r="Q1629" s="3486"/>
      <c r="R1629" s="3486"/>
      <c r="S1629" s="3486"/>
      <c r="T1629" s="3486"/>
      <c r="U1629" s="3486"/>
      <c r="V1629" s="3486"/>
      <c r="W1629" s="3486"/>
      <c r="X1629" s="3486"/>
      <c r="Y1629" s="3943"/>
    </row>
    <row r="1630" spans="1:25" s="3492" customFormat="1">
      <c r="A1630" s="3485"/>
      <c r="B1630" s="3486"/>
      <c r="C1630" s="3486"/>
      <c r="D1630" s="3486"/>
      <c r="E1630" s="3486"/>
      <c r="F1630" s="3486"/>
      <c r="G1630" s="3486"/>
      <c r="H1630" s="3486"/>
      <c r="I1630" s="3486"/>
      <c r="J1630" s="3486"/>
      <c r="K1630" s="3486"/>
      <c r="L1630" s="3486"/>
      <c r="M1630" s="3486"/>
      <c r="N1630" s="3486"/>
      <c r="O1630" s="3486"/>
      <c r="P1630" s="3486"/>
      <c r="Q1630" s="3486"/>
      <c r="R1630" s="3486"/>
      <c r="S1630" s="3486"/>
      <c r="T1630" s="3486"/>
      <c r="U1630" s="3486"/>
      <c r="V1630" s="3486"/>
      <c r="W1630" s="3486"/>
      <c r="X1630" s="3486"/>
      <c r="Y1630" s="3943"/>
    </row>
    <row r="1631" spans="1:25" s="3492" customFormat="1">
      <c r="A1631" s="3485"/>
      <c r="B1631" s="3486"/>
      <c r="C1631" s="3486"/>
      <c r="D1631" s="3486"/>
      <c r="E1631" s="3486"/>
      <c r="F1631" s="3486"/>
      <c r="G1631" s="3486"/>
      <c r="H1631" s="3486"/>
      <c r="I1631" s="3486"/>
      <c r="J1631" s="3486"/>
      <c r="K1631" s="3486"/>
      <c r="L1631" s="3486"/>
      <c r="M1631" s="3486"/>
      <c r="N1631" s="3486"/>
      <c r="O1631" s="3486"/>
      <c r="P1631" s="3486"/>
      <c r="Q1631" s="3486"/>
      <c r="R1631" s="3486"/>
      <c r="S1631" s="3486"/>
      <c r="T1631" s="3486"/>
      <c r="U1631" s="3486"/>
      <c r="V1631" s="3486"/>
      <c r="W1631" s="3486"/>
      <c r="X1631" s="3486"/>
      <c r="Y1631" s="3943"/>
    </row>
    <row r="1632" spans="1:25" s="3492" customFormat="1">
      <c r="A1632" s="3485"/>
      <c r="B1632" s="3486"/>
      <c r="C1632" s="3486"/>
      <c r="D1632" s="3486"/>
      <c r="E1632" s="3486"/>
      <c r="F1632" s="3486"/>
      <c r="G1632" s="3486"/>
      <c r="H1632" s="3486"/>
      <c r="I1632" s="3486"/>
      <c r="J1632" s="3486"/>
      <c r="K1632" s="3486"/>
      <c r="L1632" s="3486"/>
      <c r="M1632" s="3486"/>
      <c r="N1632" s="3486"/>
      <c r="O1632" s="3486"/>
      <c r="P1632" s="3486"/>
      <c r="Q1632" s="3486"/>
      <c r="R1632" s="3486"/>
      <c r="S1632" s="3486"/>
      <c r="T1632" s="3486"/>
      <c r="U1632" s="3486"/>
      <c r="V1632" s="3486"/>
      <c r="W1632" s="3486"/>
      <c r="X1632" s="3486"/>
      <c r="Y1632" s="3943"/>
    </row>
    <row r="1633" spans="1:25" s="3492" customFormat="1">
      <c r="A1633" s="3485"/>
      <c r="B1633" s="3486"/>
      <c r="C1633" s="3486"/>
      <c r="D1633" s="3486"/>
      <c r="E1633" s="3486"/>
      <c r="F1633" s="3486"/>
      <c r="G1633" s="3486"/>
      <c r="H1633" s="3486"/>
      <c r="I1633" s="3486"/>
      <c r="J1633" s="3486"/>
      <c r="K1633" s="3486"/>
      <c r="L1633" s="3486"/>
      <c r="M1633" s="3486"/>
      <c r="N1633" s="3486"/>
      <c r="O1633" s="3486"/>
      <c r="P1633" s="3486"/>
      <c r="Q1633" s="3486"/>
      <c r="R1633" s="3486"/>
      <c r="S1633" s="3486"/>
      <c r="T1633" s="3486"/>
      <c r="U1633" s="3486"/>
      <c r="V1633" s="3486"/>
      <c r="W1633" s="3486"/>
      <c r="X1633" s="3486"/>
      <c r="Y1633" s="3943"/>
    </row>
    <row r="1634" spans="1:25" s="3492" customFormat="1">
      <c r="A1634" s="3485"/>
      <c r="B1634" s="3486"/>
      <c r="C1634" s="3486"/>
      <c r="D1634" s="3486"/>
      <c r="E1634" s="3486"/>
      <c r="F1634" s="3486"/>
      <c r="G1634" s="3486"/>
      <c r="H1634" s="3486"/>
      <c r="I1634" s="3486"/>
      <c r="J1634" s="3486"/>
      <c r="K1634" s="3486"/>
      <c r="L1634" s="3486"/>
      <c r="M1634" s="3486"/>
      <c r="N1634" s="3486"/>
      <c r="O1634" s="3486"/>
      <c r="P1634" s="3486"/>
      <c r="Q1634" s="3486"/>
      <c r="R1634" s="3486"/>
      <c r="S1634" s="3486"/>
      <c r="T1634" s="3486"/>
      <c r="U1634" s="3486"/>
      <c r="V1634" s="3486"/>
      <c r="W1634" s="3486"/>
      <c r="X1634" s="3486"/>
      <c r="Y1634" s="3943"/>
    </row>
    <row r="1635" spans="1:25" s="3492" customFormat="1">
      <c r="A1635" s="3485"/>
      <c r="B1635" s="3486"/>
      <c r="C1635" s="3486"/>
      <c r="D1635" s="3486"/>
      <c r="E1635" s="3486"/>
      <c r="F1635" s="3486"/>
      <c r="G1635" s="3486"/>
      <c r="H1635" s="3486"/>
      <c r="I1635" s="3486"/>
      <c r="J1635" s="3486"/>
      <c r="K1635" s="3486"/>
      <c r="L1635" s="3486"/>
      <c r="M1635" s="3486"/>
      <c r="N1635" s="3486"/>
      <c r="O1635" s="3486"/>
      <c r="P1635" s="3486"/>
      <c r="Q1635" s="3486"/>
      <c r="R1635" s="3486"/>
      <c r="S1635" s="3486"/>
      <c r="T1635" s="3486"/>
      <c r="U1635" s="3486"/>
      <c r="V1635" s="3486"/>
      <c r="W1635" s="3486"/>
      <c r="X1635" s="3486"/>
      <c r="Y1635" s="3943"/>
    </row>
    <row r="1636" spans="1:25" s="3492" customFormat="1">
      <c r="A1636" s="3485"/>
      <c r="B1636" s="3486"/>
      <c r="C1636" s="3486"/>
      <c r="D1636" s="3486"/>
      <c r="E1636" s="3486"/>
      <c r="F1636" s="3486"/>
      <c r="G1636" s="3486"/>
      <c r="H1636" s="3486"/>
      <c r="I1636" s="3486"/>
      <c r="J1636" s="3486"/>
      <c r="K1636" s="3486"/>
      <c r="L1636" s="3486"/>
      <c r="M1636" s="3486"/>
      <c r="N1636" s="3486"/>
      <c r="O1636" s="3486"/>
      <c r="P1636" s="3486"/>
      <c r="Q1636" s="3486"/>
      <c r="R1636" s="3486"/>
      <c r="S1636" s="3486"/>
      <c r="T1636" s="3486"/>
      <c r="U1636" s="3486"/>
      <c r="V1636" s="3486"/>
      <c r="W1636" s="3486"/>
      <c r="X1636" s="3486"/>
      <c r="Y1636" s="3943"/>
    </row>
    <row r="1637" spans="1:25" s="3492" customFormat="1">
      <c r="A1637" s="3485"/>
      <c r="B1637" s="3486"/>
      <c r="C1637" s="3486"/>
      <c r="D1637" s="3486"/>
      <c r="E1637" s="3486"/>
      <c r="F1637" s="3486"/>
      <c r="G1637" s="3486"/>
      <c r="H1637" s="3486"/>
      <c r="I1637" s="3486"/>
      <c r="J1637" s="3486"/>
      <c r="K1637" s="3486"/>
      <c r="L1637" s="3486"/>
      <c r="M1637" s="3486"/>
      <c r="N1637" s="3486"/>
      <c r="O1637" s="3486"/>
      <c r="P1637" s="3486"/>
      <c r="Q1637" s="3486"/>
      <c r="R1637" s="3486"/>
      <c r="S1637" s="3486"/>
      <c r="T1637" s="3486"/>
      <c r="U1637" s="3486"/>
      <c r="V1637" s="3486"/>
      <c r="W1637" s="3486"/>
      <c r="X1637" s="3486"/>
      <c r="Y1637" s="3943"/>
    </row>
    <row r="1638" spans="1:25" s="3492" customFormat="1">
      <c r="A1638" s="3485"/>
      <c r="B1638" s="3486"/>
      <c r="C1638" s="3486"/>
      <c r="D1638" s="3486"/>
      <c r="E1638" s="3486"/>
      <c r="F1638" s="3486"/>
      <c r="G1638" s="3486"/>
      <c r="H1638" s="3486"/>
      <c r="I1638" s="3486"/>
      <c r="J1638" s="3486"/>
      <c r="K1638" s="3486"/>
      <c r="L1638" s="3486"/>
      <c r="M1638" s="3486"/>
      <c r="N1638" s="3486"/>
      <c r="O1638" s="3486"/>
      <c r="P1638" s="3486"/>
      <c r="Q1638" s="3486"/>
      <c r="R1638" s="3486"/>
      <c r="S1638" s="3486"/>
      <c r="T1638" s="3486"/>
      <c r="U1638" s="3486"/>
      <c r="V1638" s="3486"/>
      <c r="W1638" s="3486"/>
      <c r="X1638" s="3486"/>
      <c r="Y1638" s="3943"/>
    </row>
    <row r="1639" spans="1:25" s="3492" customFormat="1">
      <c r="A1639" s="3485"/>
      <c r="B1639" s="3486"/>
      <c r="C1639" s="3486"/>
      <c r="D1639" s="3486"/>
      <c r="E1639" s="3486"/>
      <c r="F1639" s="3486"/>
      <c r="G1639" s="3486"/>
      <c r="H1639" s="3486"/>
      <c r="I1639" s="3486"/>
      <c r="J1639" s="3486"/>
      <c r="K1639" s="3486"/>
      <c r="L1639" s="3486"/>
      <c r="M1639" s="3486"/>
      <c r="N1639" s="3486"/>
      <c r="O1639" s="3486"/>
      <c r="P1639" s="3486"/>
      <c r="Q1639" s="3486"/>
      <c r="R1639" s="3486"/>
      <c r="S1639" s="3486"/>
      <c r="T1639" s="3486"/>
      <c r="U1639" s="3486"/>
      <c r="V1639" s="3486"/>
      <c r="W1639" s="3486"/>
      <c r="X1639" s="3486"/>
      <c r="Y1639" s="3943"/>
    </row>
    <row r="1640" spans="1:25" s="3492" customFormat="1">
      <c r="A1640" s="3485"/>
      <c r="B1640" s="3486"/>
      <c r="C1640" s="3486"/>
      <c r="D1640" s="3486"/>
      <c r="E1640" s="3486"/>
      <c r="F1640" s="3486"/>
      <c r="G1640" s="3486"/>
      <c r="H1640" s="3486"/>
      <c r="I1640" s="3486"/>
      <c r="J1640" s="3486"/>
      <c r="K1640" s="3486"/>
      <c r="L1640" s="3486"/>
      <c r="M1640" s="3486"/>
      <c r="N1640" s="3486"/>
      <c r="O1640" s="3486"/>
      <c r="P1640" s="3486"/>
      <c r="Q1640" s="3486"/>
      <c r="R1640" s="3486"/>
      <c r="S1640" s="3486"/>
      <c r="T1640" s="3486"/>
      <c r="U1640" s="3486"/>
      <c r="V1640" s="3486"/>
      <c r="W1640" s="3486"/>
      <c r="X1640" s="3486"/>
      <c r="Y1640" s="3943"/>
    </row>
    <row r="1641" spans="1:25" s="3492" customFormat="1">
      <c r="A1641" s="3485"/>
      <c r="B1641" s="3486"/>
      <c r="C1641" s="3486"/>
      <c r="D1641" s="3486"/>
      <c r="E1641" s="3486"/>
      <c r="F1641" s="3486"/>
      <c r="G1641" s="3486"/>
      <c r="H1641" s="3486"/>
      <c r="I1641" s="3486"/>
      <c r="J1641" s="3486"/>
      <c r="K1641" s="3486"/>
      <c r="L1641" s="3486"/>
      <c r="M1641" s="3486"/>
      <c r="N1641" s="3486"/>
      <c r="O1641" s="3486"/>
      <c r="P1641" s="3486"/>
      <c r="Q1641" s="3486"/>
      <c r="R1641" s="3486"/>
      <c r="S1641" s="3486"/>
      <c r="T1641" s="3486"/>
      <c r="U1641" s="3486"/>
      <c r="V1641" s="3486"/>
      <c r="W1641" s="3486"/>
      <c r="X1641" s="3486"/>
      <c r="Y1641" s="3943"/>
    </row>
    <row r="1642" spans="1:25" s="3492" customFormat="1">
      <c r="A1642" s="3485"/>
      <c r="B1642" s="3486"/>
      <c r="C1642" s="3486"/>
      <c r="D1642" s="3486"/>
      <c r="E1642" s="3486"/>
      <c r="F1642" s="3486"/>
      <c r="G1642" s="3486"/>
      <c r="H1642" s="3486"/>
      <c r="I1642" s="3486"/>
      <c r="J1642" s="3486"/>
      <c r="K1642" s="3486"/>
      <c r="L1642" s="3486"/>
      <c r="M1642" s="3486"/>
      <c r="N1642" s="3486"/>
      <c r="O1642" s="3486"/>
      <c r="P1642" s="3486"/>
      <c r="Q1642" s="3486"/>
      <c r="R1642" s="3486"/>
      <c r="S1642" s="3486"/>
      <c r="T1642" s="3486"/>
      <c r="U1642" s="3486"/>
      <c r="V1642" s="3486"/>
      <c r="W1642" s="3486"/>
      <c r="X1642" s="3486"/>
      <c r="Y1642" s="3943"/>
    </row>
    <row r="1643" spans="1:25" s="3492" customFormat="1">
      <c r="A1643" s="3485"/>
      <c r="B1643" s="3486"/>
      <c r="C1643" s="3486"/>
      <c r="D1643" s="3486"/>
      <c r="E1643" s="3486"/>
      <c r="F1643" s="3486"/>
      <c r="G1643" s="3486"/>
      <c r="H1643" s="3486"/>
      <c r="I1643" s="3486"/>
      <c r="J1643" s="3486"/>
      <c r="K1643" s="3486"/>
      <c r="L1643" s="3486"/>
      <c r="M1643" s="3486"/>
      <c r="N1643" s="3486"/>
      <c r="O1643" s="3486"/>
      <c r="P1643" s="3486"/>
      <c r="Q1643" s="3486"/>
      <c r="R1643" s="3486"/>
      <c r="S1643" s="3486"/>
      <c r="T1643" s="3486"/>
      <c r="U1643" s="3486"/>
      <c r="V1643" s="3486"/>
      <c r="W1643" s="3486"/>
      <c r="X1643" s="3486"/>
      <c r="Y1643" s="3943"/>
    </row>
    <row r="1644" spans="1:25" s="3492" customFormat="1">
      <c r="A1644" s="3485"/>
      <c r="B1644" s="3486"/>
      <c r="C1644" s="3486"/>
      <c r="D1644" s="3486"/>
      <c r="E1644" s="3486"/>
      <c r="F1644" s="3486"/>
      <c r="G1644" s="3486"/>
      <c r="H1644" s="3486"/>
      <c r="I1644" s="3486"/>
      <c r="J1644" s="3486"/>
      <c r="K1644" s="3486"/>
      <c r="L1644" s="3486"/>
      <c r="M1644" s="3486"/>
      <c r="N1644" s="3486"/>
      <c r="O1644" s="3486"/>
      <c r="P1644" s="3486"/>
      <c r="Q1644" s="3486"/>
      <c r="R1644" s="3486"/>
      <c r="S1644" s="3486"/>
      <c r="T1644" s="3486"/>
      <c r="U1644" s="3486"/>
      <c r="V1644" s="3486"/>
      <c r="W1644" s="3486"/>
      <c r="X1644" s="3486"/>
      <c r="Y1644" s="3943"/>
    </row>
    <row r="1645" spans="1:25" s="3492" customFormat="1">
      <c r="A1645" s="3485"/>
      <c r="B1645" s="3486"/>
      <c r="C1645" s="3486"/>
      <c r="D1645" s="3486"/>
      <c r="E1645" s="3486"/>
      <c r="F1645" s="3486"/>
      <c r="G1645" s="3486"/>
      <c r="H1645" s="3486"/>
      <c r="I1645" s="3486"/>
      <c r="J1645" s="3486"/>
      <c r="K1645" s="3486"/>
      <c r="L1645" s="3486"/>
      <c r="M1645" s="3486"/>
      <c r="N1645" s="3486"/>
      <c r="O1645" s="3486"/>
      <c r="P1645" s="3486"/>
      <c r="Q1645" s="3486"/>
      <c r="R1645" s="3486"/>
      <c r="S1645" s="3486"/>
      <c r="T1645" s="3486"/>
      <c r="U1645" s="3486"/>
      <c r="V1645" s="3486"/>
      <c r="W1645" s="3486"/>
      <c r="X1645" s="3486"/>
      <c r="Y1645" s="3943"/>
    </row>
    <row r="1646" spans="1:25" s="3492" customFormat="1">
      <c r="A1646" s="3485"/>
      <c r="B1646" s="3486"/>
      <c r="C1646" s="3486"/>
      <c r="D1646" s="3486"/>
      <c r="E1646" s="3486"/>
      <c r="F1646" s="3486"/>
      <c r="G1646" s="3486"/>
      <c r="H1646" s="3486"/>
      <c r="I1646" s="3486"/>
      <c r="J1646" s="3486"/>
      <c r="K1646" s="3486"/>
      <c r="L1646" s="3486"/>
      <c r="M1646" s="3486"/>
      <c r="N1646" s="3486"/>
      <c r="O1646" s="3486"/>
      <c r="P1646" s="3486"/>
      <c r="Q1646" s="3486"/>
      <c r="R1646" s="3486"/>
      <c r="S1646" s="3486"/>
      <c r="T1646" s="3486"/>
      <c r="U1646" s="3486"/>
      <c r="V1646" s="3486"/>
      <c r="W1646" s="3486"/>
      <c r="X1646" s="3486"/>
      <c r="Y1646" s="3943"/>
    </row>
    <row r="1647" spans="1:25" s="3492" customFormat="1">
      <c r="A1647" s="3485"/>
      <c r="B1647" s="3486"/>
      <c r="C1647" s="3486"/>
      <c r="D1647" s="3486"/>
      <c r="E1647" s="3486"/>
      <c r="F1647" s="3486"/>
      <c r="G1647" s="3486"/>
      <c r="H1647" s="3486"/>
      <c r="I1647" s="3486"/>
      <c r="J1647" s="3486"/>
      <c r="K1647" s="3486"/>
      <c r="L1647" s="3486"/>
      <c r="M1647" s="3486"/>
      <c r="N1647" s="3486"/>
      <c r="O1647" s="3486"/>
      <c r="P1647" s="3486"/>
      <c r="Q1647" s="3486"/>
      <c r="R1647" s="3486"/>
      <c r="S1647" s="3486"/>
      <c r="T1647" s="3486"/>
      <c r="U1647" s="3486"/>
      <c r="V1647" s="3486"/>
      <c r="W1647" s="3486"/>
      <c r="X1647" s="3486"/>
      <c r="Y1647" s="3943"/>
    </row>
    <row r="1648" spans="1:25" s="3492" customFormat="1">
      <c r="A1648" s="3485"/>
      <c r="B1648" s="3486"/>
      <c r="C1648" s="3486"/>
      <c r="D1648" s="3486"/>
      <c r="E1648" s="3486"/>
      <c r="F1648" s="3486"/>
      <c r="G1648" s="3486"/>
      <c r="H1648" s="3486"/>
      <c r="I1648" s="3486"/>
      <c r="J1648" s="3486"/>
      <c r="K1648" s="3486"/>
      <c r="L1648" s="3486"/>
      <c r="M1648" s="3486"/>
      <c r="N1648" s="3486"/>
      <c r="O1648" s="3486"/>
      <c r="P1648" s="3486"/>
      <c r="Q1648" s="3486"/>
      <c r="R1648" s="3486"/>
      <c r="S1648" s="3486"/>
      <c r="T1648" s="3486"/>
      <c r="U1648" s="3486"/>
      <c r="V1648" s="3486"/>
      <c r="W1648" s="3486"/>
      <c r="X1648" s="3486"/>
      <c r="Y1648" s="3943"/>
    </row>
    <row r="1649" spans="1:25" s="3492" customFormat="1">
      <c r="A1649" s="3485"/>
      <c r="B1649" s="3486"/>
      <c r="C1649" s="3486"/>
      <c r="D1649" s="3486"/>
      <c r="E1649" s="3486"/>
      <c r="F1649" s="3486"/>
      <c r="G1649" s="3486"/>
      <c r="H1649" s="3486"/>
      <c r="I1649" s="3486"/>
      <c r="J1649" s="3486"/>
      <c r="K1649" s="3486"/>
      <c r="L1649" s="3486"/>
      <c r="M1649" s="3486"/>
      <c r="N1649" s="3486"/>
      <c r="O1649" s="3486"/>
      <c r="P1649" s="3486"/>
      <c r="Q1649" s="3486"/>
      <c r="R1649" s="3486"/>
      <c r="S1649" s="3486"/>
      <c r="T1649" s="3486"/>
      <c r="U1649" s="3486"/>
      <c r="V1649" s="3486"/>
      <c r="W1649" s="3486"/>
      <c r="X1649" s="3486"/>
      <c r="Y1649" s="3943"/>
    </row>
    <row r="1650" spans="1:25" s="3492" customFormat="1">
      <c r="A1650" s="3485"/>
      <c r="B1650" s="3486"/>
      <c r="C1650" s="3486"/>
      <c r="D1650" s="3486"/>
      <c r="E1650" s="3486"/>
      <c r="F1650" s="3486"/>
      <c r="G1650" s="3486"/>
      <c r="H1650" s="3486"/>
      <c r="I1650" s="3486"/>
      <c r="J1650" s="3486"/>
      <c r="K1650" s="3486"/>
      <c r="L1650" s="3486"/>
      <c r="M1650" s="3486"/>
      <c r="N1650" s="3486"/>
      <c r="O1650" s="3486"/>
      <c r="P1650" s="3486"/>
      <c r="Q1650" s="3486"/>
      <c r="R1650" s="3486"/>
      <c r="S1650" s="3486"/>
      <c r="T1650" s="3486"/>
      <c r="U1650" s="3486"/>
      <c r="V1650" s="3486"/>
      <c r="W1650" s="3486"/>
      <c r="X1650" s="3486"/>
      <c r="Y1650" s="3943"/>
    </row>
    <row r="1651" spans="1:25" s="3492" customFormat="1">
      <c r="A1651" s="3485"/>
      <c r="B1651" s="3486"/>
      <c r="C1651" s="3486"/>
      <c r="D1651" s="3486"/>
      <c r="E1651" s="3486"/>
      <c r="F1651" s="3486"/>
      <c r="G1651" s="3486"/>
      <c r="H1651" s="3486"/>
      <c r="I1651" s="3486"/>
      <c r="J1651" s="3486"/>
      <c r="K1651" s="3486"/>
      <c r="L1651" s="3486"/>
      <c r="M1651" s="3486"/>
      <c r="N1651" s="3486"/>
      <c r="O1651" s="3486"/>
      <c r="P1651" s="3486"/>
      <c r="Q1651" s="3486"/>
      <c r="R1651" s="3486"/>
      <c r="S1651" s="3486"/>
      <c r="T1651" s="3486"/>
      <c r="U1651" s="3486"/>
      <c r="V1651" s="3486"/>
      <c r="W1651" s="3486"/>
      <c r="X1651" s="3486"/>
      <c r="Y1651" s="3943"/>
    </row>
    <row r="1652" spans="1:25" s="3492" customFormat="1">
      <c r="A1652" s="3485"/>
      <c r="B1652" s="3486"/>
      <c r="C1652" s="3486"/>
      <c r="D1652" s="3486"/>
      <c r="E1652" s="3486"/>
      <c r="F1652" s="3486"/>
      <c r="G1652" s="3486"/>
      <c r="H1652" s="3486"/>
      <c r="I1652" s="3486"/>
      <c r="J1652" s="3486"/>
      <c r="K1652" s="3486"/>
      <c r="L1652" s="3486"/>
      <c r="M1652" s="3486"/>
      <c r="N1652" s="3486"/>
      <c r="O1652" s="3486"/>
      <c r="P1652" s="3486"/>
      <c r="Q1652" s="3486"/>
      <c r="R1652" s="3486"/>
      <c r="S1652" s="3486"/>
      <c r="T1652" s="3486"/>
      <c r="U1652" s="3486"/>
      <c r="V1652" s="3486"/>
      <c r="W1652" s="3486"/>
      <c r="X1652" s="3486"/>
      <c r="Y1652" s="3943"/>
    </row>
    <row r="1653" spans="1:25" s="3492" customFormat="1">
      <c r="A1653" s="3485"/>
      <c r="B1653" s="3486"/>
      <c r="C1653" s="3486"/>
      <c r="D1653" s="3486"/>
      <c r="E1653" s="3486"/>
      <c r="F1653" s="3486"/>
      <c r="G1653" s="3486"/>
      <c r="H1653" s="3486"/>
      <c r="I1653" s="3486"/>
      <c r="J1653" s="3486"/>
      <c r="K1653" s="3486"/>
      <c r="L1653" s="3486"/>
      <c r="M1653" s="3486"/>
      <c r="N1653" s="3486"/>
      <c r="O1653" s="3486"/>
      <c r="P1653" s="3486"/>
      <c r="Q1653" s="3486"/>
      <c r="R1653" s="3486"/>
      <c r="S1653" s="3486"/>
      <c r="T1653" s="3486"/>
      <c r="U1653" s="3486"/>
      <c r="V1653" s="3486"/>
      <c r="W1653" s="3486"/>
      <c r="X1653" s="3486"/>
      <c r="Y1653" s="3943"/>
    </row>
    <row r="1654" spans="1:25" s="3492" customFormat="1">
      <c r="A1654" s="3485"/>
      <c r="B1654" s="3486"/>
      <c r="C1654" s="3486"/>
      <c r="D1654" s="3486"/>
      <c r="E1654" s="3486"/>
      <c r="F1654" s="3486"/>
      <c r="G1654" s="3486"/>
      <c r="H1654" s="3486"/>
      <c r="I1654" s="3486"/>
      <c r="J1654" s="3486"/>
      <c r="K1654" s="3486"/>
      <c r="L1654" s="3486"/>
      <c r="M1654" s="3486"/>
      <c r="N1654" s="3486"/>
      <c r="O1654" s="3486"/>
      <c r="P1654" s="3486"/>
      <c r="Q1654" s="3486"/>
      <c r="R1654" s="3486"/>
      <c r="S1654" s="3486"/>
      <c r="T1654" s="3486"/>
      <c r="U1654" s="3486"/>
      <c r="V1654" s="3486"/>
      <c r="W1654" s="3486"/>
      <c r="X1654" s="3486"/>
      <c r="Y1654" s="3943"/>
    </row>
    <row r="1655" spans="1:25" s="3492" customFormat="1">
      <c r="A1655" s="3485"/>
      <c r="B1655" s="3486"/>
      <c r="C1655" s="3486"/>
      <c r="D1655" s="3486"/>
      <c r="E1655" s="3486"/>
      <c r="F1655" s="3486"/>
      <c r="G1655" s="3486"/>
      <c r="H1655" s="3486"/>
      <c r="I1655" s="3486"/>
      <c r="J1655" s="3486"/>
      <c r="K1655" s="3486"/>
      <c r="L1655" s="3486"/>
      <c r="M1655" s="3486"/>
      <c r="N1655" s="3486"/>
      <c r="O1655" s="3486"/>
      <c r="P1655" s="3486"/>
      <c r="Q1655" s="3486"/>
      <c r="R1655" s="3486"/>
      <c r="S1655" s="3486"/>
      <c r="T1655" s="3486"/>
      <c r="U1655" s="3486"/>
      <c r="V1655" s="3486"/>
      <c r="W1655" s="3486"/>
      <c r="X1655" s="3486"/>
      <c r="Y1655" s="3943"/>
    </row>
    <row r="1656" spans="1:25" s="3492" customFormat="1">
      <c r="A1656" s="3485"/>
      <c r="B1656" s="3486"/>
      <c r="C1656" s="3486"/>
      <c r="D1656" s="3486"/>
      <c r="E1656" s="3486"/>
      <c r="F1656" s="3486"/>
      <c r="G1656" s="3486"/>
      <c r="H1656" s="3486"/>
      <c r="I1656" s="3486"/>
      <c r="J1656" s="3486"/>
      <c r="K1656" s="3486"/>
      <c r="L1656" s="3486"/>
      <c r="M1656" s="3486"/>
      <c r="N1656" s="3486"/>
      <c r="O1656" s="3486"/>
      <c r="P1656" s="3486"/>
      <c r="Q1656" s="3486"/>
      <c r="R1656" s="3486"/>
      <c r="S1656" s="3486"/>
      <c r="T1656" s="3486"/>
      <c r="U1656" s="3486"/>
      <c r="V1656" s="3486"/>
      <c r="W1656" s="3486"/>
      <c r="X1656" s="3486"/>
      <c r="Y1656" s="3943"/>
    </row>
    <row r="1657" spans="1:25" s="3492" customFormat="1">
      <c r="A1657" s="3485"/>
      <c r="B1657" s="3486"/>
      <c r="C1657" s="3486"/>
      <c r="D1657" s="3486"/>
      <c r="E1657" s="3486"/>
      <c r="F1657" s="3486"/>
      <c r="G1657" s="3486"/>
      <c r="H1657" s="3486"/>
      <c r="I1657" s="3486"/>
      <c r="J1657" s="3486"/>
      <c r="K1657" s="3486"/>
      <c r="L1657" s="3486"/>
      <c r="M1657" s="3486"/>
      <c r="N1657" s="3486"/>
      <c r="O1657" s="3486"/>
      <c r="P1657" s="3486"/>
      <c r="Q1657" s="3486"/>
      <c r="R1657" s="3486"/>
      <c r="S1657" s="3486"/>
      <c r="T1657" s="3486"/>
      <c r="U1657" s="3486"/>
      <c r="V1657" s="3486"/>
      <c r="W1657" s="3486"/>
      <c r="X1657" s="3486"/>
      <c r="Y1657" s="3943"/>
    </row>
    <row r="1658" spans="1:25" s="3492" customFormat="1">
      <c r="A1658" s="3485"/>
      <c r="B1658" s="3486"/>
      <c r="C1658" s="3486"/>
      <c r="D1658" s="3486"/>
      <c r="E1658" s="3486"/>
      <c r="F1658" s="3486"/>
      <c r="G1658" s="3486"/>
      <c r="H1658" s="3486"/>
      <c r="I1658" s="3486"/>
      <c r="J1658" s="3486"/>
      <c r="K1658" s="3486"/>
      <c r="L1658" s="3486"/>
      <c r="M1658" s="3486"/>
      <c r="N1658" s="3486"/>
      <c r="O1658" s="3486"/>
      <c r="P1658" s="3486"/>
      <c r="Q1658" s="3486"/>
      <c r="R1658" s="3486"/>
      <c r="S1658" s="3486"/>
      <c r="T1658" s="3486"/>
      <c r="U1658" s="3486"/>
      <c r="V1658" s="3486"/>
      <c r="W1658" s="3486"/>
      <c r="X1658" s="3486"/>
      <c r="Y1658" s="3943"/>
    </row>
    <row r="1659" spans="1:25" s="3492" customFormat="1">
      <c r="A1659" s="3485"/>
      <c r="B1659" s="3486"/>
      <c r="C1659" s="3486"/>
      <c r="D1659" s="3486"/>
      <c r="E1659" s="3486"/>
      <c r="F1659" s="3486"/>
      <c r="G1659" s="3486"/>
      <c r="H1659" s="3486"/>
      <c r="I1659" s="3486"/>
      <c r="J1659" s="3486"/>
      <c r="K1659" s="3486"/>
      <c r="L1659" s="3486"/>
      <c r="M1659" s="3486"/>
      <c r="N1659" s="3486"/>
      <c r="O1659" s="3486"/>
      <c r="P1659" s="3486"/>
      <c r="Q1659" s="3486"/>
      <c r="R1659" s="3486"/>
      <c r="S1659" s="3486"/>
      <c r="T1659" s="3486"/>
      <c r="U1659" s="3486"/>
      <c r="V1659" s="3486"/>
      <c r="W1659" s="3486"/>
      <c r="X1659" s="3486"/>
      <c r="Y1659" s="3943"/>
    </row>
    <row r="1660" spans="1:25" s="3492" customFormat="1">
      <c r="A1660" s="3485"/>
      <c r="B1660" s="3486"/>
      <c r="C1660" s="3486"/>
      <c r="D1660" s="3486"/>
      <c r="E1660" s="3486"/>
      <c r="F1660" s="3486"/>
      <c r="G1660" s="3486"/>
      <c r="H1660" s="3486"/>
      <c r="I1660" s="3486"/>
      <c r="J1660" s="3486"/>
      <c r="K1660" s="3486"/>
      <c r="L1660" s="3486"/>
      <c r="M1660" s="3486"/>
      <c r="N1660" s="3486"/>
      <c r="O1660" s="3486"/>
      <c r="P1660" s="3486"/>
      <c r="Q1660" s="3486"/>
      <c r="R1660" s="3486"/>
      <c r="S1660" s="3486"/>
      <c r="T1660" s="3486"/>
      <c r="U1660" s="3486"/>
      <c r="V1660" s="3486"/>
      <c r="W1660" s="3486"/>
      <c r="X1660" s="3486"/>
      <c r="Y1660" s="3943"/>
    </row>
    <row r="1661" spans="1:25" s="3492" customFormat="1">
      <c r="A1661" s="3485"/>
      <c r="B1661" s="3486"/>
      <c r="C1661" s="3486"/>
      <c r="D1661" s="3486"/>
      <c r="E1661" s="3486"/>
      <c r="F1661" s="3486"/>
      <c r="G1661" s="3486"/>
      <c r="H1661" s="3486"/>
      <c r="I1661" s="3486"/>
      <c r="J1661" s="3486"/>
      <c r="K1661" s="3486"/>
      <c r="L1661" s="3486"/>
      <c r="M1661" s="3486"/>
      <c r="N1661" s="3486"/>
      <c r="O1661" s="3486"/>
      <c r="P1661" s="3486"/>
      <c r="Q1661" s="3486"/>
      <c r="R1661" s="3486"/>
      <c r="S1661" s="3486"/>
      <c r="T1661" s="3486"/>
      <c r="U1661" s="3486"/>
      <c r="V1661" s="3486"/>
      <c r="W1661" s="3486"/>
      <c r="X1661" s="3486"/>
      <c r="Y1661" s="3943"/>
    </row>
    <row r="1662" spans="1:25" s="3492" customFormat="1">
      <c r="A1662" s="3485"/>
      <c r="B1662" s="3486"/>
      <c r="C1662" s="3486"/>
      <c r="D1662" s="3486"/>
      <c r="E1662" s="3486"/>
      <c r="F1662" s="3486"/>
      <c r="G1662" s="3486"/>
      <c r="H1662" s="3486"/>
      <c r="I1662" s="3486"/>
      <c r="J1662" s="3486"/>
      <c r="K1662" s="3486"/>
      <c r="L1662" s="3486"/>
      <c r="M1662" s="3486"/>
      <c r="N1662" s="3486"/>
      <c r="O1662" s="3486"/>
      <c r="P1662" s="3486"/>
      <c r="Q1662" s="3486"/>
      <c r="R1662" s="3486"/>
      <c r="S1662" s="3486"/>
      <c r="T1662" s="3486"/>
      <c r="U1662" s="3486"/>
      <c r="V1662" s="3486"/>
      <c r="W1662" s="3486"/>
      <c r="X1662" s="3486"/>
      <c r="Y1662" s="3943"/>
    </row>
    <row r="1663" spans="1:25" s="3492" customFormat="1">
      <c r="A1663" s="3485"/>
      <c r="B1663" s="3486"/>
      <c r="C1663" s="3486"/>
      <c r="D1663" s="3486"/>
      <c r="E1663" s="3486"/>
      <c r="F1663" s="3486"/>
      <c r="G1663" s="3486"/>
      <c r="H1663" s="3486"/>
      <c r="I1663" s="3486"/>
      <c r="J1663" s="3486"/>
      <c r="K1663" s="3486"/>
      <c r="L1663" s="3486"/>
      <c r="M1663" s="3486"/>
      <c r="N1663" s="3486"/>
      <c r="O1663" s="3486"/>
      <c r="P1663" s="3486"/>
      <c r="Q1663" s="3486"/>
      <c r="R1663" s="3486"/>
      <c r="S1663" s="3486"/>
      <c r="T1663" s="3486"/>
      <c r="U1663" s="3486"/>
      <c r="V1663" s="3486"/>
      <c r="W1663" s="3486"/>
      <c r="X1663" s="3486"/>
      <c r="Y1663" s="3943"/>
    </row>
    <row r="1664" spans="1:25" s="3492" customFormat="1">
      <c r="A1664" s="3485"/>
      <c r="B1664" s="3486"/>
      <c r="C1664" s="3486"/>
      <c r="D1664" s="3486"/>
      <c r="E1664" s="3486"/>
      <c r="F1664" s="3486"/>
      <c r="G1664" s="3486"/>
      <c r="H1664" s="3486"/>
      <c r="I1664" s="3486"/>
      <c r="J1664" s="3486"/>
      <c r="K1664" s="3486"/>
      <c r="L1664" s="3486"/>
      <c r="M1664" s="3486"/>
      <c r="N1664" s="3486"/>
      <c r="O1664" s="3486"/>
      <c r="P1664" s="3486"/>
      <c r="Q1664" s="3486"/>
      <c r="R1664" s="3486"/>
      <c r="S1664" s="3486"/>
      <c r="T1664" s="3486"/>
      <c r="U1664" s="3486"/>
      <c r="V1664" s="3486"/>
      <c r="W1664" s="3486"/>
      <c r="X1664" s="3486"/>
      <c r="Y1664" s="3943"/>
    </row>
    <row r="1665" spans="1:25" s="3492" customFormat="1">
      <c r="A1665" s="3485"/>
      <c r="B1665" s="3486"/>
      <c r="C1665" s="3486"/>
      <c r="D1665" s="3486"/>
      <c r="E1665" s="3486"/>
      <c r="F1665" s="3486"/>
      <c r="G1665" s="3486"/>
      <c r="H1665" s="3486"/>
      <c r="I1665" s="3486"/>
      <c r="J1665" s="3486"/>
      <c r="K1665" s="3486"/>
      <c r="L1665" s="3486"/>
      <c r="M1665" s="3486"/>
      <c r="N1665" s="3486"/>
      <c r="O1665" s="3486"/>
      <c r="P1665" s="3486"/>
      <c r="Q1665" s="3486"/>
      <c r="R1665" s="3486"/>
      <c r="S1665" s="3486"/>
      <c r="T1665" s="3486"/>
      <c r="U1665" s="3486"/>
      <c r="V1665" s="3486"/>
      <c r="W1665" s="3486"/>
      <c r="X1665" s="3486"/>
      <c r="Y1665" s="3943"/>
    </row>
    <row r="1666" spans="1:25" s="3492" customFormat="1">
      <c r="A1666" s="3485"/>
      <c r="B1666" s="3486"/>
      <c r="C1666" s="3486"/>
      <c r="D1666" s="3486"/>
      <c r="E1666" s="3486"/>
      <c r="F1666" s="3486"/>
      <c r="G1666" s="3486"/>
      <c r="H1666" s="3486"/>
      <c r="I1666" s="3486"/>
      <c r="J1666" s="3486"/>
      <c r="K1666" s="3486"/>
      <c r="L1666" s="3486"/>
      <c r="M1666" s="3486"/>
      <c r="N1666" s="3486"/>
      <c r="O1666" s="3486"/>
      <c r="P1666" s="3486"/>
      <c r="Q1666" s="3486"/>
      <c r="R1666" s="3486"/>
      <c r="S1666" s="3486"/>
      <c r="T1666" s="3486"/>
      <c r="U1666" s="3486"/>
      <c r="V1666" s="3486"/>
      <c r="W1666" s="3486"/>
      <c r="X1666" s="3486"/>
      <c r="Y1666" s="3943"/>
    </row>
    <row r="1667" spans="1:25" s="3492" customFormat="1">
      <c r="A1667" s="3485"/>
      <c r="B1667" s="3486"/>
      <c r="C1667" s="3486"/>
      <c r="D1667" s="3486"/>
      <c r="E1667" s="3486"/>
      <c r="F1667" s="3486"/>
      <c r="G1667" s="3486"/>
      <c r="H1667" s="3486"/>
      <c r="I1667" s="3486"/>
      <c r="J1667" s="3486"/>
      <c r="K1667" s="3486"/>
      <c r="L1667" s="3486"/>
      <c r="M1667" s="3486"/>
      <c r="N1667" s="3486"/>
      <c r="O1667" s="3486"/>
      <c r="P1667" s="3486"/>
      <c r="Q1667" s="3486"/>
      <c r="R1667" s="3486"/>
      <c r="S1667" s="3486"/>
      <c r="T1667" s="3486"/>
      <c r="U1667" s="3486"/>
      <c r="V1667" s="3486"/>
      <c r="W1667" s="3486"/>
      <c r="X1667" s="3486"/>
      <c r="Y1667" s="3943"/>
    </row>
    <row r="1668" spans="1:25" s="3492" customFormat="1">
      <c r="A1668" s="3485"/>
      <c r="B1668" s="3486"/>
      <c r="C1668" s="3486"/>
      <c r="D1668" s="3486"/>
      <c r="E1668" s="3486"/>
      <c r="F1668" s="3486"/>
      <c r="G1668" s="3486"/>
      <c r="H1668" s="3486"/>
      <c r="I1668" s="3486"/>
      <c r="J1668" s="3486"/>
      <c r="K1668" s="3486"/>
      <c r="L1668" s="3486"/>
      <c r="M1668" s="3486"/>
      <c r="N1668" s="3486"/>
      <c r="O1668" s="3486"/>
      <c r="P1668" s="3486"/>
      <c r="Q1668" s="3486"/>
      <c r="R1668" s="3486"/>
      <c r="S1668" s="3486"/>
      <c r="T1668" s="3486"/>
      <c r="U1668" s="3486"/>
      <c r="V1668" s="3486"/>
      <c r="W1668" s="3486"/>
      <c r="X1668" s="3486"/>
      <c r="Y1668" s="3943"/>
    </row>
    <row r="1669" spans="1:25" s="3492" customFormat="1">
      <c r="A1669" s="3485"/>
      <c r="B1669" s="3486"/>
      <c r="C1669" s="3486"/>
      <c r="D1669" s="3486"/>
      <c r="E1669" s="3486"/>
      <c r="F1669" s="3486"/>
      <c r="G1669" s="3486"/>
      <c r="H1669" s="3486"/>
      <c r="I1669" s="3486"/>
      <c r="J1669" s="3486"/>
      <c r="K1669" s="3486"/>
      <c r="L1669" s="3486"/>
      <c r="M1669" s="3486"/>
      <c r="N1669" s="3486"/>
      <c r="O1669" s="3486"/>
      <c r="P1669" s="3486"/>
      <c r="Q1669" s="3486"/>
      <c r="R1669" s="3486"/>
      <c r="S1669" s="3486"/>
      <c r="T1669" s="3486"/>
      <c r="U1669" s="3486"/>
      <c r="V1669" s="3486"/>
      <c r="W1669" s="3486"/>
      <c r="X1669" s="3486"/>
      <c r="Y1669" s="3943"/>
    </row>
    <row r="1670" spans="1:25" s="3492" customFormat="1">
      <c r="A1670" s="3485"/>
      <c r="B1670" s="3486"/>
      <c r="C1670" s="3486"/>
      <c r="D1670" s="3486"/>
      <c r="E1670" s="3486"/>
      <c r="F1670" s="3486"/>
      <c r="G1670" s="3486"/>
      <c r="H1670" s="3486"/>
      <c r="I1670" s="3486"/>
      <c r="J1670" s="3486"/>
      <c r="K1670" s="3486"/>
      <c r="L1670" s="3486"/>
      <c r="M1670" s="3486"/>
      <c r="N1670" s="3486"/>
      <c r="O1670" s="3486"/>
      <c r="P1670" s="3486"/>
      <c r="Q1670" s="3486"/>
      <c r="R1670" s="3486"/>
      <c r="S1670" s="3486"/>
      <c r="T1670" s="3486"/>
      <c r="U1670" s="3486"/>
      <c r="V1670" s="3486"/>
      <c r="W1670" s="3486"/>
      <c r="X1670" s="3486"/>
      <c r="Y1670" s="3943"/>
    </row>
    <row r="1671" spans="1:25" s="3492" customFormat="1">
      <c r="A1671" s="3485"/>
      <c r="B1671" s="3486"/>
      <c r="C1671" s="3486"/>
      <c r="D1671" s="3486"/>
      <c r="E1671" s="3486"/>
      <c r="F1671" s="3486"/>
      <c r="G1671" s="3486"/>
      <c r="H1671" s="3486"/>
      <c r="I1671" s="3486"/>
      <c r="J1671" s="3486"/>
      <c r="K1671" s="3486"/>
      <c r="L1671" s="3486"/>
      <c r="M1671" s="3486"/>
      <c r="N1671" s="3486"/>
      <c r="O1671" s="3486"/>
      <c r="P1671" s="3486"/>
      <c r="Q1671" s="3486"/>
      <c r="R1671" s="3486"/>
      <c r="S1671" s="3486"/>
      <c r="T1671" s="3486"/>
      <c r="U1671" s="3486"/>
      <c r="V1671" s="3486"/>
      <c r="W1671" s="3486"/>
      <c r="X1671" s="3486"/>
      <c r="Y1671" s="3943"/>
    </row>
    <row r="1672" spans="1:25" s="3492" customFormat="1">
      <c r="A1672" s="3485"/>
      <c r="B1672" s="3486"/>
      <c r="C1672" s="3486"/>
      <c r="D1672" s="3486"/>
      <c r="E1672" s="3486"/>
      <c r="F1672" s="3486"/>
      <c r="G1672" s="3486"/>
      <c r="H1672" s="3486"/>
      <c r="I1672" s="3486"/>
      <c r="J1672" s="3486"/>
      <c r="K1672" s="3486"/>
      <c r="L1672" s="3486"/>
      <c r="M1672" s="3486"/>
      <c r="N1672" s="3486"/>
      <c r="O1672" s="3486"/>
      <c r="P1672" s="3486"/>
      <c r="Q1672" s="3486"/>
      <c r="R1672" s="3486"/>
      <c r="S1672" s="3486"/>
      <c r="T1672" s="3486"/>
      <c r="U1672" s="3486"/>
      <c r="V1672" s="3486"/>
      <c r="W1672" s="3486"/>
      <c r="X1672" s="3486"/>
      <c r="Y1672" s="3943"/>
    </row>
    <row r="1673" spans="1:25" s="3492" customFormat="1">
      <c r="A1673" s="3485"/>
      <c r="B1673" s="3486"/>
      <c r="C1673" s="3486"/>
      <c r="D1673" s="3486"/>
      <c r="E1673" s="3486"/>
      <c r="F1673" s="3486"/>
      <c r="G1673" s="3486"/>
      <c r="H1673" s="3486"/>
      <c r="I1673" s="3486"/>
      <c r="J1673" s="3486"/>
      <c r="K1673" s="3486"/>
      <c r="L1673" s="3486"/>
      <c r="M1673" s="3486"/>
      <c r="N1673" s="3486"/>
      <c r="O1673" s="3486"/>
      <c r="P1673" s="3486"/>
      <c r="Q1673" s="3486"/>
      <c r="R1673" s="3486"/>
      <c r="S1673" s="3486"/>
      <c r="T1673" s="3486"/>
      <c r="U1673" s="3486"/>
      <c r="V1673" s="3486"/>
      <c r="W1673" s="3486"/>
      <c r="X1673" s="3486"/>
      <c r="Y1673" s="3943"/>
    </row>
    <row r="1674" spans="1:25" s="3492" customFormat="1">
      <c r="A1674" s="3485"/>
      <c r="B1674" s="3486"/>
      <c r="C1674" s="3486"/>
      <c r="D1674" s="3486"/>
      <c r="E1674" s="3486"/>
      <c r="F1674" s="3486"/>
      <c r="G1674" s="3486"/>
      <c r="H1674" s="3486"/>
      <c r="I1674" s="3486"/>
      <c r="J1674" s="3486"/>
      <c r="K1674" s="3486"/>
      <c r="L1674" s="3486"/>
      <c r="M1674" s="3486"/>
      <c r="N1674" s="3486"/>
      <c r="O1674" s="3486"/>
      <c r="P1674" s="3486"/>
      <c r="Q1674" s="3486"/>
      <c r="R1674" s="3486"/>
      <c r="S1674" s="3486"/>
      <c r="T1674" s="3486"/>
      <c r="U1674" s="3486"/>
      <c r="V1674" s="3486"/>
      <c r="W1674" s="3486"/>
      <c r="X1674" s="3486"/>
      <c r="Y1674" s="3943"/>
    </row>
    <row r="1675" spans="1:25" s="3492" customFormat="1">
      <c r="A1675" s="3485"/>
      <c r="B1675" s="3486"/>
      <c r="C1675" s="3486"/>
      <c r="D1675" s="3486"/>
      <c r="E1675" s="3486"/>
      <c r="F1675" s="3486"/>
      <c r="G1675" s="3486"/>
      <c r="H1675" s="3486"/>
      <c r="I1675" s="3486"/>
      <c r="J1675" s="3486"/>
      <c r="K1675" s="3486"/>
      <c r="L1675" s="3486"/>
      <c r="M1675" s="3486"/>
      <c r="N1675" s="3486"/>
      <c r="O1675" s="3486"/>
      <c r="P1675" s="3486"/>
      <c r="Q1675" s="3486"/>
      <c r="R1675" s="3486"/>
      <c r="S1675" s="3486"/>
      <c r="T1675" s="3486"/>
      <c r="U1675" s="3486"/>
      <c r="V1675" s="3486"/>
      <c r="W1675" s="3486"/>
      <c r="X1675" s="3486"/>
      <c r="Y1675" s="3943"/>
    </row>
    <row r="1676" spans="1:25" s="3492" customFormat="1">
      <c r="A1676" s="3485"/>
      <c r="B1676" s="3486"/>
      <c r="C1676" s="3486"/>
      <c r="D1676" s="3486"/>
      <c r="E1676" s="3486"/>
      <c r="F1676" s="3486"/>
      <c r="G1676" s="3486"/>
      <c r="H1676" s="3486"/>
      <c r="I1676" s="3486"/>
      <c r="J1676" s="3486"/>
      <c r="K1676" s="3486"/>
      <c r="L1676" s="3486"/>
      <c r="M1676" s="3486"/>
      <c r="N1676" s="3486"/>
      <c r="O1676" s="3486"/>
      <c r="P1676" s="3486"/>
      <c r="Q1676" s="3486"/>
      <c r="R1676" s="3486"/>
      <c r="S1676" s="3486"/>
      <c r="T1676" s="3486"/>
      <c r="U1676" s="3486"/>
      <c r="V1676" s="3486"/>
      <c r="W1676" s="3486"/>
      <c r="X1676" s="3486"/>
      <c r="Y1676" s="3943"/>
    </row>
    <row r="1677" spans="1:25" s="3492" customFormat="1">
      <c r="A1677" s="3485"/>
      <c r="B1677" s="3486"/>
      <c r="C1677" s="3486"/>
      <c r="D1677" s="3486"/>
      <c r="E1677" s="3486"/>
      <c r="F1677" s="3486"/>
      <c r="G1677" s="3486"/>
      <c r="H1677" s="3486"/>
      <c r="I1677" s="3486"/>
      <c r="J1677" s="3486"/>
      <c r="K1677" s="3486"/>
      <c r="L1677" s="3486"/>
      <c r="M1677" s="3486"/>
      <c r="N1677" s="3486"/>
      <c r="O1677" s="3486"/>
      <c r="P1677" s="3486"/>
      <c r="Q1677" s="3486"/>
      <c r="R1677" s="3486"/>
      <c r="S1677" s="3486"/>
      <c r="T1677" s="3486"/>
      <c r="U1677" s="3486"/>
      <c r="V1677" s="3486"/>
      <c r="W1677" s="3486"/>
      <c r="X1677" s="3486"/>
      <c r="Y1677" s="3943"/>
    </row>
    <row r="1678" spans="1:25" s="3492" customFormat="1">
      <c r="A1678" s="3485"/>
      <c r="B1678" s="3486"/>
      <c r="C1678" s="3486"/>
      <c r="D1678" s="3486"/>
      <c r="E1678" s="3486"/>
      <c r="F1678" s="3486"/>
      <c r="G1678" s="3486"/>
      <c r="H1678" s="3486"/>
      <c r="I1678" s="3486"/>
      <c r="J1678" s="3486"/>
      <c r="K1678" s="3486"/>
      <c r="L1678" s="3486"/>
      <c r="M1678" s="3486"/>
      <c r="N1678" s="3486"/>
      <c r="O1678" s="3486"/>
      <c r="P1678" s="3486"/>
      <c r="Q1678" s="3486"/>
      <c r="R1678" s="3486"/>
      <c r="S1678" s="3486"/>
      <c r="T1678" s="3486"/>
      <c r="U1678" s="3486"/>
      <c r="V1678" s="3486"/>
      <c r="W1678" s="3486"/>
      <c r="X1678" s="3486"/>
      <c r="Y1678" s="3943"/>
    </row>
    <row r="1679" spans="1:25" s="3492" customFormat="1">
      <c r="A1679" s="3485"/>
      <c r="B1679" s="3486"/>
      <c r="C1679" s="3486"/>
      <c r="D1679" s="3486"/>
      <c r="E1679" s="3486"/>
      <c r="F1679" s="3486"/>
      <c r="G1679" s="3486"/>
      <c r="H1679" s="3486"/>
      <c r="I1679" s="3486"/>
      <c r="J1679" s="3486"/>
      <c r="K1679" s="3486"/>
      <c r="L1679" s="3486"/>
      <c r="M1679" s="3486"/>
      <c r="N1679" s="3486"/>
      <c r="O1679" s="3486"/>
      <c r="P1679" s="3486"/>
      <c r="Q1679" s="3486"/>
      <c r="R1679" s="3486"/>
      <c r="S1679" s="3486"/>
      <c r="T1679" s="3486"/>
      <c r="U1679" s="3486"/>
      <c r="V1679" s="3486"/>
      <c r="W1679" s="3486"/>
      <c r="X1679" s="3486"/>
      <c r="Y1679" s="3943"/>
    </row>
    <row r="1680" spans="1:25" s="3492" customFormat="1">
      <c r="A1680" s="3485"/>
      <c r="B1680" s="3486"/>
      <c r="C1680" s="3486"/>
      <c r="D1680" s="3486"/>
      <c r="E1680" s="3486"/>
      <c r="F1680" s="3486"/>
      <c r="G1680" s="3486"/>
      <c r="H1680" s="3486"/>
      <c r="I1680" s="3486"/>
      <c r="J1680" s="3486"/>
      <c r="K1680" s="3486"/>
      <c r="L1680" s="3486"/>
      <c r="M1680" s="3486"/>
      <c r="N1680" s="3486"/>
      <c r="O1680" s="3486"/>
      <c r="P1680" s="3486"/>
      <c r="Q1680" s="3486"/>
      <c r="R1680" s="3486"/>
      <c r="S1680" s="3486"/>
      <c r="T1680" s="3486"/>
      <c r="U1680" s="3486"/>
      <c r="V1680" s="3486"/>
      <c r="W1680" s="3486"/>
      <c r="X1680" s="3486"/>
      <c r="Y1680" s="3943"/>
    </row>
    <row r="1681" spans="1:25" s="3492" customFormat="1">
      <c r="A1681" s="3485"/>
      <c r="B1681" s="3486"/>
      <c r="C1681" s="3486"/>
      <c r="D1681" s="3486"/>
      <c r="E1681" s="3486"/>
      <c r="F1681" s="3486"/>
      <c r="G1681" s="3486"/>
      <c r="H1681" s="3486"/>
      <c r="I1681" s="3486"/>
      <c r="J1681" s="3486"/>
      <c r="K1681" s="3486"/>
      <c r="L1681" s="3486"/>
      <c r="M1681" s="3486"/>
      <c r="N1681" s="3486"/>
      <c r="O1681" s="3486"/>
      <c r="P1681" s="3486"/>
      <c r="Q1681" s="3486"/>
      <c r="R1681" s="3486"/>
      <c r="S1681" s="3486"/>
      <c r="T1681" s="3486"/>
      <c r="U1681" s="3486"/>
      <c r="V1681" s="3486"/>
      <c r="W1681" s="3486"/>
      <c r="X1681" s="3486"/>
      <c r="Y1681" s="3943"/>
    </row>
    <row r="1682" spans="1:25" s="3492" customFormat="1">
      <c r="A1682" s="3485"/>
      <c r="B1682" s="3486"/>
      <c r="C1682" s="3486"/>
      <c r="D1682" s="3486"/>
      <c r="E1682" s="3486"/>
      <c r="F1682" s="3486"/>
      <c r="G1682" s="3486"/>
      <c r="H1682" s="3486"/>
      <c r="I1682" s="3486"/>
      <c r="J1682" s="3486"/>
      <c r="K1682" s="3486"/>
      <c r="L1682" s="3486"/>
      <c r="M1682" s="3486"/>
      <c r="N1682" s="3486"/>
      <c r="O1682" s="3486"/>
      <c r="P1682" s="3486"/>
      <c r="Q1682" s="3486"/>
      <c r="R1682" s="3486"/>
      <c r="S1682" s="3486"/>
      <c r="T1682" s="3486"/>
      <c r="U1682" s="3486"/>
      <c r="V1682" s="3486"/>
      <c r="W1682" s="3486"/>
      <c r="X1682" s="3486"/>
      <c r="Y1682" s="3943"/>
    </row>
    <row r="1683" spans="1:25" s="3492" customFormat="1">
      <c r="A1683" s="3485"/>
      <c r="B1683" s="3486"/>
      <c r="C1683" s="3486"/>
      <c r="D1683" s="3486"/>
      <c r="E1683" s="3486"/>
      <c r="F1683" s="3486"/>
      <c r="G1683" s="3486"/>
      <c r="H1683" s="3486"/>
      <c r="I1683" s="3486"/>
      <c r="J1683" s="3486"/>
      <c r="K1683" s="3486"/>
      <c r="L1683" s="3486"/>
      <c r="M1683" s="3486"/>
      <c r="N1683" s="3486"/>
      <c r="O1683" s="3486"/>
      <c r="P1683" s="3486"/>
      <c r="Q1683" s="3486"/>
      <c r="R1683" s="3486"/>
      <c r="S1683" s="3486"/>
      <c r="T1683" s="3486"/>
      <c r="U1683" s="3486"/>
      <c r="V1683" s="3486"/>
      <c r="W1683" s="3486"/>
      <c r="X1683" s="3486"/>
      <c r="Y1683" s="3943"/>
    </row>
    <row r="1684" spans="1:25" s="3492" customFormat="1">
      <c r="A1684" s="3485"/>
      <c r="B1684" s="3486"/>
      <c r="C1684" s="3486"/>
      <c r="D1684" s="3486"/>
      <c r="E1684" s="3486"/>
      <c r="F1684" s="3486"/>
      <c r="G1684" s="3486"/>
      <c r="H1684" s="3486"/>
      <c r="I1684" s="3486"/>
      <c r="J1684" s="3486"/>
      <c r="K1684" s="3486"/>
      <c r="L1684" s="3486"/>
      <c r="M1684" s="3486"/>
      <c r="N1684" s="3486"/>
      <c r="O1684" s="3486"/>
      <c r="P1684" s="3486"/>
      <c r="Q1684" s="3486"/>
      <c r="R1684" s="3486"/>
      <c r="S1684" s="3486"/>
      <c r="T1684" s="3486"/>
      <c r="U1684" s="3486"/>
      <c r="V1684" s="3486"/>
      <c r="W1684" s="3486"/>
      <c r="X1684" s="3486"/>
      <c r="Y1684" s="3943"/>
    </row>
    <row r="1685" spans="1:25" s="3492" customFormat="1">
      <c r="A1685" s="3485"/>
      <c r="B1685" s="3486"/>
      <c r="C1685" s="3486"/>
      <c r="D1685" s="3486"/>
      <c r="E1685" s="3486"/>
      <c r="F1685" s="3486"/>
      <c r="G1685" s="3486"/>
      <c r="H1685" s="3486"/>
      <c r="I1685" s="3486"/>
      <c r="J1685" s="3486"/>
      <c r="K1685" s="3486"/>
      <c r="L1685" s="3486"/>
      <c r="M1685" s="3486"/>
      <c r="N1685" s="3486"/>
      <c r="O1685" s="3486"/>
      <c r="P1685" s="3486"/>
      <c r="Q1685" s="3486"/>
      <c r="R1685" s="3486"/>
      <c r="S1685" s="3486"/>
      <c r="T1685" s="3486"/>
      <c r="U1685" s="3486"/>
      <c r="V1685" s="3486"/>
      <c r="W1685" s="3486"/>
      <c r="X1685" s="3486"/>
      <c r="Y1685" s="3943"/>
    </row>
    <row r="1686" spans="1:25" s="3492" customFormat="1">
      <c r="A1686" s="3485"/>
      <c r="B1686" s="3486"/>
      <c r="C1686" s="3486"/>
      <c r="D1686" s="3486"/>
      <c r="E1686" s="3486"/>
      <c r="F1686" s="3486"/>
      <c r="G1686" s="3486"/>
      <c r="H1686" s="3486"/>
      <c r="I1686" s="3486"/>
      <c r="J1686" s="3486"/>
      <c r="K1686" s="3486"/>
      <c r="L1686" s="3486"/>
      <c r="M1686" s="3486"/>
      <c r="N1686" s="3486"/>
      <c r="O1686" s="3486"/>
      <c r="P1686" s="3486"/>
      <c r="Q1686" s="3486"/>
      <c r="R1686" s="3486"/>
      <c r="S1686" s="3486"/>
      <c r="T1686" s="3486"/>
      <c r="U1686" s="3486"/>
      <c r="V1686" s="3486"/>
      <c r="W1686" s="3486"/>
      <c r="X1686" s="3486"/>
      <c r="Y1686" s="3943"/>
    </row>
    <row r="1687" spans="1:25" s="3492" customFormat="1">
      <c r="A1687" s="3485"/>
      <c r="B1687" s="3486"/>
      <c r="C1687" s="3486"/>
      <c r="D1687" s="3486"/>
      <c r="E1687" s="3486"/>
      <c r="F1687" s="3486"/>
      <c r="G1687" s="3486"/>
      <c r="H1687" s="3486"/>
      <c r="I1687" s="3486"/>
      <c r="J1687" s="3486"/>
      <c r="K1687" s="3486"/>
      <c r="L1687" s="3486"/>
      <c r="M1687" s="3486"/>
      <c r="N1687" s="3486"/>
      <c r="O1687" s="3486"/>
      <c r="P1687" s="3486"/>
      <c r="Q1687" s="3486"/>
      <c r="R1687" s="3486"/>
      <c r="S1687" s="3486"/>
      <c r="T1687" s="3486"/>
      <c r="U1687" s="3486"/>
      <c r="V1687" s="3486"/>
      <c r="W1687" s="3486"/>
      <c r="X1687" s="3486"/>
      <c r="Y1687" s="3943"/>
    </row>
    <row r="1688" spans="1:25" s="3492" customFormat="1">
      <c r="A1688" s="3485"/>
      <c r="B1688" s="3486"/>
      <c r="C1688" s="3486"/>
      <c r="D1688" s="3486"/>
      <c r="E1688" s="3486"/>
      <c r="F1688" s="3486"/>
      <c r="G1688" s="3486"/>
      <c r="H1688" s="3486"/>
      <c r="I1688" s="3486"/>
      <c r="J1688" s="3486"/>
      <c r="K1688" s="3486"/>
      <c r="L1688" s="3486"/>
      <c r="M1688" s="3486"/>
      <c r="N1688" s="3486"/>
      <c r="O1688" s="3486"/>
      <c r="P1688" s="3486"/>
      <c r="Q1688" s="3486"/>
      <c r="R1688" s="3486"/>
      <c r="S1688" s="3486"/>
      <c r="T1688" s="3486"/>
      <c r="U1688" s="3486"/>
      <c r="V1688" s="3486"/>
      <c r="W1688" s="3486"/>
      <c r="X1688" s="3486"/>
      <c r="Y1688" s="3943"/>
    </row>
    <row r="1689" spans="1:25" s="3492" customFormat="1">
      <c r="A1689" s="3485"/>
      <c r="B1689" s="3486"/>
      <c r="C1689" s="3486"/>
      <c r="D1689" s="3486"/>
      <c r="E1689" s="3486"/>
      <c r="F1689" s="3486"/>
      <c r="G1689" s="3486"/>
      <c r="H1689" s="3486"/>
      <c r="I1689" s="3486"/>
      <c r="J1689" s="3486"/>
      <c r="K1689" s="3486"/>
      <c r="L1689" s="3486"/>
      <c r="M1689" s="3486"/>
      <c r="N1689" s="3486"/>
      <c r="O1689" s="3486"/>
      <c r="P1689" s="3486"/>
      <c r="Q1689" s="3486"/>
      <c r="R1689" s="3486"/>
      <c r="S1689" s="3486"/>
      <c r="T1689" s="3486"/>
      <c r="U1689" s="3486"/>
      <c r="V1689" s="3486"/>
      <c r="W1689" s="3486"/>
      <c r="X1689" s="3486"/>
      <c r="Y1689" s="3943"/>
    </row>
    <row r="1690" spans="1:25" s="3492" customFormat="1">
      <c r="A1690" s="3485"/>
      <c r="B1690" s="3486"/>
      <c r="C1690" s="3486"/>
      <c r="D1690" s="3486"/>
      <c r="E1690" s="3486"/>
      <c r="F1690" s="3486"/>
      <c r="G1690" s="3486"/>
      <c r="H1690" s="3486"/>
      <c r="I1690" s="3486"/>
      <c r="J1690" s="3486"/>
      <c r="K1690" s="3486"/>
      <c r="L1690" s="3486"/>
      <c r="M1690" s="3486"/>
      <c r="N1690" s="3486"/>
      <c r="O1690" s="3486"/>
      <c r="P1690" s="3486"/>
      <c r="Q1690" s="3486"/>
      <c r="R1690" s="3486"/>
      <c r="S1690" s="3486"/>
      <c r="T1690" s="3486"/>
      <c r="U1690" s="3486"/>
      <c r="V1690" s="3486"/>
      <c r="W1690" s="3486"/>
      <c r="X1690" s="3486"/>
      <c r="Y1690" s="3943"/>
    </row>
    <row r="1691" spans="1:25" s="3492" customFormat="1">
      <c r="A1691" s="3485"/>
      <c r="B1691" s="3486"/>
      <c r="C1691" s="3486"/>
      <c r="D1691" s="3486"/>
      <c r="E1691" s="3486"/>
      <c r="F1691" s="3486"/>
      <c r="G1691" s="3486"/>
      <c r="H1691" s="3486"/>
      <c r="I1691" s="3486"/>
      <c r="J1691" s="3486"/>
      <c r="K1691" s="3486"/>
      <c r="L1691" s="3486"/>
      <c r="M1691" s="3486"/>
      <c r="N1691" s="3486"/>
      <c r="O1691" s="3486"/>
      <c r="P1691" s="3486"/>
      <c r="Q1691" s="3486"/>
      <c r="R1691" s="3486"/>
      <c r="S1691" s="3486"/>
      <c r="T1691" s="3486"/>
      <c r="U1691" s="3486"/>
      <c r="V1691" s="3486"/>
      <c r="W1691" s="3486"/>
      <c r="X1691" s="3486"/>
      <c r="Y1691" s="3943"/>
    </row>
    <row r="1692" spans="1:25" s="3492" customFormat="1">
      <c r="A1692" s="3485"/>
      <c r="B1692" s="3486"/>
      <c r="C1692" s="3486"/>
      <c r="D1692" s="3486"/>
      <c r="E1692" s="3486"/>
      <c r="F1692" s="3486"/>
      <c r="G1692" s="3486"/>
      <c r="H1692" s="3486"/>
      <c r="I1692" s="3486"/>
      <c r="J1692" s="3486"/>
      <c r="K1692" s="3486"/>
      <c r="L1692" s="3486"/>
      <c r="M1692" s="3486"/>
      <c r="N1692" s="3486"/>
      <c r="O1692" s="3486"/>
      <c r="P1692" s="3486"/>
      <c r="Q1692" s="3486"/>
      <c r="R1692" s="3486"/>
      <c r="S1692" s="3486"/>
      <c r="T1692" s="3486"/>
      <c r="U1692" s="3486"/>
      <c r="V1692" s="3486"/>
      <c r="W1692" s="3486"/>
      <c r="X1692" s="3486"/>
      <c r="Y1692" s="3943"/>
    </row>
    <row r="1693" spans="1:25" s="3492" customFormat="1">
      <c r="A1693" s="3485"/>
      <c r="B1693" s="3486"/>
      <c r="C1693" s="3486"/>
      <c r="D1693" s="3486"/>
      <c r="E1693" s="3486"/>
      <c r="F1693" s="3486"/>
      <c r="G1693" s="3486"/>
      <c r="H1693" s="3486"/>
      <c r="I1693" s="3486"/>
      <c r="J1693" s="3486"/>
      <c r="K1693" s="3486"/>
      <c r="L1693" s="3486"/>
      <c r="M1693" s="3486"/>
      <c r="N1693" s="3486"/>
      <c r="O1693" s="3486"/>
      <c r="P1693" s="3486"/>
      <c r="Q1693" s="3486"/>
      <c r="R1693" s="3486"/>
      <c r="S1693" s="3486"/>
      <c r="T1693" s="3486"/>
      <c r="U1693" s="3486"/>
      <c r="V1693" s="3486"/>
      <c r="W1693" s="3486"/>
      <c r="X1693" s="3486"/>
      <c r="Y1693" s="3943"/>
    </row>
    <row r="1694" spans="1:25" s="3492" customFormat="1">
      <c r="A1694" s="3485"/>
      <c r="B1694" s="3486"/>
      <c r="C1694" s="3486"/>
      <c r="D1694" s="3486"/>
      <c r="E1694" s="3486"/>
      <c r="F1694" s="3486"/>
      <c r="G1694" s="3486"/>
      <c r="H1694" s="3486"/>
      <c r="I1694" s="3486"/>
      <c r="J1694" s="3486"/>
      <c r="K1694" s="3486"/>
      <c r="L1694" s="3486"/>
      <c r="M1694" s="3486"/>
      <c r="N1694" s="3486"/>
      <c r="O1694" s="3486"/>
      <c r="P1694" s="3486"/>
      <c r="Q1694" s="3486"/>
      <c r="R1694" s="3486"/>
      <c r="S1694" s="3486"/>
      <c r="T1694" s="3486"/>
      <c r="U1694" s="3486"/>
      <c r="V1694" s="3486"/>
      <c r="W1694" s="3486"/>
      <c r="X1694" s="3486"/>
      <c r="Y1694" s="3943"/>
    </row>
    <row r="1695" spans="1:25" s="3492" customFormat="1">
      <c r="A1695" s="3485"/>
      <c r="B1695" s="3486"/>
      <c r="C1695" s="3486"/>
      <c r="D1695" s="3486"/>
      <c r="E1695" s="3486"/>
      <c r="F1695" s="3486"/>
      <c r="G1695" s="3486"/>
      <c r="H1695" s="3486"/>
      <c r="I1695" s="3486"/>
      <c r="J1695" s="3486"/>
      <c r="K1695" s="3486"/>
      <c r="L1695" s="3486"/>
      <c r="M1695" s="3486"/>
      <c r="N1695" s="3486"/>
      <c r="O1695" s="3486"/>
      <c r="P1695" s="3486"/>
      <c r="Q1695" s="3486"/>
      <c r="R1695" s="3486"/>
      <c r="S1695" s="3486"/>
      <c r="T1695" s="3486"/>
      <c r="U1695" s="3486"/>
      <c r="V1695" s="3486"/>
      <c r="W1695" s="3486"/>
      <c r="X1695" s="3486"/>
      <c r="Y1695" s="3943"/>
    </row>
    <row r="1696" spans="1:25" s="3492" customFormat="1">
      <c r="A1696" s="3485"/>
      <c r="B1696" s="3486"/>
      <c r="C1696" s="3486"/>
      <c r="D1696" s="3486"/>
      <c r="E1696" s="3486"/>
      <c r="F1696" s="3486"/>
      <c r="G1696" s="3486"/>
      <c r="H1696" s="3486"/>
      <c r="I1696" s="3486"/>
      <c r="J1696" s="3486"/>
      <c r="K1696" s="3486"/>
      <c r="L1696" s="3486"/>
      <c r="M1696" s="3486"/>
      <c r="N1696" s="3486"/>
      <c r="O1696" s="3486"/>
      <c r="P1696" s="3486"/>
      <c r="Q1696" s="3486"/>
      <c r="R1696" s="3486"/>
      <c r="S1696" s="3486"/>
      <c r="T1696" s="3486"/>
      <c r="U1696" s="3486"/>
      <c r="V1696" s="3486"/>
      <c r="W1696" s="3486"/>
      <c r="X1696" s="3486"/>
      <c r="Y1696" s="3943"/>
    </row>
    <row r="1697" spans="1:25" s="3492" customFormat="1">
      <c r="A1697" s="3485"/>
      <c r="B1697" s="3486"/>
      <c r="C1697" s="3486"/>
      <c r="D1697" s="3486"/>
      <c r="E1697" s="3486"/>
      <c r="F1697" s="3486"/>
      <c r="G1697" s="3486"/>
      <c r="H1697" s="3486"/>
      <c r="I1697" s="3486"/>
      <c r="J1697" s="3486"/>
      <c r="K1697" s="3486"/>
      <c r="L1697" s="3486"/>
      <c r="M1697" s="3486"/>
      <c r="N1697" s="3486"/>
      <c r="O1697" s="3486"/>
      <c r="P1697" s="3486"/>
      <c r="Q1697" s="3486"/>
      <c r="R1697" s="3486"/>
      <c r="S1697" s="3486"/>
      <c r="T1697" s="3486"/>
      <c r="U1697" s="3486"/>
      <c r="V1697" s="3486"/>
      <c r="W1697" s="3486"/>
      <c r="X1697" s="3486"/>
      <c r="Y1697" s="3943"/>
    </row>
    <row r="1698" spans="1:25" s="3492" customFormat="1">
      <c r="A1698" s="3485"/>
      <c r="B1698" s="3486"/>
      <c r="C1698" s="3486"/>
      <c r="D1698" s="3486"/>
      <c r="E1698" s="3486"/>
      <c r="F1698" s="3486"/>
      <c r="G1698" s="3486"/>
      <c r="H1698" s="3486"/>
      <c r="I1698" s="3486"/>
      <c r="J1698" s="3486"/>
      <c r="K1698" s="3486"/>
      <c r="L1698" s="3486"/>
      <c r="M1698" s="3486"/>
      <c r="N1698" s="3486"/>
      <c r="O1698" s="3486"/>
      <c r="P1698" s="3486"/>
      <c r="Q1698" s="3486"/>
      <c r="R1698" s="3486"/>
      <c r="S1698" s="3486"/>
      <c r="T1698" s="3486"/>
      <c r="U1698" s="3486"/>
      <c r="V1698" s="3486"/>
      <c r="W1698" s="3486"/>
      <c r="X1698" s="3486"/>
      <c r="Y1698" s="3943"/>
    </row>
    <row r="1699" spans="1:25" s="3492" customFormat="1">
      <c r="A1699" s="3485"/>
      <c r="B1699" s="3486"/>
      <c r="C1699" s="3486"/>
      <c r="D1699" s="3486"/>
      <c r="E1699" s="3486"/>
      <c r="F1699" s="3486"/>
      <c r="G1699" s="3486"/>
      <c r="H1699" s="3486"/>
      <c r="I1699" s="3486"/>
      <c r="J1699" s="3486"/>
      <c r="K1699" s="3486"/>
      <c r="L1699" s="3486"/>
      <c r="M1699" s="3486"/>
      <c r="N1699" s="3486"/>
      <c r="O1699" s="3486"/>
      <c r="P1699" s="3486"/>
      <c r="Q1699" s="3486"/>
      <c r="R1699" s="3486"/>
      <c r="S1699" s="3486"/>
      <c r="T1699" s="3486"/>
      <c r="U1699" s="3486"/>
      <c r="V1699" s="3486"/>
      <c r="W1699" s="3486"/>
      <c r="X1699" s="3486"/>
      <c r="Y1699" s="3943"/>
    </row>
    <row r="1700" spans="1:25" s="3492" customFormat="1">
      <c r="A1700" s="3485"/>
      <c r="B1700" s="3486"/>
      <c r="C1700" s="3486"/>
      <c r="D1700" s="3486"/>
      <c r="E1700" s="3486"/>
      <c r="F1700" s="3486"/>
      <c r="G1700" s="3486"/>
      <c r="H1700" s="3486"/>
      <c r="I1700" s="3486"/>
      <c r="J1700" s="3486"/>
      <c r="K1700" s="3486"/>
      <c r="L1700" s="3486"/>
      <c r="M1700" s="3486"/>
      <c r="N1700" s="3486"/>
      <c r="O1700" s="3486"/>
      <c r="P1700" s="3486"/>
      <c r="Q1700" s="3486"/>
      <c r="R1700" s="3486"/>
      <c r="S1700" s="3486"/>
      <c r="T1700" s="3486"/>
      <c r="U1700" s="3486"/>
      <c r="V1700" s="3486"/>
      <c r="W1700" s="3486"/>
      <c r="X1700" s="3486"/>
      <c r="Y1700" s="3943"/>
    </row>
    <row r="1701" spans="1:25" s="3492" customFormat="1">
      <c r="A1701" s="3485"/>
      <c r="B1701" s="3486"/>
      <c r="C1701" s="3486"/>
      <c r="D1701" s="3486"/>
      <c r="E1701" s="3486"/>
      <c r="F1701" s="3486"/>
      <c r="G1701" s="3486"/>
      <c r="H1701" s="3486"/>
      <c r="I1701" s="3486"/>
      <c r="J1701" s="3486"/>
      <c r="K1701" s="3486"/>
      <c r="L1701" s="3486"/>
      <c r="M1701" s="3486"/>
      <c r="N1701" s="3486"/>
      <c r="O1701" s="3486"/>
      <c r="P1701" s="3486"/>
      <c r="Q1701" s="3486"/>
      <c r="R1701" s="3486"/>
      <c r="S1701" s="3486"/>
      <c r="T1701" s="3486"/>
      <c r="U1701" s="3486"/>
      <c r="V1701" s="3486"/>
      <c r="W1701" s="3486"/>
      <c r="X1701" s="3486"/>
      <c r="Y1701" s="3943"/>
    </row>
    <row r="1702" spans="1:25" s="3492" customFormat="1">
      <c r="A1702" s="3485"/>
      <c r="B1702" s="3486"/>
      <c r="C1702" s="3486"/>
      <c r="D1702" s="3486"/>
      <c r="E1702" s="3486"/>
      <c r="F1702" s="3486"/>
      <c r="G1702" s="3486"/>
      <c r="H1702" s="3486"/>
      <c r="I1702" s="3486"/>
      <c r="J1702" s="3486"/>
      <c r="K1702" s="3486"/>
      <c r="L1702" s="3486"/>
      <c r="M1702" s="3486"/>
      <c r="N1702" s="3486"/>
      <c r="O1702" s="3486"/>
      <c r="P1702" s="3486"/>
      <c r="Q1702" s="3486"/>
      <c r="R1702" s="3486"/>
      <c r="S1702" s="3486"/>
      <c r="T1702" s="3486"/>
      <c r="U1702" s="3486"/>
      <c r="V1702" s="3486"/>
      <c r="W1702" s="3486"/>
      <c r="X1702" s="3486"/>
      <c r="Y1702" s="3943"/>
    </row>
    <row r="1703" spans="1:25" s="3492" customFormat="1">
      <c r="A1703" s="3485"/>
      <c r="B1703" s="3486"/>
      <c r="C1703" s="3486"/>
      <c r="D1703" s="3486"/>
      <c r="E1703" s="3486"/>
      <c r="F1703" s="3486"/>
      <c r="G1703" s="3486"/>
      <c r="H1703" s="3486"/>
      <c r="I1703" s="3486"/>
      <c r="J1703" s="3486"/>
      <c r="K1703" s="3486"/>
      <c r="L1703" s="3486"/>
      <c r="M1703" s="3486"/>
      <c r="N1703" s="3486"/>
      <c r="O1703" s="3486"/>
      <c r="P1703" s="3486"/>
      <c r="Q1703" s="3486"/>
      <c r="R1703" s="3486"/>
      <c r="S1703" s="3486"/>
      <c r="T1703" s="3486"/>
      <c r="U1703" s="3486"/>
      <c r="V1703" s="3486"/>
      <c r="W1703" s="3486"/>
      <c r="X1703" s="3486"/>
      <c r="Y1703" s="3943"/>
    </row>
    <row r="1704" spans="1:25" s="3492" customFormat="1">
      <c r="A1704" s="3485"/>
      <c r="B1704" s="3486"/>
      <c r="C1704" s="3486"/>
      <c r="D1704" s="3486"/>
      <c r="E1704" s="3486"/>
      <c r="F1704" s="3486"/>
      <c r="G1704" s="3486"/>
      <c r="H1704" s="3486"/>
      <c r="I1704" s="3486"/>
      <c r="J1704" s="3486"/>
      <c r="K1704" s="3486"/>
      <c r="L1704" s="3486"/>
      <c r="M1704" s="3486"/>
      <c r="N1704" s="3486"/>
      <c r="O1704" s="3486"/>
      <c r="P1704" s="3486"/>
      <c r="Q1704" s="3486"/>
      <c r="R1704" s="3486"/>
      <c r="S1704" s="3486"/>
      <c r="T1704" s="3486"/>
      <c r="U1704" s="3486"/>
      <c r="V1704" s="3486"/>
      <c r="W1704" s="3486"/>
      <c r="X1704" s="3486"/>
      <c r="Y1704" s="3943"/>
    </row>
    <row r="1705" spans="1:25" s="3492" customFormat="1">
      <c r="A1705" s="3485"/>
      <c r="B1705" s="3486"/>
      <c r="C1705" s="3486"/>
      <c r="D1705" s="3486"/>
      <c r="E1705" s="3486"/>
      <c r="F1705" s="3486"/>
      <c r="G1705" s="3486"/>
      <c r="H1705" s="3486"/>
      <c r="I1705" s="3486"/>
      <c r="J1705" s="3486"/>
      <c r="K1705" s="3486"/>
      <c r="L1705" s="3486"/>
      <c r="M1705" s="3486"/>
      <c r="N1705" s="3486"/>
      <c r="O1705" s="3486"/>
      <c r="P1705" s="3486"/>
      <c r="Q1705" s="3486"/>
      <c r="R1705" s="3486"/>
      <c r="S1705" s="3486"/>
      <c r="T1705" s="3486"/>
      <c r="U1705" s="3486"/>
      <c r="V1705" s="3486"/>
      <c r="W1705" s="3486"/>
      <c r="X1705" s="3486"/>
      <c r="Y1705" s="3943"/>
    </row>
    <row r="1706" spans="1:25" s="3492" customFormat="1">
      <c r="A1706" s="3485"/>
      <c r="B1706" s="3486"/>
      <c r="C1706" s="3486"/>
      <c r="D1706" s="3486"/>
      <c r="E1706" s="3486"/>
      <c r="F1706" s="3486"/>
      <c r="G1706" s="3486"/>
      <c r="H1706" s="3486"/>
      <c r="I1706" s="3486"/>
      <c r="J1706" s="3486"/>
      <c r="K1706" s="3486"/>
      <c r="L1706" s="3486"/>
      <c r="M1706" s="3486"/>
      <c r="N1706" s="3486"/>
      <c r="O1706" s="3486"/>
      <c r="P1706" s="3486"/>
      <c r="Q1706" s="3486"/>
      <c r="R1706" s="3486"/>
      <c r="S1706" s="3486"/>
      <c r="T1706" s="3486"/>
      <c r="U1706" s="3486"/>
      <c r="V1706" s="3486"/>
      <c r="W1706" s="3486"/>
      <c r="X1706" s="3486"/>
      <c r="Y1706" s="3943"/>
    </row>
    <row r="1707" spans="1:25" s="3492" customFormat="1">
      <c r="A1707" s="3485"/>
      <c r="B1707" s="3486"/>
      <c r="C1707" s="3486"/>
      <c r="D1707" s="3486"/>
      <c r="E1707" s="3486"/>
      <c r="F1707" s="3486"/>
      <c r="G1707" s="3486"/>
      <c r="H1707" s="3486"/>
      <c r="I1707" s="3486"/>
      <c r="J1707" s="3486"/>
      <c r="K1707" s="3486"/>
      <c r="L1707" s="3486"/>
      <c r="M1707" s="3486"/>
      <c r="N1707" s="3486"/>
      <c r="O1707" s="3486"/>
      <c r="P1707" s="3486"/>
      <c r="Q1707" s="3486"/>
      <c r="R1707" s="3486"/>
      <c r="S1707" s="3486"/>
      <c r="T1707" s="3486"/>
      <c r="U1707" s="3486"/>
      <c r="V1707" s="3486"/>
      <c r="W1707" s="3486"/>
      <c r="X1707" s="3486"/>
      <c r="Y1707" s="3943"/>
    </row>
    <row r="1708" spans="1:25" s="3492" customFormat="1">
      <c r="A1708" s="3485"/>
      <c r="B1708" s="3486"/>
      <c r="C1708" s="3486"/>
      <c r="D1708" s="3486"/>
      <c r="E1708" s="3486"/>
      <c r="F1708" s="3486"/>
      <c r="G1708" s="3486"/>
      <c r="H1708" s="3486"/>
      <c r="I1708" s="3486"/>
      <c r="J1708" s="3486"/>
      <c r="K1708" s="3486"/>
      <c r="L1708" s="3486"/>
      <c r="M1708" s="3486"/>
      <c r="N1708" s="3486"/>
      <c r="O1708" s="3486"/>
      <c r="P1708" s="3486"/>
      <c r="Q1708" s="3486"/>
      <c r="R1708" s="3486"/>
      <c r="S1708" s="3486"/>
      <c r="T1708" s="3486"/>
      <c r="U1708" s="3486"/>
      <c r="V1708" s="3486"/>
      <c r="W1708" s="3486"/>
      <c r="X1708" s="3486"/>
      <c r="Y1708" s="3943"/>
    </row>
    <row r="1709" spans="1:25" s="3492" customFormat="1">
      <c r="A1709" s="3485"/>
      <c r="B1709" s="3486"/>
      <c r="C1709" s="3486"/>
      <c r="D1709" s="3486"/>
      <c r="E1709" s="3486"/>
      <c r="F1709" s="3486"/>
      <c r="G1709" s="3486"/>
      <c r="H1709" s="3486"/>
      <c r="I1709" s="3486"/>
      <c r="J1709" s="3486"/>
      <c r="K1709" s="3486"/>
      <c r="L1709" s="3486"/>
      <c r="M1709" s="3486"/>
      <c r="N1709" s="3486"/>
      <c r="O1709" s="3486"/>
      <c r="P1709" s="3486"/>
      <c r="Q1709" s="3486"/>
      <c r="R1709" s="3486"/>
      <c r="S1709" s="3486"/>
      <c r="T1709" s="3486"/>
      <c r="U1709" s="3486"/>
      <c r="V1709" s="3486"/>
      <c r="W1709" s="3486"/>
      <c r="X1709" s="3486"/>
      <c r="Y1709" s="3943"/>
    </row>
    <row r="1710" spans="1:25" s="3492" customFormat="1">
      <c r="A1710" s="3485"/>
      <c r="B1710" s="3486"/>
      <c r="C1710" s="3486"/>
      <c r="D1710" s="3486"/>
      <c r="E1710" s="3486"/>
      <c r="F1710" s="3486"/>
      <c r="G1710" s="3486"/>
      <c r="H1710" s="3486"/>
      <c r="I1710" s="3486"/>
      <c r="J1710" s="3486"/>
      <c r="K1710" s="3486"/>
      <c r="L1710" s="3486"/>
      <c r="M1710" s="3486"/>
      <c r="N1710" s="3486"/>
      <c r="O1710" s="3486"/>
      <c r="P1710" s="3486"/>
      <c r="Q1710" s="3486"/>
      <c r="R1710" s="3486"/>
      <c r="S1710" s="3486"/>
      <c r="T1710" s="3486"/>
      <c r="U1710" s="3486"/>
      <c r="V1710" s="3486"/>
      <c r="W1710" s="3486"/>
      <c r="X1710" s="3486"/>
      <c r="Y1710" s="3943"/>
    </row>
    <row r="1711" spans="1:25" s="3492" customFormat="1">
      <c r="A1711" s="3485"/>
      <c r="B1711" s="3486"/>
      <c r="C1711" s="3486"/>
      <c r="D1711" s="3486"/>
      <c r="E1711" s="3486"/>
      <c r="F1711" s="3486"/>
      <c r="G1711" s="3486"/>
      <c r="H1711" s="3486"/>
      <c r="I1711" s="3486"/>
      <c r="J1711" s="3486"/>
      <c r="K1711" s="3486"/>
      <c r="L1711" s="3486"/>
      <c r="M1711" s="3486"/>
      <c r="N1711" s="3486"/>
      <c r="O1711" s="3486"/>
      <c r="P1711" s="3486"/>
      <c r="Q1711" s="3486"/>
      <c r="R1711" s="3486"/>
      <c r="S1711" s="3486"/>
      <c r="T1711" s="3486"/>
      <c r="U1711" s="3486"/>
      <c r="V1711" s="3486"/>
      <c r="W1711" s="3486"/>
      <c r="X1711" s="3486"/>
      <c r="Y1711" s="3943"/>
    </row>
    <row r="1712" spans="1:25" s="3492" customFormat="1">
      <c r="A1712" s="3485"/>
      <c r="B1712" s="3486"/>
      <c r="C1712" s="3486"/>
      <c r="D1712" s="3486"/>
      <c r="E1712" s="3486"/>
      <c r="F1712" s="3486"/>
      <c r="G1712" s="3486"/>
      <c r="H1712" s="3486"/>
      <c r="I1712" s="3486"/>
      <c r="J1712" s="3486"/>
      <c r="K1712" s="3486"/>
      <c r="L1712" s="3486"/>
      <c r="M1712" s="3486"/>
      <c r="N1712" s="3486"/>
      <c r="O1712" s="3486"/>
      <c r="P1712" s="3486"/>
      <c r="Q1712" s="3486"/>
      <c r="R1712" s="3486"/>
      <c r="S1712" s="3486"/>
      <c r="T1712" s="3486"/>
      <c r="U1712" s="3486"/>
      <c r="V1712" s="3486"/>
      <c r="W1712" s="3486"/>
      <c r="X1712" s="3486"/>
      <c r="Y1712" s="3943"/>
    </row>
    <row r="1713" spans="1:25" s="3492" customFormat="1">
      <c r="A1713" s="3485"/>
      <c r="B1713" s="3486"/>
      <c r="C1713" s="3486"/>
      <c r="D1713" s="3486"/>
      <c r="E1713" s="3486"/>
      <c r="F1713" s="3486"/>
      <c r="G1713" s="3486"/>
      <c r="H1713" s="3486"/>
      <c r="I1713" s="3486"/>
      <c r="J1713" s="3486"/>
      <c r="K1713" s="3486"/>
      <c r="L1713" s="3486"/>
      <c r="M1713" s="3486"/>
      <c r="N1713" s="3486"/>
      <c r="O1713" s="3486"/>
      <c r="P1713" s="3486"/>
      <c r="Q1713" s="3486"/>
      <c r="R1713" s="3486"/>
      <c r="S1713" s="3486"/>
      <c r="T1713" s="3486"/>
      <c r="U1713" s="3486"/>
      <c r="V1713" s="3486"/>
      <c r="W1713" s="3486"/>
      <c r="X1713" s="3486"/>
      <c r="Y1713" s="3943"/>
    </row>
    <row r="1714" spans="1:25" s="3492" customFormat="1">
      <c r="A1714" s="3485"/>
      <c r="B1714" s="3486"/>
      <c r="C1714" s="3486"/>
      <c r="D1714" s="3486"/>
      <c r="E1714" s="3486"/>
      <c r="F1714" s="3486"/>
      <c r="G1714" s="3486"/>
      <c r="H1714" s="3486"/>
      <c r="I1714" s="3486"/>
      <c r="J1714" s="3486"/>
      <c r="K1714" s="3486"/>
      <c r="L1714" s="3486"/>
      <c r="M1714" s="3486"/>
      <c r="N1714" s="3486"/>
      <c r="O1714" s="3486"/>
      <c r="P1714" s="3486"/>
      <c r="Q1714" s="3486"/>
      <c r="R1714" s="3486"/>
      <c r="S1714" s="3486"/>
      <c r="T1714" s="3486"/>
      <c r="U1714" s="3486"/>
      <c r="V1714" s="3486"/>
      <c r="W1714" s="3486"/>
      <c r="X1714" s="3486"/>
      <c r="Y1714" s="3943"/>
    </row>
    <row r="1715" spans="1:25" s="3492" customFormat="1">
      <c r="A1715" s="3485"/>
      <c r="B1715" s="3486"/>
      <c r="C1715" s="3486"/>
      <c r="D1715" s="3486"/>
      <c r="E1715" s="3486"/>
      <c r="F1715" s="3486"/>
      <c r="G1715" s="3486"/>
      <c r="H1715" s="3486"/>
      <c r="I1715" s="3486"/>
      <c r="J1715" s="3486"/>
      <c r="K1715" s="3486"/>
      <c r="L1715" s="3486"/>
      <c r="M1715" s="3486"/>
      <c r="N1715" s="3486"/>
      <c r="O1715" s="3486"/>
      <c r="P1715" s="3486"/>
      <c r="Q1715" s="3486"/>
      <c r="R1715" s="3486"/>
      <c r="S1715" s="3486"/>
      <c r="T1715" s="3486"/>
      <c r="U1715" s="3486"/>
      <c r="V1715" s="3486"/>
      <c r="W1715" s="3486"/>
      <c r="X1715" s="3486"/>
      <c r="Y1715" s="3943"/>
    </row>
    <row r="1716" spans="1:25" s="3492" customFormat="1">
      <c r="A1716" s="3485"/>
      <c r="B1716" s="3486"/>
      <c r="C1716" s="3486"/>
      <c r="D1716" s="3486"/>
      <c r="E1716" s="3486"/>
      <c r="F1716" s="3486"/>
      <c r="G1716" s="3486"/>
      <c r="H1716" s="3486"/>
      <c r="I1716" s="3486"/>
      <c r="J1716" s="3486"/>
      <c r="K1716" s="3486"/>
      <c r="L1716" s="3486"/>
      <c r="M1716" s="3486"/>
      <c r="N1716" s="3486"/>
      <c r="O1716" s="3486"/>
      <c r="P1716" s="3486"/>
      <c r="Q1716" s="3486"/>
      <c r="R1716" s="3486"/>
      <c r="S1716" s="3486"/>
      <c r="T1716" s="3486"/>
      <c r="U1716" s="3486"/>
      <c r="V1716" s="3486"/>
      <c r="W1716" s="3486"/>
      <c r="X1716" s="3486"/>
      <c r="Y1716" s="3943"/>
    </row>
    <row r="1717" spans="1:25" s="3492" customFormat="1">
      <c r="A1717" s="3485"/>
      <c r="B1717" s="3486"/>
      <c r="C1717" s="3486"/>
      <c r="D1717" s="3486"/>
      <c r="E1717" s="3486"/>
      <c r="F1717" s="3486"/>
      <c r="G1717" s="3486"/>
      <c r="H1717" s="3486"/>
      <c r="I1717" s="3486"/>
      <c r="J1717" s="3486"/>
      <c r="K1717" s="3486"/>
      <c r="L1717" s="3486"/>
      <c r="M1717" s="3486"/>
      <c r="N1717" s="3486"/>
      <c r="O1717" s="3486"/>
      <c r="P1717" s="3486"/>
      <c r="Q1717" s="3486"/>
      <c r="R1717" s="3486"/>
      <c r="S1717" s="3486"/>
      <c r="T1717" s="3486"/>
      <c r="U1717" s="3486"/>
      <c r="V1717" s="3486"/>
      <c r="W1717" s="3486"/>
      <c r="X1717" s="3486"/>
      <c r="Y1717" s="3943"/>
    </row>
    <row r="1718" spans="1:25" s="3492" customFormat="1">
      <c r="A1718" s="3485"/>
      <c r="B1718" s="3486"/>
      <c r="C1718" s="3486"/>
      <c r="D1718" s="3486"/>
      <c r="E1718" s="3486"/>
      <c r="F1718" s="3486"/>
      <c r="G1718" s="3486"/>
      <c r="H1718" s="3486"/>
      <c r="I1718" s="3486"/>
      <c r="J1718" s="3486"/>
      <c r="K1718" s="3486"/>
      <c r="L1718" s="3486"/>
      <c r="M1718" s="3486"/>
      <c r="N1718" s="3486"/>
      <c r="O1718" s="3486"/>
      <c r="P1718" s="3486"/>
      <c r="Q1718" s="3486"/>
      <c r="R1718" s="3486"/>
      <c r="S1718" s="3486"/>
      <c r="T1718" s="3486"/>
      <c r="U1718" s="3486"/>
      <c r="V1718" s="3486"/>
      <c r="W1718" s="3486"/>
      <c r="X1718" s="3486"/>
      <c r="Y1718" s="3943"/>
    </row>
    <row r="1719" spans="1:25" s="3492" customFormat="1">
      <c r="A1719" s="3485"/>
      <c r="B1719" s="3486"/>
      <c r="C1719" s="3486"/>
      <c r="D1719" s="3486"/>
      <c r="E1719" s="3486"/>
      <c r="F1719" s="3486"/>
      <c r="G1719" s="3486"/>
      <c r="H1719" s="3486"/>
      <c r="I1719" s="3486"/>
      <c r="J1719" s="3486"/>
      <c r="K1719" s="3486"/>
      <c r="L1719" s="3486"/>
      <c r="M1719" s="3486"/>
      <c r="N1719" s="3486"/>
      <c r="O1719" s="3486"/>
      <c r="P1719" s="3486"/>
      <c r="Q1719" s="3486"/>
      <c r="R1719" s="3486"/>
      <c r="S1719" s="3486"/>
      <c r="T1719" s="3486"/>
      <c r="U1719" s="3486"/>
      <c r="V1719" s="3486"/>
      <c r="W1719" s="3486"/>
      <c r="X1719" s="3486"/>
      <c r="Y1719" s="3943"/>
    </row>
    <row r="1720" spans="1:25" s="3492" customFormat="1">
      <c r="A1720" s="3485"/>
      <c r="B1720" s="3486"/>
      <c r="C1720" s="3486"/>
      <c r="D1720" s="3486"/>
      <c r="E1720" s="3486"/>
      <c r="F1720" s="3486"/>
      <c r="G1720" s="3486"/>
      <c r="H1720" s="3486"/>
      <c r="I1720" s="3486"/>
      <c r="J1720" s="3486"/>
      <c r="K1720" s="3486"/>
      <c r="L1720" s="3486"/>
      <c r="M1720" s="3486"/>
      <c r="N1720" s="3486"/>
      <c r="O1720" s="3486"/>
      <c r="P1720" s="3486"/>
      <c r="Q1720" s="3486"/>
      <c r="R1720" s="3486"/>
      <c r="S1720" s="3486"/>
      <c r="T1720" s="3486"/>
      <c r="U1720" s="3486"/>
      <c r="V1720" s="3486"/>
      <c r="W1720" s="3486"/>
      <c r="X1720" s="3486"/>
      <c r="Y1720" s="3943"/>
    </row>
    <row r="1721" spans="1:25" s="3492" customFormat="1">
      <c r="A1721" s="3485"/>
      <c r="B1721" s="3486"/>
      <c r="C1721" s="3486"/>
      <c r="D1721" s="3486"/>
      <c r="E1721" s="3486"/>
      <c r="F1721" s="3486"/>
      <c r="G1721" s="3486"/>
      <c r="H1721" s="3486"/>
      <c r="I1721" s="3486"/>
      <c r="J1721" s="3486"/>
      <c r="K1721" s="3486"/>
      <c r="L1721" s="3486"/>
      <c r="M1721" s="3486"/>
      <c r="N1721" s="3486"/>
      <c r="O1721" s="3486"/>
      <c r="P1721" s="3486"/>
      <c r="Q1721" s="3486"/>
      <c r="R1721" s="3486"/>
      <c r="S1721" s="3486"/>
      <c r="T1721" s="3486"/>
      <c r="U1721" s="3486"/>
      <c r="V1721" s="3486"/>
      <c r="W1721" s="3486"/>
      <c r="X1721" s="3486"/>
      <c r="Y1721" s="3943"/>
    </row>
    <row r="1722" spans="1:25" s="3492" customFormat="1">
      <c r="A1722" s="3485"/>
      <c r="B1722" s="3486"/>
      <c r="C1722" s="3486"/>
      <c r="D1722" s="3486"/>
      <c r="E1722" s="3486"/>
      <c r="F1722" s="3486"/>
      <c r="G1722" s="3486"/>
      <c r="H1722" s="3486"/>
      <c r="I1722" s="3486"/>
      <c r="J1722" s="3486"/>
      <c r="K1722" s="3486"/>
      <c r="L1722" s="3486"/>
      <c r="M1722" s="3486"/>
      <c r="N1722" s="3486"/>
      <c r="O1722" s="3486"/>
      <c r="P1722" s="3486"/>
      <c r="Q1722" s="3486"/>
      <c r="R1722" s="3486"/>
      <c r="S1722" s="3486"/>
      <c r="T1722" s="3486"/>
      <c r="U1722" s="3486"/>
      <c r="V1722" s="3486"/>
      <c r="W1722" s="3486"/>
      <c r="X1722" s="3486"/>
      <c r="Y1722" s="3943"/>
    </row>
    <row r="1723" spans="1:25" s="3492" customFormat="1">
      <c r="A1723" s="3485"/>
      <c r="B1723" s="3486"/>
      <c r="C1723" s="3486"/>
      <c r="D1723" s="3486"/>
      <c r="E1723" s="3486"/>
      <c r="F1723" s="3486"/>
      <c r="G1723" s="3486"/>
      <c r="H1723" s="3486"/>
      <c r="I1723" s="3486"/>
      <c r="J1723" s="3486"/>
      <c r="K1723" s="3486"/>
      <c r="L1723" s="3486"/>
      <c r="M1723" s="3486"/>
      <c r="N1723" s="3486"/>
      <c r="O1723" s="3486"/>
      <c r="P1723" s="3486"/>
      <c r="Q1723" s="3486"/>
      <c r="R1723" s="3486"/>
      <c r="S1723" s="3486"/>
      <c r="T1723" s="3486"/>
      <c r="U1723" s="3486"/>
      <c r="V1723" s="3486"/>
      <c r="W1723" s="3486"/>
      <c r="X1723" s="3486"/>
      <c r="Y1723" s="3943"/>
    </row>
    <row r="1724" spans="1:25" s="3492" customFormat="1">
      <c r="A1724" s="3485"/>
      <c r="B1724" s="3486"/>
      <c r="C1724" s="3486"/>
      <c r="D1724" s="3486"/>
      <c r="E1724" s="3486"/>
      <c r="F1724" s="3486"/>
      <c r="G1724" s="3486"/>
      <c r="H1724" s="3486"/>
      <c r="I1724" s="3486"/>
      <c r="J1724" s="3486"/>
      <c r="K1724" s="3486"/>
      <c r="L1724" s="3486"/>
      <c r="M1724" s="3486"/>
      <c r="N1724" s="3486"/>
      <c r="O1724" s="3486"/>
      <c r="P1724" s="3486"/>
      <c r="Q1724" s="3486"/>
      <c r="R1724" s="3486"/>
      <c r="S1724" s="3486"/>
      <c r="T1724" s="3486"/>
      <c r="U1724" s="3486"/>
      <c r="V1724" s="3486"/>
      <c r="W1724" s="3486"/>
      <c r="X1724" s="3486"/>
      <c r="Y1724" s="3943"/>
    </row>
    <row r="1725" spans="1:25" s="3492" customFormat="1">
      <c r="A1725" s="3485"/>
      <c r="B1725" s="3486"/>
      <c r="C1725" s="3486"/>
      <c r="D1725" s="3486"/>
      <c r="E1725" s="3486"/>
      <c r="F1725" s="3486"/>
      <c r="G1725" s="3486"/>
      <c r="H1725" s="3486"/>
      <c r="I1725" s="3486"/>
      <c r="J1725" s="3486"/>
      <c r="K1725" s="3486"/>
      <c r="L1725" s="3486"/>
      <c r="M1725" s="3486"/>
      <c r="N1725" s="3486"/>
      <c r="O1725" s="3486"/>
      <c r="P1725" s="3486"/>
      <c r="Q1725" s="3486"/>
      <c r="R1725" s="3486"/>
      <c r="S1725" s="3486"/>
      <c r="T1725" s="3486"/>
      <c r="U1725" s="3486"/>
      <c r="V1725" s="3486"/>
      <c r="W1725" s="3486"/>
      <c r="X1725" s="3486"/>
      <c r="Y1725" s="3943"/>
    </row>
    <row r="1726" spans="1:25" s="3492" customFormat="1">
      <c r="A1726" s="3485"/>
      <c r="B1726" s="3486"/>
      <c r="C1726" s="3486"/>
      <c r="D1726" s="3486"/>
      <c r="E1726" s="3486"/>
      <c r="F1726" s="3486"/>
      <c r="G1726" s="3486"/>
      <c r="H1726" s="3486"/>
      <c r="I1726" s="3486"/>
      <c r="J1726" s="3486"/>
      <c r="K1726" s="3486"/>
      <c r="L1726" s="3486"/>
      <c r="M1726" s="3486"/>
      <c r="N1726" s="3486"/>
      <c r="O1726" s="3486"/>
      <c r="P1726" s="3486"/>
      <c r="Q1726" s="3486"/>
      <c r="R1726" s="3486"/>
      <c r="S1726" s="3486"/>
      <c r="T1726" s="3486"/>
      <c r="U1726" s="3486"/>
      <c r="V1726" s="3486"/>
      <c r="W1726" s="3486"/>
      <c r="X1726" s="3486"/>
      <c r="Y1726" s="3943"/>
    </row>
    <row r="1727" spans="1:25" s="3492" customFormat="1">
      <c r="A1727" s="3485"/>
      <c r="B1727" s="3486"/>
      <c r="C1727" s="3486"/>
      <c r="D1727" s="3486"/>
      <c r="E1727" s="3486"/>
      <c r="F1727" s="3486"/>
      <c r="G1727" s="3486"/>
      <c r="H1727" s="3486"/>
      <c r="I1727" s="3486"/>
      <c r="J1727" s="3486"/>
      <c r="K1727" s="3486"/>
      <c r="L1727" s="3486"/>
      <c r="M1727" s="3486"/>
      <c r="N1727" s="3486"/>
      <c r="O1727" s="3486"/>
      <c r="P1727" s="3486"/>
      <c r="Q1727" s="3486"/>
      <c r="R1727" s="3486"/>
      <c r="S1727" s="3486"/>
      <c r="T1727" s="3486"/>
      <c r="U1727" s="3486"/>
      <c r="V1727" s="3486"/>
      <c r="W1727" s="3486"/>
      <c r="X1727" s="3486"/>
      <c r="Y1727" s="3943"/>
    </row>
    <row r="1728" spans="1:25" s="3492" customFormat="1">
      <c r="A1728" s="3485"/>
      <c r="B1728" s="3486"/>
      <c r="C1728" s="3486"/>
      <c r="D1728" s="3486"/>
      <c r="E1728" s="3486"/>
      <c r="F1728" s="3486"/>
      <c r="G1728" s="3486"/>
      <c r="H1728" s="3486"/>
      <c r="I1728" s="3486"/>
      <c r="J1728" s="3486"/>
      <c r="K1728" s="3486"/>
      <c r="L1728" s="3486"/>
      <c r="M1728" s="3486"/>
      <c r="N1728" s="3486"/>
      <c r="O1728" s="3486"/>
      <c r="P1728" s="3486"/>
      <c r="Q1728" s="3486"/>
      <c r="R1728" s="3486"/>
      <c r="S1728" s="3486"/>
      <c r="T1728" s="3486"/>
      <c r="U1728" s="3486"/>
      <c r="V1728" s="3486"/>
      <c r="W1728" s="3486"/>
      <c r="X1728" s="3486"/>
      <c r="Y1728" s="3943"/>
    </row>
    <row r="1729" spans="1:25" s="3492" customFormat="1">
      <c r="A1729" s="3485"/>
      <c r="B1729" s="3486"/>
      <c r="C1729" s="3486"/>
      <c r="D1729" s="3486"/>
      <c r="E1729" s="3486"/>
      <c r="F1729" s="3486"/>
      <c r="G1729" s="3486"/>
      <c r="H1729" s="3486"/>
      <c r="I1729" s="3486"/>
      <c r="J1729" s="3486"/>
      <c r="K1729" s="3486"/>
      <c r="L1729" s="3486"/>
      <c r="M1729" s="3486"/>
      <c r="N1729" s="3486"/>
      <c r="O1729" s="3486"/>
      <c r="P1729" s="3486"/>
      <c r="Q1729" s="3486"/>
      <c r="R1729" s="3486"/>
      <c r="S1729" s="3486"/>
      <c r="T1729" s="3486"/>
      <c r="U1729" s="3486"/>
      <c r="V1729" s="3486"/>
      <c r="W1729" s="3486"/>
      <c r="X1729" s="3486"/>
      <c r="Y1729" s="3943"/>
    </row>
    <row r="1730" spans="1:25" s="3492" customFormat="1">
      <c r="A1730" s="3485"/>
      <c r="B1730" s="3486"/>
      <c r="C1730" s="3486"/>
      <c r="D1730" s="3486"/>
      <c r="E1730" s="3486"/>
      <c r="F1730" s="3486"/>
      <c r="G1730" s="3486"/>
      <c r="H1730" s="3486"/>
      <c r="I1730" s="3486"/>
      <c r="J1730" s="3486"/>
      <c r="K1730" s="3486"/>
      <c r="L1730" s="3486"/>
      <c r="M1730" s="3486"/>
      <c r="N1730" s="3486"/>
      <c r="O1730" s="3486"/>
      <c r="P1730" s="3486"/>
      <c r="Q1730" s="3486"/>
      <c r="R1730" s="3486"/>
      <c r="S1730" s="3486"/>
      <c r="T1730" s="3486"/>
      <c r="U1730" s="3486"/>
      <c r="V1730" s="3486"/>
      <c r="W1730" s="3486"/>
      <c r="X1730" s="3486"/>
      <c r="Y1730" s="3943"/>
    </row>
    <row r="1731" spans="1:25" s="3492" customFormat="1">
      <c r="A1731" s="3485"/>
      <c r="B1731" s="3486"/>
      <c r="C1731" s="3486"/>
      <c r="D1731" s="3486"/>
      <c r="E1731" s="3486"/>
      <c r="F1731" s="3486"/>
      <c r="G1731" s="3486"/>
      <c r="H1731" s="3486"/>
      <c r="I1731" s="3486"/>
      <c r="J1731" s="3486"/>
      <c r="K1731" s="3486"/>
      <c r="L1731" s="3486"/>
      <c r="M1731" s="3486"/>
      <c r="N1731" s="3486"/>
      <c r="O1731" s="3486"/>
      <c r="P1731" s="3486"/>
      <c r="Q1731" s="3486"/>
      <c r="R1731" s="3486"/>
      <c r="S1731" s="3486"/>
      <c r="T1731" s="3486"/>
      <c r="U1731" s="3486"/>
      <c r="V1731" s="3486"/>
      <c r="W1731" s="3486"/>
      <c r="X1731" s="3486"/>
      <c r="Y1731" s="3943"/>
    </row>
    <row r="1732" spans="1:25" s="3492" customFormat="1">
      <c r="A1732" s="3485"/>
      <c r="B1732" s="3486"/>
      <c r="C1732" s="3486"/>
      <c r="D1732" s="3486"/>
      <c r="E1732" s="3486"/>
      <c r="F1732" s="3486"/>
      <c r="G1732" s="3486"/>
      <c r="H1732" s="3486"/>
      <c r="I1732" s="3486"/>
      <c r="J1732" s="3486"/>
      <c r="K1732" s="3486"/>
      <c r="L1732" s="3486"/>
      <c r="M1732" s="3486"/>
      <c r="N1732" s="3486"/>
      <c r="O1732" s="3486"/>
      <c r="P1732" s="3486"/>
      <c r="Q1732" s="3486"/>
      <c r="R1732" s="3486"/>
      <c r="S1732" s="3486"/>
      <c r="T1732" s="3486"/>
      <c r="U1732" s="3486"/>
      <c r="V1732" s="3486"/>
      <c r="W1732" s="3486"/>
      <c r="X1732" s="3486"/>
      <c r="Y1732" s="3943"/>
    </row>
    <row r="1733" spans="1:25" s="3492" customFormat="1">
      <c r="A1733" s="3485"/>
      <c r="B1733" s="3486"/>
      <c r="C1733" s="3486"/>
      <c r="D1733" s="3486"/>
      <c r="E1733" s="3486"/>
      <c r="F1733" s="3486"/>
      <c r="G1733" s="3486"/>
      <c r="H1733" s="3486"/>
      <c r="I1733" s="3486"/>
      <c r="J1733" s="3486"/>
      <c r="K1733" s="3486"/>
      <c r="L1733" s="3486"/>
      <c r="M1733" s="3486"/>
      <c r="N1733" s="3486"/>
      <c r="O1733" s="3486"/>
      <c r="P1733" s="3486"/>
      <c r="Q1733" s="3486"/>
      <c r="R1733" s="3486"/>
      <c r="S1733" s="3486"/>
      <c r="T1733" s="3486"/>
      <c r="U1733" s="3486"/>
      <c r="V1733" s="3486"/>
      <c r="W1733" s="3486"/>
      <c r="X1733" s="3486"/>
      <c r="Y1733" s="3943"/>
    </row>
    <row r="1734" spans="1:25" s="3492" customFormat="1">
      <c r="A1734" s="3485"/>
      <c r="B1734" s="3486"/>
      <c r="C1734" s="3486"/>
      <c r="D1734" s="3486"/>
      <c r="E1734" s="3486"/>
      <c r="F1734" s="3486"/>
      <c r="G1734" s="3486"/>
      <c r="H1734" s="3486"/>
      <c r="I1734" s="3486"/>
      <c r="J1734" s="3486"/>
      <c r="K1734" s="3486"/>
      <c r="L1734" s="3486"/>
      <c r="M1734" s="3486"/>
      <c r="N1734" s="3486"/>
      <c r="O1734" s="3486"/>
      <c r="P1734" s="3486"/>
      <c r="Q1734" s="3486"/>
      <c r="R1734" s="3486"/>
      <c r="S1734" s="3486"/>
      <c r="T1734" s="3486"/>
      <c r="U1734" s="3486"/>
      <c r="V1734" s="3486"/>
      <c r="W1734" s="3486"/>
      <c r="X1734" s="3486"/>
      <c r="Y1734" s="3943"/>
    </row>
    <row r="1735" spans="1:25" s="3492" customFormat="1">
      <c r="A1735" s="3485"/>
      <c r="B1735" s="3486"/>
      <c r="C1735" s="3486"/>
      <c r="D1735" s="3486"/>
      <c r="E1735" s="3486"/>
      <c r="F1735" s="3486"/>
      <c r="G1735" s="3486"/>
      <c r="H1735" s="3486"/>
      <c r="I1735" s="3486"/>
      <c r="J1735" s="3486"/>
      <c r="K1735" s="3486"/>
      <c r="L1735" s="3486"/>
      <c r="M1735" s="3486"/>
      <c r="N1735" s="3486"/>
      <c r="O1735" s="3486"/>
      <c r="P1735" s="3486"/>
      <c r="Q1735" s="3486"/>
      <c r="R1735" s="3486"/>
      <c r="S1735" s="3486"/>
      <c r="T1735" s="3486"/>
      <c r="U1735" s="3486"/>
      <c r="V1735" s="3486"/>
      <c r="W1735" s="3486"/>
      <c r="X1735" s="3486"/>
      <c r="Y1735" s="3943"/>
    </row>
    <row r="1736" spans="1:25" s="3492" customFormat="1">
      <c r="A1736" s="3485"/>
      <c r="B1736" s="3486"/>
      <c r="C1736" s="3486"/>
      <c r="D1736" s="3486"/>
      <c r="E1736" s="3486"/>
      <c r="F1736" s="3486"/>
      <c r="G1736" s="3486"/>
      <c r="H1736" s="3486"/>
      <c r="I1736" s="3486"/>
      <c r="J1736" s="3486"/>
      <c r="K1736" s="3486"/>
      <c r="L1736" s="3486"/>
      <c r="M1736" s="3486"/>
      <c r="N1736" s="3486"/>
      <c r="O1736" s="3486"/>
      <c r="P1736" s="3486"/>
      <c r="Q1736" s="3486"/>
      <c r="R1736" s="3486"/>
      <c r="S1736" s="3486"/>
      <c r="T1736" s="3486"/>
      <c r="U1736" s="3486"/>
      <c r="V1736" s="3486"/>
      <c r="W1736" s="3486"/>
      <c r="X1736" s="3486"/>
      <c r="Y1736" s="3943"/>
    </row>
    <row r="1737" spans="1:25" s="3492" customFormat="1">
      <c r="A1737" s="3485"/>
      <c r="B1737" s="3486"/>
      <c r="C1737" s="3486"/>
      <c r="D1737" s="3486"/>
      <c r="E1737" s="3486"/>
      <c r="F1737" s="3486"/>
      <c r="G1737" s="3486"/>
      <c r="H1737" s="3486"/>
      <c r="I1737" s="3486"/>
      <c r="J1737" s="3486"/>
      <c r="K1737" s="3486"/>
      <c r="L1737" s="3486"/>
      <c r="M1737" s="3486"/>
      <c r="N1737" s="3486"/>
      <c r="O1737" s="3486"/>
      <c r="P1737" s="3486"/>
      <c r="Q1737" s="3486"/>
      <c r="R1737" s="3486"/>
      <c r="S1737" s="3486"/>
      <c r="T1737" s="3486"/>
      <c r="U1737" s="3486"/>
      <c r="V1737" s="3486"/>
      <c r="W1737" s="3486"/>
      <c r="X1737" s="3486"/>
      <c r="Y1737" s="3943"/>
    </row>
    <row r="1738" spans="1:25" s="3492" customFormat="1">
      <c r="A1738" s="3485"/>
      <c r="B1738" s="3486"/>
      <c r="C1738" s="3486"/>
      <c r="D1738" s="3486"/>
      <c r="E1738" s="3486"/>
      <c r="F1738" s="3486"/>
      <c r="G1738" s="3486"/>
      <c r="H1738" s="3486"/>
      <c r="I1738" s="3486"/>
      <c r="J1738" s="3486"/>
      <c r="K1738" s="3486"/>
      <c r="L1738" s="3486"/>
      <c r="M1738" s="3486"/>
      <c r="N1738" s="3486"/>
      <c r="O1738" s="3486"/>
      <c r="P1738" s="3486"/>
      <c r="Q1738" s="3486"/>
      <c r="R1738" s="3486"/>
      <c r="S1738" s="3486"/>
      <c r="T1738" s="3486"/>
      <c r="U1738" s="3486"/>
      <c r="V1738" s="3486"/>
      <c r="W1738" s="3486"/>
      <c r="X1738" s="3486"/>
      <c r="Y1738" s="3943"/>
    </row>
    <row r="1739" spans="1:25" s="3492" customFormat="1">
      <c r="A1739" s="3485"/>
      <c r="B1739" s="3486"/>
      <c r="C1739" s="3486"/>
      <c r="D1739" s="3486"/>
      <c r="E1739" s="3486"/>
      <c r="F1739" s="3486"/>
      <c r="G1739" s="3486"/>
      <c r="H1739" s="3486"/>
      <c r="I1739" s="3486"/>
      <c r="J1739" s="3486"/>
      <c r="K1739" s="3486"/>
      <c r="L1739" s="3486"/>
      <c r="M1739" s="3486"/>
      <c r="N1739" s="3486"/>
      <c r="O1739" s="3486"/>
      <c r="P1739" s="3486"/>
      <c r="Q1739" s="3486"/>
      <c r="R1739" s="3486"/>
      <c r="S1739" s="3486"/>
      <c r="T1739" s="3486"/>
      <c r="U1739" s="3486"/>
      <c r="V1739" s="3486"/>
      <c r="W1739" s="3486"/>
      <c r="X1739" s="3486"/>
      <c r="Y1739" s="3943"/>
    </row>
    <row r="1740" spans="1:25" s="3492" customFormat="1">
      <c r="A1740" s="3485"/>
      <c r="B1740" s="3486"/>
      <c r="C1740" s="3486"/>
      <c r="D1740" s="3486"/>
      <c r="E1740" s="3486"/>
      <c r="F1740" s="3486"/>
      <c r="G1740" s="3486"/>
      <c r="H1740" s="3486"/>
      <c r="I1740" s="3486"/>
      <c r="J1740" s="3486"/>
      <c r="K1740" s="3486"/>
      <c r="L1740" s="3486"/>
      <c r="M1740" s="3486"/>
      <c r="N1740" s="3486"/>
      <c r="O1740" s="3486"/>
      <c r="P1740" s="3486"/>
      <c r="Q1740" s="3486"/>
      <c r="R1740" s="3486"/>
      <c r="S1740" s="3486"/>
      <c r="T1740" s="3486"/>
      <c r="U1740" s="3486"/>
      <c r="V1740" s="3486"/>
      <c r="W1740" s="3486"/>
      <c r="X1740" s="3486"/>
      <c r="Y1740" s="3943"/>
    </row>
    <row r="1741" spans="1:25" s="3492" customFormat="1">
      <c r="A1741" s="3485"/>
      <c r="B1741" s="3486"/>
      <c r="C1741" s="3486"/>
      <c r="D1741" s="3486"/>
      <c r="E1741" s="3486"/>
      <c r="F1741" s="3486"/>
      <c r="G1741" s="3486"/>
      <c r="H1741" s="3486"/>
      <c r="I1741" s="3486"/>
      <c r="J1741" s="3486"/>
      <c r="K1741" s="3486"/>
      <c r="L1741" s="3486"/>
      <c r="M1741" s="3486"/>
      <c r="N1741" s="3486"/>
      <c r="O1741" s="3486"/>
      <c r="P1741" s="3486"/>
      <c r="Q1741" s="3486"/>
      <c r="R1741" s="3486"/>
      <c r="S1741" s="3486"/>
      <c r="T1741" s="3486"/>
      <c r="U1741" s="3486"/>
      <c r="V1741" s="3486"/>
      <c r="W1741" s="3486"/>
      <c r="X1741" s="3486"/>
      <c r="Y1741" s="3943"/>
    </row>
    <row r="1742" spans="1:25" s="3492" customFormat="1">
      <c r="A1742" s="3485"/>
      <c r="B1742" s="3486"/>
      <c r="C1742" s="3486"/>
      <c r="D1742" s="3486"/>
      <c r="E1742" s="3486"/>
      <c r="F1742" s="3486"/>
      <c r="G1742" s="3486"/>
      <c r="H1742" s="3486"/>
      <c r="I1742" s="3486"/>
      <c r="J1742" s="3486"/>
      <c r="K1742" s="3486"/>
      <c r="L1742" s="3486"/>
      <c r="M1742" s="3486"/>
      <c r="N1742" s="3486"/>
      <c r="O1742" s="3486"/>
      <c r="P1742" s="3486"/>
      <c r="Q1742" s="3486"/>
      <c r="R1742" s="3486"/>
      <c r="S1742" s="3486"/>
      <c r="T1742" s="3486"/>
      <c r="U1742" s="3486"/>
      <c r="V1742" s="3486"/>
      <c r="W1742" s="3486"/>
      <c r="X1742" s="3486"/>
      <c r="Y1742" s="3943"/>
    </row>
    <row r="1743" spans="1:25" s="3492" customFormat="1">
      <c r="A1743" s="3485"/>
      <c r="B1743" s="3486"/>
      <c r="C1743" s="3486"/>
      <c r="D1743" s="3486"/>
      <c r="E1743" s="3486"/>
      <c r="F1743" s="3486"/>
      <c r="G1743" s="3486"/>
      <c r="H1743" s="3486"/>
      <c r="I1743" s="3486"/>
      <c r="J1743" s="3486"/>
      <c r="K1743" s="3486"/>
      <c r="L1743" s="3486"/>
      <c r="M1743" s="3486"/>
      <c r="N1743" s="3486"/>
      <c r="O1743" s="3486"/>
      <c r="P1743" s="3486"/>
      <c r="Q1743" s="3486"/>
      <c r="R1743" s="3486"/>
      <c r="S1743" s="3486"/>
      <c r="T1743" s="3486"/>
      <c r="U1743" s="3486"/>
      <c r="V1743" s="3486"/>
      <c r="W1743" s="3486"/>
      <c r="X1743" s="3486"/>
      <c r="Y1743" s="3943"/>
    </row>
    <row r="1744" spans="1:25" s="3492" customFormat="1">
      <c r="A1744" s="3485"/>
      <c r="B1744" s="3486"/>
      <c r="C1744" s="3486"/>
      <c r="D1744" s="3486"/>
      <c r="E1744" s="3486"/>
      <c r="F1744" s="3486"/>
      <c r="G1744" s="3486"/>
      <c r="H1744" s="3486"/>
      <c r="I1744" s="3486"/>
      <c r="J1744" s="3486"/>
      <c r="K1744" s="3486"/>
      <c r="L1744" s="3486"/>
      <c r="M1744" s="3486"/>
      <c r="N1744" s="3486"/>
      <c r="O1744" s="3486"/>
      <c r="P1744" s="3486"/>
      <c r="Q1744" s="3486"/>
      <c r="R1744" s="3486"/>
      <c r="S1744" s="3486"/>
      <c r="T1744" s="3486"/>
      <c r="U1744" s="3486"/>
      <c r="V1744" s="3486"/>
      <c r="W1744" s="3486"/>
      <c r="X1744" s="3486"/>
      <c r="Y1744" s="3943"/>
    </row>
    <row r="1745" spans="1:25" s="3492" customFormat="1">
      <c r="A1745" s="3485"/>
      <c r="B1745" s="3486"/>
      <c r="C1745" s="3486"/>
      <c r="D1745" s="3486"/>
      <c r="E1745" s="3486"/>
      <c r="F1745" s="3486"/>
      <c r="G1745" s="3486"/>
      <c r="H1745" s="3486"/>
      <c r="I1745" s="3486"/>
      <c r="J1745" s="3486"/>
      <c r="K1745" s="3486"/>
      <c r="L1745" s="3486"/>
      <c r="M1745" s="3486"/>
      <c r="N1745" s="3486"/>
      <c r="O1745" s="3486"/>
      <c r="P1745" s="3486"/>
      <c r="Q1745" s="3486"/>
      <c r="R1745" s="3486"/>
      <c r="S1745" s="3486"/>
      <c r="T1745" s="3486"/>
      <c r="U1745" s="3486"/>
      <c r="V1745" s="3486"/>
      <c r="W1745" s="3486"/>
      <c r="X1745" s="3486"/>
      <c r="Y1745" s="3943"/>
    </row>
    <row r="1746" spans="1:25" s="3492" customFormat="1">
      <c r="A1746" s="3485"/>
      <c r="B1746" s="3486"/>
      <c r="C1746" s="3486"/>
      <c r="D1746" s="3486"/>
      <c r="E1746" s="3486"/>
      <c r="F1746" s="3486"/>
      <c r="G1746" s="3486"/>
      <c r="H1746" s="3486"/>
      <c r="I1746" s="3486"/>
      <c r="J1746" s="3486"/>
      <c r="K1746" s="3486"/>
      <c r="L1746" s="3486"/>
      <c r="M1746" s="3486"/>
      <c r="N1746" s="3486"/>
      <c r="O1746" s="3486"/>
      <c r="P1746" s="3486"/>
      <c r="Q1746" s="3486"/>
      <c r="R1746" s="3486"/>
      <c r="S1746" s="3486"/>
      <c r="T1746" s="3486"/>
      <c r="U1746" s="3486"/>
      <c r="V1746" s="3486"/>
      <c r="W1746" s="3486"/>
      <c r="X1746" s="3486"/>
      <c r="Y1746" s="3943"/>
    </row>
    <row r="1747" spans="1:25" s="3492" customFormat="1">
      <c r="A1747" s="3485"/>
      <c r="B1747" s="3486"/>
      <c r="C1747" s="3486"/>
      <c r="D1747" s="3486"/>
      <c r="E1747" s="3486"/>
      <c r="F1747" s="3486"/>
      <c r="G1747" s="3486"/>
      <c r="H1747" s="3486"/>
      <c r="I1747" s="3486"/>
      <c r="J1747" s="3486"/>
      <c r="K1747" s="3486"/>
      <c r="L1747" s="3486"/>
      <c r="M1747" s="3486"/>
      <c r="N1747" s="3486"/>
      <c r="O1747" s="3486"/>
      <c r="P1747" s="3486"/>
      <c r="Q1747" s="3486"/>
      <c r="R1747" s="3486"/>
      <c r="S1747" s="3486"/>
      <c r="T1747" s="3486"/>
      <c r="U1747" s="3486"/>
      <c r="V1747" s="3486"/>
      <c r="W1747" s="3486"/>
      <c r="X1747" s="3486"/>
      <c r="Y1747" s="3943"/>
    </row>
    <row r="1748" spans="1:25" s="3492" customFormat="1">
      <c r="A1748" s="3485"/>
      <c r="B1748" s="3486"/>
      <c r="C1748" s="3486"/>
      <c r="D1748" s="3486"/>
      <c r="E1748" s="3486"/>
      <c r="F1748" s="3486"/>
      <c r="G1748" s="3486"/>
      <c r="H1748" s="3486"/>
      <c r="I1748" s="3486"/>
      <c r="J1748" s="3486"/>
      <c r="K1748" s="3486"/>
      <c r="L1748" s="3486"/>
      <c r="M1748" s="3486"/>
      <c r="N1748" s="3486"/>
      <c r="O1748" s="3486"/>
      <c r="P1748" s="3486"/>
      <c r="Q1748" s="3486"/>
      <c r="R1748" s="3486"/>
      <c r="S1748" s="3486"/>
      <c r="T1748" s="3486"/>
      <c r="U1748" s="3486"/>
      <c r="V1748" s="3486"/>
      <c r="W1748" s="3486"/>
      <c r="X1748" s="3486"/>
      <c r="Y1748" s="3943"/>
    </row>
    <row r="1749" spans="1:25" s="3492" customFormat="1">
      <c r="A1749" s="3485"/>
      <c r="B1749" s="3486"/>
      <c r="C1749" s="3486"/>
      <c r="D1749" s="3486"/>
      <c r="E1749" s="3486"/>
      <c r="F1749" s="3486"/>
      <c r="G1749" s="3486"/>
      <c r="H1749" s="3486"/>
      <c r="I1749" s="3486"/>
      <c r="J1749" s="3486"/>
      <c r="K1749" s="3486"/>
      <c r="L1749" s="3486"/>
      <c r="M1749" s="3486"/>
      <c r="N1749" s="3486"/>
      <c r="O1749" s="3486"/>
      <c r="P1749" s="3486"/>
      <c r="Q1749" s="3486"/>
      <c r="R1749" s="3486"/>
      <c r="S1749" s="3486"/>
      <c r="T1749" s="3486"/>
      <c r="U1749" s="3486"/>
      <c r="V1749" s="3486"/>
      <c r="W1749" s="3486"/>
      <c r="X1749" s="3486"/>
      <c r="Y1749" s="3943"/>
    </row>
    <row r="1750" spans="1:25" s="3492" customFormat="1">
      <c r="A1750" s="3485"/>
      <c r="B1750" s="3486"/>
      <c r="C1750" s="3486"/>
      <c r="D1750" s="3486"/>
      <c r="E1750" s="3486"/>
      <c r="F1750" s="3486"/>
      <c r="G1750" s="3486"/>
      <c r="H1750" s="3486"/>
      <c r="I1750" s="3486"/>
      <c r="J1750" s="3486"/>
      <c r="K1750" s="3486"/>
      <c r="L1750" s="3486"/>
      <c r="M1750" s="3486"/>
      <c r="N1750" s="3486"/>
      <c r="O1750" s="3486"/>
      <c r="P1750" s="3486"/>
      <c r="Q1750" s="3486"/>
      <c r="R1750" s="3486"/>
      <c r="S1750" s="3486"/>
      <c r="T1750" s="3486"/>
      <c r="U1750" s="3486"/>
      <c r="V1750" s="3486"/>
      <c r="W1750" s="3486"/>
      <c r="X1750" s="3486"/>
      <c r="Y1750" s="3943"/>
    </row>
    <row r="1751" spans="1:25" s="3492" customFormat="1">
      <c r="A1751" s="3485"/>
      <c r="B1751" s="3486"/>
      <c r="C1751" s="3486"/>
      <c r="D1751" s="3486"/>
      <c r="E1751" s="3486"/>
      <c r="F1751" s="3486"/>
      <c r="G1751" s="3486"/>
      <c r="H1751" s="3486"/>
      <c r="I1751" s="3486"/>
      <c r="J1751" s="3486"/>
      <c r="K1751" s="3486"/>
      <c r="L1751" s="3486"/>
      <c r="M1751" s="3486"/>
      <c r="N1751" s="3486"/>
      <c r="O1751" s="3486"/>
      <c r="P1751" s="3486"/>
      <c r="Q1751" s="3486"/>
      <c r="R1751" s="3486"/>
      <c r="S1751" s="3486"/>
      <c r="T1751" s="3486"/>
      <c r="U1751" s="3486"/>
      <c r="V1751" s="3486"/>
      <c r="W1751" s="3486"/>
      <c r="X1751" s="3486"/>
      <c r="Y1751" s="3943"/>
    </row>
    <row r="1752" spans="1:25" s="3492" customFormat="1">
      <c r="A1752" s="3485"/>
      <c r="B1752" s="3486"/>
      <c r="C1752" s="3486"/>
      <c r="D1752" s="3486"/>
      <c r="E1752" s="3486"/>
      <c r="F1752" s="3486"/>
      <c r="G1752" s="3486"/>
      <c r="H1752" s="3486"/>
      <c r="I1752" s="3486"/>
      <c r="J1752" s="3486"/>
      <c r="K1752" s="3486"/>
      <c r="L1752" s="3486"/>
      <c r="M1752" s="3486"/>
      <c r="N1752" s="3486"/>
      <c r="O1752" s="3486"/>
      <c r="P1752" s="3486"/>
      <c r="Q1752" s="3486"/>
      <c r="R1752" s="3486"/>
      <c r="S1752" s="3486"/>
      <c r="T1752" s="3486"/>
      <c r="U1752" s="3486"/>
      <c r="V1752" s="3486"/>
      <c r="W1752" s="3486"/>
      <c r="X1752" s="3486"/>
      <c r="Y1752" s="3943"/>
    </row>
    <row r="1753" spans="1:25" s="3492" customFormat="1">
      <c r="A1753" s="3485"/>
      <c r="B1753" s="3486"/>
      <c r="C1753" s="3486"/>
      <c r="D1753" s="3486"/>
      <c r="E1753" s="3486"/>
      <c r="F1753" s="3486"/>
      <c r="G1753" s="3486"/>
      <c r="H1753" s="3486"/>
      <c r="I1753" s="3486"/>
      <c r="J1753" s="3486"/>
      <c r="K1753" s="3486"/>
      <c r="L1753" s="3486"/>
      <c r="M1753" s="3486"/>
      <c r="N1753" s="3486"/>
      <c r="O1753" s="3486"/>
      <c r="P1753" s="3486"/>
      <c r="Q1753" s="3486"/>
      <c r="R1753" s="3486"/>
      <c r="S1753" s="3486"/>
      <c r="T1753" s="3486"/>
      <c r="U1753" s="3486"/>
      <c r="V1753" s="3486"/>
      <c r="W1753" s="3486"/>
      <c r="X1753" s="3486"/>
      <c r="Y1753" s="3943"/>
    </row>
    <row r="1754" spans="1:25" s="3492" customFormat="1">
      <c r="A1754" s="3485"/>
      <c r="B1754" s="3486"/>
      <c r="C1754" s="3486"/>
      <c r="D1754" s="3486"/>
      <c r="E1754" s="3486"/>
      <c r="F1754" s="3486"/>
      <c r="G1754" s="3486"/>
      <c r="H1754" s="3486"/>
      <c r="I1754" s="3486"/>
      <c r="J1754" s="3486"/>
      <c r="K1754" s="3486"/>
      <c r="L1754" s="3486"/>
      <c r="M1754" s="3486"/>
      <c r="N1754" s="3486"/>
      <c r="O1754" s="3486"/>
      <c r="P1754" s="3486"/>
      <c r="Q1754" s="3486"/>
      <c r="R1754" s="3486"/>
      <c r="S1754" s="3486"/>
      <c r="T1754" s="3486"/>
      <c r="U1754" s="3486"/>
      <c r="V1754" s="3486"/>
      <c r="W1754" s="3486"/>
      <c r="X1754" s="3486"/>
      <c r="Y1754" s="3943"/>
    </row>
    <row r="1755" spans="1:25" s="3492" customFormat="1">
      <c r="A1755" s="3485"/>
      <c r="B1755" s="3486"/>
      <c r="C1755" s="3486"/>
      <c r="D1755" s="3486"/>
      <c r="E1755" s="3486"/>
      <c r="F1755" s="3486"/>
      <c r="G1755" s="3486"/>
      <c r="H1755" s="3486"/>
      <c r="I1755" s="3486"/>
      <c r="J1755" s="3486"/>
      <c r="K1755" s="3486"/>
      <c r="L1755" s="3486"/>
      <c r="M1755" s="3486"/>
      <c r="N1755" s="3486"/>
      <c r="O1755" s="3486"/>
      <c r="P1755" s="3486"/>
      <c r="Q1755" s="3486"/>
      <c r="R1755" s="3486"/>
      <c r="S1755" s="3486"/>
      <c r="T1755" s="3486"/>
      <c r="U1755" s="3486"/>
      <c r="V1755" s="3486"/>
      <c r="W1755" s="3486"/>
      <c r="X1755" s="3486"/>
      <c r="Y1755" s="3943"/>
    </row>
    <row r="1756" spans="1:25" s="3492" customFormat="1">
      <c r="A1756" s="3485"/>
      <c r="B1756" s="3486"/>
      <c r="C1756" s="3486"/>
      <c r="D1756" s="3486"/>
      <c r="E1756" s="3486"/>
      <c r="F1756" s="3486"/>
      <c r="G1756" s="3486"/>
      <c r="H1756" s="3486"/>
      <c r="I1756" s="3486"/>
      <c r="J1756" s="3486"/>
      <c r="K1756" s="3486"/>
      <c r="L1756" s="3486"/>
      <c r="M1756" s="3486"/>
      <c r="N1756" s="3486"/>
      <c r="O1756" s="3486"/>
      <c r="P1756" s="3486"/>
      <c r="Q1756" s="3486"/>
      <c r="R1756" s="3486"/>
      <c r="S1756" s="3486"/>
      <c r="T1756" s="3486"/>
      <c r="U1756" s="3486"/>
      <c r="V1756" s="3486"/>
      <c r="W1756" s="3486"/>
      <c r="X1756" s="3486"/>
      <c r="Y1756" s="3943"/>
    </row>
    <row r="1757" spans="1:25" s="3492" customFormat="1">
      <c r="A1757" s="3485"/>
      <c r="B1757" s="3486"/>
      <c r="C1757" s="3486"/>
      <c r="D1757" s="3486"/>
      <c r="E1757" s="3486"/>
      <c r="F1757" s="3486"/>
      <c r="G1757" s="3486"/>
      <c r="H1757" s="3486"/>
      <c r="I1757" s="3486"/>
      <c r="J1757" s="3486"/>
      <c r="K1757" s="3486"/>
      <c r="L1757" s="3486"/>
      <c r="M1757" s="3486"/>
      <c r="N1757" s="3486"/>
      <c r="O1757" s="3486"/>
      <c r="P1757" s="3486"/>
      <c r="Q1757" s="3486"/>
      <c r="R1757" s="3486"/>
      <c r="S1757" s="3486"/>
      <c r="T1757" s="3486"/>
      <c r="U1757" s="3486"/>
      <c r="V1757" s="3486"/>
      <c r="W1757" s="3486"/>
      <c r="X1757" s="3486"/>
      <c r="Y1757" s="3943"/>
    </row>
    <row r="1758" spans="1:25" s="3492" customFormat="1">
      <c r="A1758" s="3485"/>
      <c r="B1758" s="3486"/>
      <c r="C1758" s="3486"/>
      <c r="D1758" s="3486"/>
      <c r="E1758" s="3486"/>
      <c r="F1758" s="3486"/>
      <c r="G1758" s="3486"/>
      <c r="H1758" s="3486"/>
      <c r="I1758" s="3486"/>
      <c r="J1758" s="3486"/>
      <c r="K1758" s="3486"/>
      <c r="L1758" s="3486"/>
      <c r="M1758" s="3486"/>
      <c r="N1758" s="3486"/>
      <c r="O1758" s="3486"/>
      <c r="P1758" s="3486"/>
      <c r="Q1758" s="3486"/>
      <c r="R1758" s="3486"/>
      <c r="S1758" s="3486"/>
      <c r="T1758" s="3486"/>
      <c r="U1758" s="3486"/>
      <c r="V1758" s="3486"/>
      <c r="W1758" s="3486"/>
      <c r="X1758" s="3486"/>
      <c r="Y1758" s="3943"/>
    </row>
    <row r="1759" spans="1:25" s="3492" customFormat="1">
      <c r="A1759" s="3485"/>
      <c r="B1759" s="3486"/>
      <c r="C1759" s="3486"/>
      <c r="D1759" s="3486"/>
      <c r="E1759" s="3486"/>
      <c r="F1759" s="3486"/>
      <c r="G1759" s="3486"/>
      <c r="H1759" s="3486"/>
      <c r="I1759" s="3486"/>
      <c r="J1759" s="3486"/>
      <c r="K1759" s="3486"/>
      <c r="L1759" s="3486"/>
      <c r="M1759" s="3486"/>
      <c r="N1759" s="3486"/>
      <c r="O1759" s="3486"/>
      <c r="P1759" s="3486"/>
      <c r="Q1759" s="3486"/>
      <c r="R1759" s="3486"/>
      <c r="S1759" s="3486"/>
      <c r="T1759" s="3486"/>
      <c r="U1759" s="3486"/>
      <c r="V1759" s="3486"/>
      <c r="W1759" s="3486"/>
      <c r="X1759" s="3486"/>
      <c r="Y1759" s="3943"/>
    </row>
    <row r="1760" spans="1:25" s="3492" customFormat="1">
      <c r="A1760" s="3485"/>
      <c r="B1760" s="3486"/>
      <c r="C1760" s="3486"/>
      <c r="D1760" s="3486"/>
      <c r="E1760" s="3486"/>
      <c r="F1760" s="3486"/>
      <c r="G1760" s="3486"/>
      <c r="H1760" s="3486"/>
      <c r="I1760" s="3486"/>
      <c r="J1760" s="3486"/>
      <c r="K1760" s="3486"/>
      <c r="L1760" s="3486"/>
      <c r="M1760" s="3486"/>
      <c r="N1760" s="3486"/>
      <c r="O1760" s="3486"/>
      <c r="P1760" s="3486"/>
      <c r="Q1760" s="3486"/>
      <c r="R1760" s="3486"/>
      <c r="S1760" s="3486"/>
      <c r="T1760" s="3486"/>
      <c r="U1760" s="3486"/>
      <c r="V1760" s="3486"/>
      <c r="W1760" s="3486"/>
      <c r="X1760" s="3486"/>
      <c r="Y1760" s="3943"/>
    </row>
    <row r="1761" spans="1:25" s="3492" customFormat="1">
      <c r="A1761" s="3485"/>
      <c r="B1761" s="3486"/>
      <c r="C1761" s="3486"/>
      <c r="D1761" s="3486"/>
      <c r="E1761" s="3486"/>
      <c r="F1761" s="3486"/>
      <c r="G1761" s="3486"/>
      <c r="H1761" s="3486"/>
      <c r="I1761" s="3486"/>
      <c r="J1761" s="3486"/>
      <c r="K1761" s="3486"/>
      <c r="L1761" s="3486"/>
      <c r="M1761" s="3486"/>
      <c r="N1761" s="3486"/>
      <c r="O1761" s="3486"/>
      <c r="P1761" s="3486"/>
      <c r="Q1761" s="3486"/>
      <c r="R1761" s="3486"/>
      <c r="S1761" s="3486"/>
      <c r="T1761" s="3486"/>
      <c r="U1761" s="3486"/>
      <c r="V1761" s="3486"/>
      <c r="W1761" s="3486"/>
      <c r="X1761" s="3486"/>
      <c r="Y1761" s="3943"/>
    </row>
    <row r="1762" spans="1:25" s="3492" customFormat="1">
      <c r="A1762" s="3485"/>
      <c r="B1762" s="3486"/>
      <c r="C1762" s="3486"/>
      <c r="D1762" s="3486"/>
      <c r="E1762" s="3486"/>
      <c r="F1762" s="3486"/>
      <c r="G1762" s="3486"/>
      <c r="H1762" s="3486"/>
      <c r="I1762" s="3486"/>
      <c r="J1762" s="3486"/>
      <c r="K1762" s="3486"/>
      <c r="L1762" s="3486"/>
      <c r="M1762" s="3486"/>
      <c r="N1762" s="3486"/>
      <c r="O1762" s="3486"/>
      <c r="P1762" s="3486"/>
      <c r="Q1762" s="3486"/>
      <c r="R1762" s="3486"/>
      <c r="S1762" s="3486"/>
      <c r="T1762" s="3486"/>
      <c r="U1762" s="3486"/>
      <c r="V1762" s="3486"/>
      <c r="W1762" s="3486"/>
      <c r="X1762" s="3486"/>
      <c r="Y1762" s="3943"/>
    </row>
    <row r="1763" spans="1:25" s="3492" customFormat="1">
      <c r="A1763" s="3485"/>
      <c r="B1763" s="3486"/>
      <c r="C1763" s="3486"/>
      <c r="D1763" s="3486"/>
      <c r="E1763" s="3486"/>
      <c r="F1763" s="3486"/>
      <c r="G1763" s="3486"/>
      <c r="H1763" s="3486"/>
      <c r="I1763" s="3486"/>
      <c r="J1763" s="3486"/>
      <c r="K1763" s="3486"/>
      <c r="L1763" s="3486"/>
      <c r="M1763" s="3486"/>
      <c r="N1763" s="3486"/>
      <c r="O1763" s="3486"/>
      <c r="P1763" s="3486"/>
      <c r="Q1763" s="3486"/>
      <c r="R1763" s="3486"/>
      <c r="S1763" s="3486"/>
      <c r="T1763" s="3486"/>
      <c r="U1763" s="3486"/>
      <c r="V1763" s="3486"/>
      <c r="W1763" s="3486"/>
      <c r="X1763" s="3486"/>
      <c r="Y1763" s="3943"/>
    </row>
    <row r="1764" spans="1:25" s="3492" customFormat="1">
      <c r="A1764" s="3485"/>
      <c r="B1764" s="3486"/>
      <c r="C1764" s="3486"/>
      <c r="D1764" s="3486"/>
      <c r="E1764" s="3486"/>
      <c r="F1764" s="3486"/>
      <c r="G1764" s="3486"/>
      <c r="H1764" s="3486"/>
      <c r="I1764" s="3486"/>
      <c r="J1764" s="3486"/>
      <c r="K1764" s="3486"/>
      <c r="L1764" s="3486"/>
      <c r="M1764" s="3486"/>
      <c r="N1764" s="3486"/>
      <c r="O1764" s="3486"/>
      <c r="P1764" s="3486"/>
      <c r="Q1764" s="3486"/>
      <c r="R1764" s="3486"/>
      <c r="S1764" s="3486"/>
      <c r="T1764" s="3486"/>
      <c r="U1764" s="3486"/>
      <c r="V1764" s="3486"/>
      <c r="W1764" s="3486"/>
      <c r="X1764" s="3486"/>
      <c r="Y1764" s="3943"/>
    </row>
    <row r="1765" spans="1:25" s="3492" customFormat="1">
      <c r="A1765" s="3485"/>
      <c r="B1765" s="3486"/>
      <c r="C1765" s="3486"/>
      <c r="D1765" s="3486"/>
      <c r="E1765" s="3486"/>
      <c r="F1765" s="3486"/>
      <c r="G1765" s="3486"/>
      <c r="H1765" s="3486"/>
      <c r="I1765" s="3486"/>
      <c r="J1765" s="3486"/>
      <c r="K1765" s="3486"/>
      <c r="L1765" s="3486"/>
      <c r="M1765" s="3486"/>
      <c r="N1765" s="3486"/>
      <c r="O1765" s="3486"/>
      <c r="P1765" s="3486"/>
      <c r="Q1765" s="3486"/>
      <c r="R1765" s="3486"/>
      <c r="S1765" s="3486"/>
      <c r="T1765" s="3486"/>
      <c r="U1765" s="3486"/>
      <c r="V1765" s="3486"/>
      <c r="W1765" s="3486"/>
      <c r="X1765" s="3486"/>
      <c r="Y1765" s="3943"/>
    </row>
    <row r="1766" spans="1:25" s="3492" customFormat="1">
      <c r="A1766" s="3485"/>
      <c r="B1766" s="3486"/>
      <c r="C1766" s="3486"/>
      <c r="D1766" s="3486"/>
      <c r="E1766" s="3486"/>
      <c r="F1766" s="3486"/>
      <c r="G1766" s="3486"/>
      <c r="H1766" s="3486"/>
      <c r="I1766" s="3486"/>
      <c r="J1766" s="3486"/>
      <c r="K1766" s="3486"/>
      <c r="L1766" s="3486"/>
      <c r="M1766" s="3486"/>
      <c r="N1766" s="3486"/>
      <c r="O1766" s="3486"/>
      <c r="P1766" s="3486"/>
      <c r="Q1766" s="3486"/>
      <c r="R1766" s="3486"/>
      <c r="S1766" s="3486"/>
      <c r="T1766" s="3486"/>
      <c r="U1766" s="3486"/>
      <c r="V1766" s="3486"/>
      <c r="W1766" s="3486"/>
      <c r="X1766" s="3486"/>
      <c r="Y1766" s="3943"/>
    </row>
    <row r="1767" spans="1:25" s="3492" customFormat="1">
      <c r="A1767" s="3485"/>
      <c r="B1767" s="3486"/>
      <c r="C1767" s="3486"/>
      <c r="D1767" s="3486"/>
      <c r="E1767" s="3486"/>
      <c r="F1767" s="3486"/>
      <c r="G1767" s="3486"/>
      <c r="H1767" s="3486"/>
      <c r="I1767" s="3486"/>
      <c r="J1767" s="3486"/>
      <c r="K1767" s="3486"/>
      <c r="L1767" s="3486"/>
      <c r="M1767" s="3486"/>
      <c r="N1767" s="3486"/>
      <c r="O1767" s="3486"/>
      <c r="P1767" s="3486"/>
      <c r="Q1767" s="3486"/>
      <c r="R1767" s="3486"/>
      <c r="S1767" s="3486"/>
      <c r="T1767" s="3486"/>
      <c r="U1767" s="3486"/>
      <c r="V1767" s="3486"/>
      <c r="W1767" s="3486"/>
      <c r="X1767" s="3486"/>
      <c r="Y1767" s="3943"/>
    </row>
    <row r="1768" spans="1:25" s="3492" customFormat="1">
      <c r="A1768" s="3485"/>
      <c r="B1768" s="3486"/>
      <c r="C1768" s="3486"/>
      <c r="D1768" s="3486"/>
      <c r="E1768" s="3486"/>
      <c r="F1768" s="3486"/>
      <c r="G1768" s="3486"/>
      <c r="H1768" s="3486"/>
      <c r="I1768" s="3486"/>
      <c r="J1768" s="3486"/>
      <c r="K1768" s="3486"/>
      <c r="L1768" s="3486"/>
      <c r="M1768" s="3486"/>
      <c r="N1768" s="3486"/>
      <c r="O1768" s="3486"/>
      <c r="P1768" s="3486"/>
      <c r="Q1768" s="3486"/>
      <c r="R1768" s="3486"/>
      <c r="S1768" s="3486"/>
      <c r="T1768" s="3486"/>
      <c r="U1768" s="3486"/>
      <c r="V1768" s="3486"/>
      <c r="W1768" s="3486"/>
      <c r="X1768" s="3486"/>
      <c r="Y1768" s="3943"/>
    </row>
    <row r="1769" spans="1:25" s="3492" customFormat="1">
      <c r="A1769" s="3485"/>
      <c r="B1769" s="3486"/>
      <c r="C1769" s="3486"/>
      <c r="D1769" s="3486"/>
      <c r="E1769" s="3486"/>
      <c r="F1769" s="3486"/>
      <c r="G1769" s="3486"/>
      <c r="H1769" s="3486"/>
      <c r="I1769" s="3486"/>
      <c r="J1769" s="3486"/>
      <c r="K1769" s="3486"/>
      <c r="L1769" s="3486"/>
      <c r="M1769" s="3486"/>
      <c r="N1769" s="3486"/>
      <c r="O1769" s="3486"/>
      <c r="P1769" s="3486"/>
      <c r="Q1769" s="3486"/>
      <c r="R1769" s="3486"/>
      <c r="S1769" s="3486"/>
      <c r="T1769" s="3486"/>
      <c r="U1769" s="3486"/>
      <c r="V1769" s="3486"/>
      <c r="W1769" s="3486"/>
      <c r="X1769" s="3486"/>
      <c r="Y1769" s="3943"/>
    </row>
    <row r="1770" spans="1:25" s="3492" customFormat="1">
      <c r="A1770" s="3485"/>
      <c r="B1770" s="3486"/>
      <c r="C1770" s="3486"/>
      <c r="D1770" s="3486"/>
      <c r="E1770" s="3486"/>
      <c r="F1770" s="3486"/>
      <c r="G1770" s="3486"/>
      <c r="H1770" s="3486"/>
      <c r="I1770" s="3486"/>
      <c r="J1770" s="3486"/>
      <c r="K1770" s="3486"/>
      <c r="L1770" s="3486"/>
      <c r="M1770" s="3486"/>
      <c r="N1770" s="3486"/>
      <c r="O1770" s="3486"/>
      <c r="P1770" s="3486"/>
      <c r="Q1770" s="3486"/>
      <c r="R1770" s="3486"/>
      <c r="S1770" s="3486"/>
      <c r="T1770" s="3486"/>
      <c r="U1770" s="3486"/>
      <c r="V1770" s="3486"/>
      <c r="W1770" s="3486"/>
      <c r="X1770" s="3486"/>
      <c r="Y1770" s="3943"/>
    </row>
    <row r="1771" spans="1:25" s="3492" customFormat="1">
      <c r="A1771" s="3485"/>
      <c r="B1771" s="3486"/>
      <c r="C1771" s="3486"/>
      <c r="D1771" s="3486"/>
      <c r="E1771" s="3486"/>
      <c r="F1771" s="3486"/>
      <c r="G1771" s="3486"/>
      <c r="H1771" s="3486"/>
      <c r="I1771" s="3486"/>
      <c r="J1771" s="3486"/>
      <c r="K1771" s="3486"/>
      <c r="L1771" s="3486"/>
      <c r="M1771" s="3486"/>
      <c r="N1771" s="3486"/>
      <c r="O1771" s="3486"/>
      <c r="P1771" s="3486"/>
      <c r="Q1771" s="3486"/>
      <c r="R1771" s="3486"/>
      <c r="S1771" s="3486"/>
      <c r="T1771" s="3486"/>
      <c r="U1771" s="3486"/>
      <c r="V1771" s="3486"/>
      <c r="W1771" s="3486"/>
      <c r="X1771" s="3486"/>
      <c r="Y1771" s="3943"/>
    </row>
    <row r="1772" spans="1:25" s="3492" customFormat="1">
      <c r="A1772" s="3485"/>
      <c r="B1772" s="3486"/>
      <c r="C1772" s="3486"/>
      <c r="D1772" s="3486"/>
      <c r="E1772" s="3486"/>
      <c r="F1772" s="3486"/>
      <c r="G1772" s="3486"/>
      <c r="H1772" s="3486"/>
      <c r="I1772" s="3486"/>
      <c r="J1772" s="3486"/>
      <c r="K1772" s="3486"/>
      <c r="L1772" s="3486"/>
      <c r="M1772" s="3486"/>
      <c r="N1772" s="3486"/>
      <c r="O1772" s="3486"/>
      <c r="P1772" s="3486"/>
      <c r="Q1772" s="3486"/>
      <c r="R1772" s="3486"/>
      <c r="S1772" s="3486"/>
      <c r="T1772" s="3486"/>
      <c r="U1772" s="3486"/>
      <c r="V1772" s="3486"/>
      <c r="W1772" s="3486"/>
      <c r="X1772" s="3486"/>
      <c r="Y1772" s="3943"/>
    </row>
    <row r="1773" spans="1:25" s="3492" customFormat="1">
      <c r="A1773" s="3485"/>
      <c r="B1773" s="3486"/>
      <c r="C1773" s="3486"/>
      <c r="D1773" s="3486"/>
      <c r="E1773" s="3486"/>
      <c r="F1773" s="3486"/>
      <c r="G1773" s="3486"/>
      <c r="H1773" s="3486"/>
      <c r="I1773" s="3486"/>
      <c r="J1773" s="3486"/>
      <c r="K1773" s="3486"/>
      <c r="L1773" s="3486"/>
      <c r="M1773" s="3486"/>
      <c r="N1773" s="3486"/>
      <c r="O1773" s="3486"/>
      <c r="P1773" s="3486"/>
      <c r="Q1773" s="3486"/>
      <c r="R1773" s="3486"/>
      <c r="S1773" s="3486"/>
      <c r="T1773" s="3486"/>
      <c r="U1773" s="3486"/>
      <c r="V1773" s="3486"/>
      <c r="W1773" s="3486"/>
      <c r="X1773" s="3486"/>
      <c r="Y1773" s="3943"/>
    </row>
    <row r="1774" spans="1:25" s="3492" customFormat="1">
      <c r="A1774" s="3485"/>
      <c r="B1774" s="3486"/>
      <c r="C1774" s="3486"/>
      <c r="D1774" s="3486"/>
      <c r="E1774" s="3486"/>
      <c r="F1774" s="3486"/>
      <c r="G1774" s="3486"/>
      <c r="H1774" s="3486"/>
      <c r="I1774" s="3486"/>
      <c r="J1774" s="3486"/>
      <c r="K1774" s="3486"/>
      <c r="L1774" s="3486"/>
      <c r="M1774" s="3486"/>
      <c r="N1774" s="3486"/>
      <c r="O1774" s="3486"/>
      <c r="P1774" s="3486"/>
      <c r="Q1774" s="3486"/>
      <c r="R1774" s="3486"/>
      <c r="S1774" s="3486"/>
      <c r="T1774" s="3486"/>
      <c r="U1774" s="3486"/>
      <c r="V1774" s="3486"/>
      <c r="W1774" s="3486"/>
      <c r="X1774" s="3486"/>
      <c r="Y1774" s="3943"/>
    </row>
    <row r="1775" spans="1:25" s="3492" customFormat="1">
      <c r="A1775" s="3485"/>
      <c r="B1775" s="3486"/>
      <c r="C1775" s="3486"/>
      <c r="D1775" s="3486"/>
      <c r="E1775" s="3486"/>
      <c r="F1775" s="3486"/>
      <c r="G1775" s="3486"/>
      <c r="H1775" s="3486"/>
      <c r="I1775" s="3486"/>
      <c r="J1775" s="3486"/>
      <c r="K1775" s="3486"/>
      <c r="L1775" s="3486"/>
      <c r="M1775" s="3486"/>
      <c r="N1775" s="3486"/>
      <c r="O1775" s="3486"/>
      <c r="P1775" s="3486"/>
      <c r="Q1775" s="3486"/>
      <c r="R1775" s="3486"/>
      <c r="S1775" s="3486"/>
      <c r="T1775" s="3486"/>
      <c r="U1775" s="3486"/>
      <c r="V1775" s="3486"/>
      <c r="W1775" s="3486"/>
      <c r="X1775" s="3486"/>
      <c r="Y1775" s="3943"/>
    </row>
    <row r="1776" spans="1:25" s="3492" customFormat="1">
      <c r="A1776" s="3485"/>
      <c r="B1776" s="3486"/>
      <c r="C1776" s="3486"/>
      <c r="D1776" s="3486"/>
      <c r="E1776" s="3486"/>
      <c r="F1776" s="3486"/>
      <c r="G1776" s="3486"/>
      <c r="H1776" s="3486"/>
      <c r="I1776" s="3486"/>
      <c r="J1776" s="3486"/>
      <c r="K1776" s="3486"/>
      <c r="L1776" s="3486"/>
      <c r="M1776" s="3486"/>
      <c r="N1776" s="3486"/>
      <c r="O1776" s="3486"/>
      <c r="P1776" s="3486"/>
      <c r="Q1776" s="3486"/>
      <c r="R1776" s="3486"/>
      <c r="S1776" s="3486"/>
      <c r="T1776" s="3486"/>
      <c r="U1776" s="3486"/>
      <c r="V1776" s="3486"/>
      <c r="W1776" s="3486"/>
      <c r="X1776" s="3486"/>
      <c r="Y1776" s="3943"/>
    </row>
    <row r="1777" spans="1:25" s="3492" customFormat="1">
      <c r="A1777" s="3485"/>
      <c r="B1777" s="3486"/>
      <c r="C1777" s="3486"/>
      <c r="D1777" s="3486"/>
      <c r="E1777" s="3486"/>
      <c r="F1777" s="3486"/>
      <c r="G1777" s="3486"/>
      <c r="H1777" s="3486"/>
      <c r="I1777" s="3486"/>
      <c r="J1777" s="3486"/>
      <c r="K1777" s="3486"/>
      <c r="L1777" s="3486"/>
      <c r="M1777" s="3486"/>
      <c r="N1777" s="3486"/>
      <c r="O1777" s="3486"/>
      <c r="P1777" s="3486"/>
      <c r="Q1777" s="3486"/>
      <c r="R1777" s="3486"/>
      <c r="S1777" s="3486"/>
      <c r="T1777" s="3486"/>
      <c r="U1777" s="3486"/>
      <c r="V1777" s="3486"/>
      <c r="W1777" s="3486"/>
      <c r="X1777" s="3486"/>
      <c r="Y1777" s="3943"/>
    </row>
    <row r="1778" spans="1:25" s="3492" customFormat="1">
      <c r="A1778" s="3485"/>
      <c r="B1778" s="3486"/>
      <c r="C1778" s="3486"/>
      <c r="D1778" s="3486"/>
      <c r="E1778" s="3486"/>
      <c r="F1778" s="3486"/>
      <c r="G1778" s="3486"/>
      <c r="H1778" s="3486"/>
      <c r="I1778" s="3486"/>
      <c r="J1778" s="3486"/>
      <c r="K1778" s="3486"/>
      <c r="L1778" s="3486"/>
      <c r="M1778" s="3486"/>
      <c r="N1778" s="3486"/>
      <c r="O1778" s="3486"/>
      <c r="P1778" s="3486"/>
      <c r="Q1778" s="3486"/>
      <c r="R1778" s="3486"/>
      <c r="S1778" s="3486"/>
      <c r="T1778" s="3486"/>
      <c r="U1778" s="3486"/>
      <c r="V1778" s="3486"/>
      <c r="W1778" s="3486"/>
      <c r="X1778" s="3486"/>
      <c r="Y1778" s="3943"/>
    </row>
    <row r="1779" spans="1:25" s="3492" customFormat="1">
      <c r="A1779" s="3485"/>
      <c r="B1779" s="3486"/>
      <c r="C1779" s="3486"/>
      <c r="D1779" s="3486"/>
      <c r="E1779" s="3486"/>
      <c r="F1779" s="3486"/>
      <c r="G1779" s="3486"/>
      <c r="H1779" s="3486"/>
      <c r="I1779" s="3486"/>
      <c r="J1779" s="3486"/>
      <c r="K1779" s="3486"/>
      <c r="L1779" s="3486"/>
      <c r="M1779" s="3486"/>
      <c r="N1779" s="3486"/>
      <c r="O1779" s="3486"/>
      <c r="P1779" s="3486"/>
      <c r="Q1779" s="3486"/>
      <c r="R1779" s="3486"/>
      <c r="S1779" s="3486"/>
      <c r="T1779" s="3486"/>
      <c r="U1779" s="3486"/>
      <c r="V1779" s="3486"/>
      <c r="W1779" s="3486"/>
      <c r="X1779" s="3486"/>
      <c r="Y1779" s="3943"/>
    </row>
    <row r="1780" spans="1:25" s="3492" customFormat="1">
      <c r="A1780" s="3485"/>
      <c r="B1780" s="3486"/>
      <c r="C1780" s="3486"/>
      <c r="D1780" s="3486"/>
      <c r="E1780" s="3486"/>
      <c r="F1780" s="3486"/>
      <c r="G1780" s="3486"/>
      <c r="H1780" s="3486"/>
      <c r="I1780" s="3486"/>
      <c r="J1780" s="3486"/>
      <c r="K1780" s="3486"/>
      <c r="L1780" s="3486"/>
      <c r="M1780" s="3486"/>
      <c r="N1780" s="3486"/>
      <c r="O1780" s="3486"/>
      <c r="P1780" s="3486"/>
      <c r="Q1780" s="3486"/>
      <c r="R1780" s="3486"/>
      <c r="S1780" s="3486"/>
      <c r="T1780" s="3486"/>
      <c r="U1780" s="3486"/>
      <c r="V1780" s="3486"/>
      <c r="W1780" s="3486"/>
      <c r="X1780" s="3486"/>
      <c r="Y1780" s="3943"/>
    </row>
    <row r="1781" spans="1:25" s="3492" customFormat="1">
      <c r="A1781" s="3485"/>
      <c r="B1781" s="3486"/>
      <c r="C1781" s="3486"/>
      <c r="D1781" s="3486"/>
      <c r="E1781" s="3486"/>
      <c r="F1781" s="3486"/>
      <c r="G1781" s="3486"/>
      <c r="H1781" s="3486"/>
      <c r="I1781" s="3486"/>
      <c r="J1781" s="3486"/>
      <c r="K1781" s="3486"/>
      <c r="L1781" s="3486"/>
      <c r="M1781" s="3486"/>
      <c r="N1781" s="3486"/>
      <c r="O1781" s="3486"/>
      <c r="P1781" s="3486"/>
      <c r="Q1781" s="3486"/>
      <c r="R1781" s="3486"/>
      <c r="S1781" s="3486"/>
      <c r="T1781" s="3486"/>
      <c r="U1781" s="3486"/>
      <c r="V1781" s="3486"/>
      <c r="W1781" s="3486"/>
      <c r="X1781" s="3486"/>
      <c r="Y1781" s="3943"/>
    </row>
    <row r="1782" spans="1:25" s="3492" customFormat="1">
      <c r="A1782" s="3485"/>
      <c r="B1782" s="3486"/>
      <c r="C1782" s="3486"/>
      <c r="D1782" s="3486"/>
      <c r="E1782" s="3486"/>
      <c r="F1782" s="3486"/>
      <c r="G1782" s="3486"/>
      <c r="H1782" s="3486"/>
      <c r="I1782" s="3486"/>
      <c r="J1782" s="3486"/>
      <c r="K1782" s="3486"/>
      <c r="L1782" s="3486"/>
      <c r="M1782" s="3486"/>
      <c r="N1782" s="3486"/>
      <c r="O1782" s="3486"/>
      <c r="P1782" s="3486"/>
      <c r="Q1782" s="3486"/>
      <c r="R1782" s="3486"/>
      <c r="S1782" s="3486"/>
      <c r="T1782" s="3486"/>
      <c r="U1782" s="3486"/>
      <c r="V1782" s="3486"/>
      <c r="W1782" s="3486"/>
      <c r="X1782" s="3486"/>
      <c r="Y1782" s="3943"/>
    </row>
    <row r="1783" spans="1:25" s="3492" customFormat="1">
      <c r="A1783" s="3485"/>
      <c r="B1783" s="3486"/>
      <c r="C1783" s="3486"/>
      <c r="D1783" s="3486"/>
      <c r="E1783" s="3486"/>
      <c r="F1783" s="3486"/>
      <c r="G1783" s="3486"/>
      <c r="H1783" s="3486"/>
      <c r="I1783" s="3486"/>
      <c r="J1783" s="3486"/>
      <c r="K1783" s="3486"/>
      <c r="L1783" s="3486"/>
      <c r="M1783" s="3486"/>
      <c r="N1783" s="3486"/>
      <c r="O1783" s="3486"/>
      <c r="P1783" s="3486"/>
      <c r="Q1783" s="3486"/>
      <c r="R1783" s="3486"/>
      <c r="S1783" s="3486"/>
      <c r="T1783" s="3486"/>
      <c r="U1783" s="3486"/>
      <c r="V1783" s="3486"/>
      <c r="W1783" s="3486"/>
      <c r="X1783" s="3486"/>
      <c r="Y1783" s="3943"/>
    </row>
    <row r="1784" spans="1:25" s="3492" customFormat="1">
      <c r="A1784" s="3485"/>
      <c r="B1784" s="3486"/>
      <c r="C1784" s="3486"/>
      <c r="D1784" s="3486"/>
      <c r="E1784" s="3486"/>
      <c r="F1784" s="3486"/>
      <c r="G1784" s="3486"/>
      <c r="H1784" s="3486"/>
      <c r="I1784" s="3486"/>
      <c r="J1784" s="3486"/>
      <c r="K1784" s="3486"/>
      <c r="L1784" s="3486"/>
      <c r="M1784" s="3486"/>
      <c r="N1784" s="3486"/>
      <c r="O1784" s="3486"/>
      <c r="P1784" s="3486"/>
      <c r="Q1784" s="3486"/>
      <c r="R1784" s="3486"/>
      <c r="S1784" s="3486"/>
      <c r="T1784" s="3486"/>
      <c r="U1784" s="3486"/>
      <c r="V1784" s="3486"/>
      <c r="W1784" s="3486"/>
      <c r="X1784" s="3486"/>
      <c r="Y1784" s="3943"/>
    </row>
    <row r="1785" spans="1:25" s="3492" customFormat="1">
      <c r="A1785" s="3485"/>
      <c r="B1785" s="3486"/>
      <c r="C1785" s="3486"/>
      <c r="D1785" s="3486"/>
      <c r="E1785" s="3486"/>
      <c r="F1785" s="3486"/>
      <c r="G1785" s="3486"/>
      <c r="H1785" s="3486"/>
      <c r="I1785" s="3486"/>
      <c r="J1785" s="3486"/>
      <c r="K1785" s="3486"/>
      <c r="L1785" s="3486"/>
      <c r="M1785" s="3486"/>
      <c r="N1785" s="3486"/>
      <c r="O1785" s="3486"/>
      <c r="P1785" s="3486"/>
      <c r="Q1785" s="3486"/>
      <c r="R1785" s="3486"/>
      <c r="S1785" s="3486"/>
      <c r="T1785" s="3486"/>
      <c r="U1785" s="3486"/>
      <c r="V1785" s="3486"/>
      <c r="W1785" s="3486"/>
      <c r="X1785" s="3486"/>
      <c r="Y1785" s="3943"/>
    </row>
    <row r="1786" spans="1:25" s="3492" customFormat="1">
      <c r="A1786" s="3485"/>
      <c r="B1786" s="3486"/>
      <c r="C1786" s="3486"/>
      <c r="D1786" s="3486"/>
      <c r="E1786" s="3486"/>
      <c r="F1786" s="3486"/>
      <c r="G1786" s="3486"/>
      <c r="H1786" s="3486"/>
      <c r="I1786" s="3486"/>
      <c r="J1786" s="3486"/>
      <c r="K1786" s="3486"/>
      <c r="L1786" s="3486"/>
      <c r="M1786" s="3486"/>
      <c r="N1786" s="3486"/>
      <c r="O1786" s="3486"/>
      <c r="P1786" s="3486"/>
      <c r="Q1786" s="3486"/>
      <c r="R1786" s="3486"/>
      <c r="S1786" s="3486"/>
      <c r="T1786" s="3486"/>
      <c r="U1786" s="3486"/>
      <c r="V1786" s="3486"/>
      <c r="W1786" s="3486"/>
      <c r="X1786" s="3486"/>
      <c r="Y1786" s="3943"/>
    </row>
    <row r="1787" spans="1:25" s="3492" customFormat="1">
      <c r="A1787" s="3485"/>
      <c r="B1787" s="3486"/>
      <c r="C1787" s="3486"/>
      <c r="D1787" s="3486"/>
      <c r="E1787" s="3486"/>
      <c r="F1787" s="3486"/>
      <c r="G1787" s="3486"/>
      <c r="H1787" s="3486"/>
      <c r="I1787" s="3486"/>
      <c r="J1787" s="3486"/>
      <c r="K1787" s="3486"/>
      <c r="L1787" s="3486"/>
      <c r="M1787" s="3486"/>
      <c r="N1787" s="3486"/>
      <c r="O1787" s="3486"/>
      <c r="P1787" s="3486"/>
      <c r="Q1787" s="3486"/>
      <c r="R1787" s="3486"/>
      <c r="S1787" s="3486"/>
      <c r="T1787" s="3486"/>
      <c r="U1787" s="3486"/>
      <c r="V1787" s="3486"/>
      <c r="W1787" s="3486"/>
      <c r="X1787" s="3486"/>
      <c r="Y1787" s="3943"/>
    </row>
    <row r="1788" spans="1:25" s="3492" customFormat="1">
      <c r="A1788" s="3485"/>
      <c r="B1788" s="3486"/>
      <c r="C1788" s="3486"/>
      <c r="D1788" s="3486"/>
      <c r="E1788" s="3486"/>
      <c r="F1788" s="3486"/>
      <c r="G1788" s="3486"/>
      <c r="H1788" s="3486"/>
      <c r="I1788" s="3486"/>
      <c r="J1788" s="3486"/>
      <c r="K1788" s="3486"/>
      <c r="L1788" s="3486"/>
      <c r="M1788" s="3486"/>
      <c r="N1788" s="3486"/>
      <c r="O1788" s="3486"/>
      <c r="P1788" s="3486"/>
      <c r="Q1788" s="3486"/>
      <c r="R1788" s="3486"/>
      <c r="S1788" s="3486"/>
      <c r="T1788" s="3486"/>
      <c r="U1788" s="3486"/>
      <c r="V1788" s="3486"/>
      <c r="W1788" s="3486"/>
      <c r="X1788" s="3486"/>
      <c r="Y1788" s="3943"/>
    </row>
    <row r="1789" spans="1:25" s="3492" customFormat="1">
      <c r="A1789" s="3485"/>
      <c r="B1789" s="3486"/>
      <c r="C1789" s="3486"/>
      <c r="D1789" s="3486"/>
      <c r="E1789" s="3486"/>
      <c r="F1789" s="3486"/>
      <c r="G1789" s="3486"/>
      <c r="H1789" s="3486"/>
      <c r="I1789" s="3486"/>
      <c r="J1789" s="3486"/>
      <c r="K1789" s="3486"/>
      <c r="L1789" s="3486"/>
      <c r="M1789" s="3486"/>
      <c r="N1789" s="3486"/>
      <c r="O1789" s="3486"/>
      <c r="P1789" s="3486"/>
      <c r="Q1789" s="3486"/>
      <c r="R1789" s="3486"/>
      <c r="S1789" s="3486"/>
      <c r="T1789" s="3486"/>
      <c r="U1789" s="3486"/>
      <c r="V1789" s="3486"/>
      <c r="W1789" s="3486"/>
      <c r="X1789" s="3486"/>
      <c r="Y1789" s="3943"/>
    </row>
    <row r="1790" spans="1:25" s="3492" customFormat="1">
      <c r="A1790" s="3485"/>
      <c r="B1790" s="3486"/>
      <c r="C1790" s="3486"/>
      <c r="D1790" s="3486"/>
      <c r="E1790" s="3486"/>
      <c r="F1790" s="3486"/>
      <c r="G1790" s="3486"/>
      <c r="H1790" s="3486"/>
      <c r="I1790" s="3486"/>
      <c r="J1790" s="3486"/>
      <c r="K1790" s="3486"/>
      <c r="L1790" s="3486"/>
      <c r="M1790" s="3486"/>
      <c r="N1790" s="3486"/>
      <c r="O1790" s="3486"/>
      <c r="P1790" s="3486"/>
      <c r="Q1790" s="3486"/>
      <c r="R1790" s="3486"/>
      <c r="S1790" s="3486"/>
      <c r="T1790" s="3486"/>
      <c r="U1790" s="3486"/>
      <c r="V1790" s="3486"/>
      <c r="W1790" s="3486"/>
      <c r="X1790" s="3486"/>
      <c r="Y1790" s="3943"/>
    </row>
    <row r="1791" spans="1:25" s="3492" customFormat="1">
      <c r="A1791" s="3485"/>
      <c r="B1791" s="3486"/>
      <c r="C1791" s="3486"/>
      <c r="D1791" s="3486"/>
      <c r="E1791" s="3486"/>
      <c r="F1791" s="3486"/>
      <c r="G1791" s="3486"/>
      <c r="H1791" s="3486"/>
      <c r="I1791" s="3486"/>
      <c r="J1791" s="3486"/>
      <c r="K1791" s="3486"/>
      <c r="L1791" s="3486"/>
      <c r="M1791" s="3486"/>
      <c r="N1791" s="3486"/>
      <c r="O1791" s="3486"/>
      <c r="P1791" s="3486"/>
      <c r="Q1791" s="3486"/>
      <c r="R1791" s="3486"/>
      <c r="S1791" s="3486"/>
      <c r="T1791" s="3486"/>
      <c r="U1791" s="3486"/>
      <c r="V1791" s="3486"/>
      <c r="W1791" s="3486"/>
      <c r="X1791" s="3486"/>
      <c r="Y1791" s="3943"/>
    </row>
    <row r="1792" spans="1:25" s="3492" customFormat="1">
      <c r="A1792" s="3485"/>
      <c r="B1792" s="3486"/>
      <c r="C1792" s="3486"/>
      <c r="D1792" s="3486"/>
      <c r="E1792" s="3486"/>
      <c r="F1792" s="3486"/>
      <c r="G1792" s="3486"/>
      <c r="H1792" s="3486"/>
      <c r="I1792" s="3486"/>
      <c r="J1792" s="3486"/>
      <c r="K1792" s="3486"/>
      <c r="L1792" s="3486"/>
      <c r="M1792" s="3486"/>
      <c r="N1792" s="3486"/>
      <c r="O1792" s="3486"/>
      <c r="P1792" s="3486"/>
      <c r="Q1792" s="3486"/>
      <c r="R1792" s="3486"/>
      <c r="S1792" s="3486"/>
      <c r="T1792" s="3486"/>
      <c r="U1792" s="3486"/>
      <c r="V1792" s="3486"/>
      <c r="W1792" s="3486"/>
      <c r="X1792" s="3486"/>
      <c r="Y1792" s="3943"/>
    </row>
    <row r="1793" spans="1:25" s="3492" customFormat="1">
      <c r="A1793" s="3485"/>
      <c r="B1793" s="3486"/>
      <c r="C1793" s="3486"/>
      <c r="D1793" s="3486"/>
      <c r="E1793" s="3486"/>
      <c r="F1793" s="3486"/>
      <c r="G1793" s="3486"/>
      <c r="H1793" s="3486"/>
      <c r="I1793" s="3486"/>
      <c r="J1793" s="3486"/>
      <c r="K1793" s="3486"/>
      <c r="L1793" s="3486"/>
      <c r="M1793" s="3486"/>
      <c r="N1793" s="3486"/>
      <c r="O1793" s="3486"/>
      <c r="P1793" s="3486"/>
      <c r="Q1793" s="3486"/>
      <c r="R1793" s="3486"/>
      <c r="S1793" s="3486"/>
      <c r="T1793" s="3486"/>
      <c r="U1793" s="3486"/>
      <c r="V1793" s="3486"/>
      <c r="W1793" s="3486"/>
      <c r="X1793" s="3486"/>
      <c r="Y1793" s="3943"/>
    </row>
    <row r="1794" spans="1:25" s="3492" customFormat="1">
      <c r="A1794" s="3485"/>
      <c r="B1794" s="3486"/>
      <c r="C1794" s="3486"/>
      <c r="D1794" s="3486"/>
      <c r="E1794" s="3486"/>
      <c r="F1794" s="3486"/>
      <c r="G1794" s="3486"/>
      <c r="H1794" s="3486"/>
      <c r="I1794" s="3486"/>
      <c r="J1794" s="3486"/>
      <c r="K1794" s="3486"/>
      <c r="L1794" s="3486"/>
      <c r="M1794" s="3486"/>
      <c r="N1794" s="3486"/>
      <c r="O1794" s="3486"/>
      <c r="P1794" s="3486"/>
      <c r="Q1794" s="3486"/>
      <c r="R1794" s="3486"/>
      <c r="S1794" s="3486"/>
      <c r="T1794" s="3486"/>
      <c r="U1794" s="3486"/>
      <c r="V1794" s="3486"/>
      <c r="W1794" s="3486"/>
      <c r="X1794" s="3486"/>
      <c r="Y1794" s="3943"/>
    </row>
    <row r="1795" spans="1:25" s="3492" customFormat="1">
      <c r="A1795" s="3485"/>
      <c r="B1795" s="3486"/>
      <c r="C1795" s="3486"/>
      <c r="D1795" s="3486"/>
      <c r="E1795" s="3486"/>
      <c r="F1795" s="3486"/>
      <c r="G1795" s="3486"/>
      <c r="H1795" s="3486"/>
      <c r="I1795" s="3486"/>
      <c r="J1795" s="3486"/>
      <c r="K1795" s="3486"/>
      <c r="L1795" s="3486"/>
      <c r="M1795" s="3486"/>
      <c r="N1795" s="3486"/>
      <c r="O1795" s="3486"/>
      <c r="P1795" s="3486"/>
      <c r="Q1795" s="3486"/>
      <c r="R1795" s="3486"/>
      <c r="S1795" s="3486"/>
      <c r="T1795" s="3486"/>
      <c r="U1795" s="3486"/>
      <c r="V1795" s="3486"/>
      <c r="W1795" s="3486"/>
      <c r="X1795" s="3486"/>
      <c r="Y1795" s="3943"/>
    </row>
    <row r="1796" spans="1:25" s="3492" customFormat="1">
      <c r="A1796" s="3485"/>
      <c r="B1796" s="3486"/>
      <c r="C1796" s="3486"/>
      <c r="D1796" s="3486"/>
      <c r="E1796" s="3486"/>
      <c r="F1796" s="3486"/>
      <c r="G1796" s="3486"/>
      <c r="H1796" s="3486"/>
      <c r="I1796" s="3486"/>
      <c r="J1796" s="3486"/>
      <c r="K1796" s="3486"/>
      <c r="L1796" s="3486"/>
      <c r="M1796" s="3486"/>
      <c r="N1796" s="3486"/>
      <c r="O1796" s="3486"/>
      <c r="P1796" s="3486"/>
      <c r="Q1796" s="3486"/>
      <c r="R1796" s="3486"/>
      <c r="S1796" s="3486"/>
      <c r="T1796" s="3486"/>
      <c r="U1796" s="3486"/>
      <c r="V1796" s="3486"/>
      <c r="W1796" s="3486"/>
      <c r="X1796" s="3486"/>
      <c r="Y1796" s="3943"/>
    </row>
    <row r="1797" spans="1:25" s="3492" customFormat="1">
      <c r="A1797" s="3485"/>
      <c r="B1797" s="3486"/>
      <c r="C1797" s="3486"/>
      <c r="D1797" s="3486"/>
      <c r="E1797" s="3486"/>
      <c r="F1797" s="3486"/>
      <c r="G1797" s="3486"/>
      <c r="H1797" s="3486"/>
      <c r="I1797" s="3486"/>
      <c r="J1797" s="3486"/>
      <c r="K1797" s="3486"/>
      <c r="L1797" s="3486"/>
      <c r="M1797" s="3486"/>
      <c r="N1797" s="3486"/>
      <c r="O1797" s="3486"/>
      <c r="P1797" s="3486"/>
      <c r="Q1797" s="3486"/>
      <c r="R1797" s="3486"/>
      <c r="S1797" s="3486"/>
      <c r="T1797" s="3486"/>
      <c r="U1797" s="3486"/>
      <c r="V1797" s="3486"/>
      <c r="W1797" s="3486"/>
      <c r="X1797" s="3486"/>
      <c r="Y1797" s="3943"/>
    </row>
    <row r="1798" spans="1:25" s="3492" customFormat="1">
      <c r="A1798" s="3485"/>
      <c r="B1798" s="3486"/>
      <c r="C1798" s="3486"/>
      <c r="D1798" s="3486"/>
      <c r="E1798" s="3486"/>
      <c r="F1798" s="3486"/>
      <c r="G1798" s="3486"/>
      <c r="H1798" s="3486"/>
      <c r="I1798" s="3486"/>
      <c r="J1798" s="3486"/>
      <c r="K1798" s="3486"/>
      <c r="L1798" s="3486"/>
      <c r="M1798" s="3486"/>
      <c r="N1798" s="3486"/>
      <c r="O1798" s="3486"/>
      <c r="P1798" s="3486"/>
      <c r="Q1798" s="3486"/>
      <c r="R1798" s="3486"/>
      <c r="S1798" s="3486"/>
      <c r="T1798" s="3486"/>
      <c r="U1798" s="3486"/>
      <c r="V1798" s="3486"/>
      <c r="W1798" s="3486"/>
      <c r="X1798" s="3486"/>
      <c r="Y1798" s="3943"/>
    </row>
    <row r="1799" spans="1:25" s="3492" customFormat="1">
      <c r="A1799" s="3485"/>
      <c r="B1799" s="3486"/>
      <c r="C1799" s="3486"/>
      <c r="D1799" s="3486"/>
      <c r="E1799" s="3486"/>
      <c r="F1799" s="3486"/>
      <c r="G1799" s="3486"/>
      <c r="H1799" s="3486"/>
      <c r="I1799" s="3486"/>
      <c r="J1799" s="3486"/>
      <c r="K1799" s="3486"/>
      <c r="L1799" s="3486"/>
      <c r="M1799" s="3486"/>
      <c r="N1799" s="3486"/>
      <c r="O1799" s="3486"/>
      <c r="P1799" s="3486"/>
      <c r="Q1799" s="3486"/>
      <c r="R1799" s="3486"/>
      <c r="S1799" s="3486"/>
      <c r="T1799" s="3486"/>
      <c r="U1799" s="3486"/>
      <c r="V1799" s="3486"/>
      <c r="W1799" s="3486"/>
      <c r="X1799" s="3486"/>
      <c r="Y1799" s="3943"/>
    </row>
    <row r="1800" spans="1:25" s="3492" customFormat="1">
      <c r="A1800" s="3485"/>
      <c r="B1800" s="3486"/>
      <c r="C1800" s="3486"/>
      <c r="D1800" s="3486"/>
      <c r="E1800" s="3486"/>
      <c r="F1800" s="3486"/>
      <c r="G1800" s="3486"/>
      <c r="H1800" s="3486"/>
      <c r="I1800" s="3486"/>
      <c r="J1800" s="3486"/>
      <c r="K1800" s="3486"/>
      <c r="L1800" s="3486"/>
      <c r="M1800" s="3486"/>
      <c r="N1800" s="3486"/>
      <c r="O1800" s="3486"/>
      <c r="P1800" s="3486"/>
      <c r="Q1800" s="3486"/>
      <c r="R1800" s="3486"/>
      <c r="S1800" s="3486"/>
      <c r="T1800" s="3486"/>
      <c r="U1800" s="3486"/>
      <c r="V1800" s="3486"/>
      <c r="W1800" s="3486"/>
      <c r="X1800" s="3486"/>
      <c r="Y1800" s="3943"/>
    </row>
    <row r="1801" spans="1:25" s="3492" customFormat="1">
      <c r="A1801" s="3485"/>
      <c r="B1801" s="3486"/>
      <c r="C1801" s="3486"/>
      <c r="D1801" s="3486"/>
      <c r="E1801" s="3486"/>
      <c r="F1801" s="3486"/>
      <c r="G1801" s="3486"/>
      <c r="H1801" s="3486"/>
      <c r="I1801" s="3486"/>
      <c r="J1801" s="3486"/>
      <c r="K1801" s="3486"/>
      <c r="L1801" s="3486"/>
      <c r="M1801" s="3486"/>
      <c r="N1801" s="3486"/>
      <c r="O1801" s="3486"/>
      <c r="P1801" s="3486"/>
      <c r="Q1801" s="3486"/>
      <c r="R1801" s="3486"/>
      <c r="S1801" s="3486"/>
      <c r="T1801" s="3486"/>
      <c r="U1801" s="3486"/>
      <c r="V1801" s="3486"/>
      <c r="W1801" s="3486"/>
      <c r="X1801" s="3486"/>
      <c r="Y1801" s="3943"/>
    </row>
    <row r="1802" spans="1:25" s="3492" customFormat="1">
      <c r="A1802" s="3485"/>
      <c r="B1802" s="3486"/>
      <c r="C1802" s="3486"/>
      <c r="D1802" s="3486"/>
      <c r="E1802" s="3486"/>
      <c r="F1802" s="3486"/>
      <c r="G1802" s="3486"/>
      <c r="H1802" s="3486"/>
      <c r="I1802" s="3486"/>
      <c r="J1802" s="3486"/>
      <c r="K1802" s="3486"/>
      <c r="L1802" s="3486"/>
      <c r="M1802" s="3486"/>
      <c r="N1802" s="3486"/>
      <c r="O1802" s="3486"/>
      <c r="P1802" s="3486"/>
      <c r="Q1802" s="3486"/>
      <c r="R1802" s="3486"/>
      <c r="S1802" s="3486"/>
      <c r="T1802" s="3486"/>
      <c r="U1802" s="3486"/>
      <c r="V1802" s="3486"/>
      <c r="W1802" s="3486"/>
      <c r="X1802" s="3486"/>
      <c r="Y1802" s="3943"/>
    </row>
    <row r="1803" spans="1:25" s="3492" customFormat="1">
      <c r="A1803" s="3485"/>
      <c r="B1803" s="3486"/>
      <c r="C1803" s="3486"/>
      <c r="D1803" s="3486"/>
      <c r="E1803" s="3486"/>
      <c r="F1803" s="3486"/>
      <c r="G1803" s="3486"/>
      <c r="H1803" s="3486"/>
      <c r="I1803" s="3486"/>
      <c r="J1803" s="3486"/>
      <c r="K1803" s="3486"/>
      <c r="L1803" s="3486"/>
      <c r="M1803" s="3486"/>
      <c r="N1803" s="3486"/>
      <c r="O1803" s="3486"/>
      <c r="P1803" s="3486"/>
      <c r="Q1803" s="3486"/>
      <c r="R1803" s="3486"/>
      <c r="S1803" s="3486"/>
      <c r="T1803" s="3486"/>
      <c r="U1803" s="3486"/>
      <c r="V1803" s="3486"/>
      <c r="W1803" s="3486"/>
      <c r="X1803" s="3486"/>
      <c r="Y1803" s="3943"/>
    </row>
    <row r="1804" spans="1:25" s="3492" customFormat="1">
      <c r="A1804" s="3485"/>
      <c r="B1804" s="3486"/>
      <c r="C1804" s="3486"/>
      <c r="D1804" s="3486"/>
      <c r="E1804" s="3486"/>
      <c r="F1804" s="3486"/>
      <c r="G1804" s="3486"/>
      <c r="H1804" s="3486"/>
      <c r="I1804" s="3486"/>
      <c r="J1804" s="3486"/>
      <c r="K1804" s="3486"/>
      <c r="L1804" s="3486"/>
      <c r="M1804" s="3486"/>
      <c r="N1804" s="3486"/>
      <c r="O1804" s="3486"/>
      <c r="P1804" s="3486"/>
      <c r="Q1804" s="3486"/>
      <c r="R1804" s="3486"/>
      <c r="S1804" s="3486"/>
      <c r="T1804" s="3486"/>
      <c r="U1804" s="3486"/>
      <c r="V1804" s="3486"/>
      <c r="W1804" s="3486"/>
      <c r="X1804" s="3486"/>
      <c r="Y1804" s="3943"/>
    </row>
    <row r="1805" spans="1:25" s="3492" customFormat="1">
      <c r="A1805" s="3485"/>
      <c r="B1805" s="3486"/>
      <c r="C1805" s="3486"/>
      <c r="D1805" s="3486"/>
      <c r="E1805" s="3486"/>
      <c r="F1805" s="3486"/>
      <c r="G1805" s="3486"/>
      <c r="H1805" s="3486"/>
      <c r="I1805" s="3486"/>
      <c r="J1805" s="3486"/>
      <c r="K1805" s="3486"/>
      <c r="L1805" s="3486"/>
      <c r="M1805" s="3486"/>
      <c r="N1805" s="3486"/>
      <c r="O1805" s="3486"/>
      <c r="P1805" s="3486"/>
      <c r="Q1805" s="3486"/>
      <c r="R1805" s="3486"/>
      <c r="S1805" s="3486"/>
      <c r="T1805" s="3486"/>
      <c r="U1805" s="3486"/>
      <c r="V1805" s="3486"/>
      <c r="W1805" s="3486"/>
      <c r="X1805" s="3486"/>
      <c r="Y1805" s="3943"/>
    </row>
    <row r="1806" spans="1:25" s="3492" customFormat="1">
      <c r="A1806" s="3485"/>
      <c r="B1806" s="3486"/>
      <c r="C1806" s="3486"/>
      <c r="D1806" s="3486"/>
      <c r="E1806" s="3486"/>
      <c r="F1806" s="3486"/>
      <c r="G1806" s="3486"/>
      <c r="H1806" s="3486"/>
      <c r="I1806" s="3486"/>
      <c r="J1806" s="3486"/>
      <c r="K1806" s="3486"/>
      <c r="L1806" s="3486"/>
      <c r="M1806" s="3486"/>
      <c r="N1806" s="3486"/>
      <c r="O1806" s="3486"/>
      <c r="P1806" s="3486"/>
      <c r="Q1806" s="3486"/>
      <c r="R1806" s="3486"/>
      <c r="S1806" s="3486"/>
      <c r="T1806" s="3486"/>
      <c r="U1806" s="3486"/>
      <c r="V1806" s="3486"/>
      <c r="W1806" s="3486"/>
      <c r="X1806" s="3486"/>
      <c r="Y1806" s="3943"/>
    </row>
    <row r="1807" spans="1:25" s="3492" customFormat="1">
      <c r="A1807" s="3485"/>
      <c r="B1807" s="3486"/>
      <c r="C1807" s="3486"/>
      <c r="D1807" s="3486"/>
      <c r="E1807" s="3486"/>
      <c r="F1807" s="3486"/>
      <c r="G1807" s="3486"/>
      <c r="H1807" s="3486"/>
      <c r="I1807" s="3486"/>
      <c r="J1807" s="3486"/>
      <c r="K1807" s="3486"/>
      <c r="L1807" s="3486"/>
      <c r="M1807" s="3486"/>
      <c r="N1807" s="3486"/>
      <c r="O1807" s="3486"/>
      <c r="P1807" s="3486"/>
      <c r="Q1807" s="3486"/>
      <c r="R1807" s="3486"/>
      <c r="S1807" s="3486"/>
      <c r="T1807" s="3486"/>
      <c r="U1807" s="3486"/>
      <c r="V1807" s="3486"/>
      <c r="W1807" s="3486"/>
      <c r="X1807" s="3486"/>
      <c r="Y1807" s="3943"/>
    </row>
    <row r="1808" spans="1:25" s="3492" customFormat="1">
      <c r="A1808" s="3485"/>
      <c r="B1808" s="3486"/>
      <c r="C1808" s="3486"/>
      <c r="D1808" s="3486"/>
      <c r="E1808" s="3486"/>
      <c r="F1808" s="3486"/>
      <c r="G1808" s="3486"/>
      <c r="H1808" s="3486"/>
      <c r="I1808" s="3486"/>
      <c r="J1808" s="3486"/>
      <c r="K1808" s="3486"/>
      <c r="L1808" s="3486"/>
      <c r="M1808" s="3486"/>
      <c r="N1808" s="3486"/>
      <c r="O1808" s="3486"/>
      <c r="P1808" s="3486"/>
      <c r="Q1808" s="3486"/>
      <c r="R1808" s="3486"/>
      <c r="S1808" s="3486"/>
      <c r="T1808" s="3486"/>
      <c r="U1808" s="3486"/>
      <c r="V1808" s="3486"/>
      <c r="W1808" s="3486"/>
      <c r="X1808" s="3486"/>
      <c r="Y1808" s="3943"/>
    </row>
    <row r="1809" spans="1:25" s="3492" customFormat="1">
      <c r="A1809" s="3485"/>
      <c r="B1809" s="3486"/>
      <c r="C1809" s="3486"/>
      <c r="D1809" s="3486"/>
      <c r="E1809" s="3486"/>
      <c r="F1809" s="3486"/>
      <c r="G1809" s="3486"/>
      <c r="H1809" s="3486"/>
      <c r="I1809" s="3486"/>
      <c r="J1809" s="3486"/>
      <c r="K1809" s="3486"/>
      <c r="L1809" s="3486"/>
      <c r="M1809" s="3486"/>
      <c r="N1809" s="3486"/>
      <c r="O1809" s="3486"/>
      <c r="P1809" s="3486"/>
      <c r="Q1809" s="3486"/>
      <c r="R1809" s="3486"/>
      <c r="S1809" s="3486"/>
      <c r="T1809" s="3486"/>
      <c r="U1809" s="3486"/>
      <c r="V1809" s="3486"/>
      <c r="W1809" s="3486"/>
      <c r="X1809" s="3486"/>
      <c r="Y1809" s="3943"/>
    </row>
    <row r="1810" spans="1:25" s="3492" customFormat="1">
      <c r="A1810" s="3485"/>
      <c r="B1810" s="3486"/>
      <c r="C1810" s="3486"/>
      <c r="D1810" s="3486"/>
      <c r="E1810" s="3486"/>
      <c r="F1810" s="3486"/>
      <c r="G1810" s="3486"/>
      <c r="H1810" s="3486"/>
      <c r="I1810" s="3486"/>
      <c r="J1810" s="3486"/>
      <c r="K1810" s="3486"/>
      <c r="L1810" s="3486"/>
      <c r="M1810" s="3486"/>
      <c r="N1810" s="3486"/>
      <c r="O1810" s="3486"/>
      <c r="P1810" s="3486"/>
      <c r="Q1810" s="3486"/>
      <c r="R1810" s="3486"/>
      <c r="S1810" s="3486"/>
      <c r="T1810" s="3486"/>
      <c r="U1810" s="3486"/>
      <c r="V1810" s="3486"/>
      <c r="W1810" s="3486"/>
      <c r="X1810" s="3486"/>
      <c r="Y1810" s="3943"/>
    </row>
    <row r="1811" spans="1:25" s="3492" customFormat="1">
      <c r="A1811" s="3485"/>
      <c r="B1811" s="3486"/>
      <c r="C1811" s="3486"/>
      <c r="D1811" s="3486"/>
      <c r="E1811" s="3486"/>
      <c r="F1811" s="3486"/>
      <c r="G1811" s="3486"/>
      <c r="H1811" s="3486"/>
      <c r="I1811" s="3486"/>
      <c r="J1811" s="3486"/>
      <c r="K1811" s="3486"/>
      <c r="L1811" s="3486"/>
      <c r="M1811" s="3486"/>
      <c r="N1811" s="3486"/>
      <c r="O1811" s="3486"/>
      <c r="P1811" s="3486"/>
      <c r="Q1811" s="3486"/>
      <c r="R1811" s="3486"/>
      <c r="S1811" s="3486"/>
      <c r="T1811" s="3486"/>
      <c r="U1811" s="3486"/>
      <c r="V1811" s="3486"/>
      <c r="W1811" s="3486"/>
      <c r="X1811" s="3486"/>
      <c r="Y1811" s="3943"/>
    </row>
    <row r="1812" spans="1:25" s="3492" customFormat="1">
      <c r="A1812" s="3485"/>
      <c r="B1812" s="3486"/>
      <c r="C1812" s="3486"/>
      <c r="D1812" s="3486"/>
      <c r="E1812" s="3486"/>
      <c r="F1812" s="3486"/>
      <c r="G1812" s="3486"/>
      <c r="H1812" s="3486"/>
      <c r="I1812" s="3486"/>
      <c r="J1812" s="3486"/>
      <c r="K1812" s="3486"/>
      <c r="L1812" s="3486"/>
      <c r="M1812" s="3486"/>
      <c r="N1812" s="3486"/>
      <c r="O1812" s="3486"/>
      <c r="P1812" s="3486"/>
      <c r="Q1812" s="3486"/>
      <c r="R1812" s="3486"/>
      <c r="S1812" s="3486"/>
      <c r="T1812" s="3486"/>
      <c r="U1812" s="3486"/>
      <c r="V1812" s="3486"/>
      <c r="W1812" s="3486"/>
      <c r="X1812" s="3486"/>
      <c r="Y1812" s="3943"/>
    </row>
    <row r="1813" spans="1:25" s="3492" customFormat="1">
      <c r="A1813" s="3485"/>
      <c r="B1813" s="3486"/>
      <c r="C1813" s="3486"/>
      <c r="D1813" s="3486"/>
      <c r="E1813" s="3486"/>
      <c r="F1813" s="3486"/>
      <c r="G1813" s="3486"/>
      <c r="H1813" s="3486"/>
      <c r="I1813" s="3486"/>
      <c r="J1813" s="3486"/>
      <c r="K1813" s="3486"/>
      <c r="L1813" s="3486"/>
      <c r="M1813" s="3486"/>
      <c r="N1813" s="3486"/>
      <c r="O1813" s="3486"/>
      <c r="P1813" s="3486"/>
      <c r="Q1813" s="3486"/>
      <c r="R1813" s="3486"/>
      <c r="S1813" s="3486"/>
      <c r="T1813" s="3486"/>
      <c r="U1813" s="3486"/>
      <c r="V1813" s="3486"/>
      <c r="W1813" s="3486"/>
      <c r="X1813" s="3486"/>
      <c r="Y1813" s="3943"/>
    </row>
    <row r="1814" spans="1:25" s="3492" customFormat="1">
      <c r="A1814" s="3485"/>
      <c r="B1814" s="3486"/>
      <c r="C1814" s="3486"/>
      <c r="D1814" s="3486"/>
      <c r="E1814" s="3486"/>
      <c r="F1814" s="3486"/>
      <c r="G1814" s="3486"/>
      <c r="H1814" s="3486"/>
      <c r="I1814" s="3486"/>
      <c r="J1814" s="3486"/>
      <c r="K1814" s="3486"/>
      <c r="L1814" s="3486"/>
      <c r="M1814" s="3486"/>
      <c r="N1814" s="3486"/>
      <c r="O1814" s="3486"/>
      <c r="P1814" s="3486"/>
      <c r="Q1814" s="3486"/>
      <c r="R1814" s="3486"/>
      <c r="S1814" s="3486"/>
      <c r="T1814" s="3486"/>
      <c r="U1814" s="3486"/>
      <c r="V1814" s="3486"/>
      <c r="W1814" s="3486"/>
      <c r="X1814" s="3486"/>
      <c r="Y1814" s="3943"/>
    </row>
    <row r="1815" spans="1:25" s="3492" customFormat="1">
      <c r="A1815" s="3485"/>
      <c r="B1815" s="3486"/>
      <c r="C1815" s="3486"/>
      <c r="D1815" s="3486"/>
      <c r="E1815" s="3486"/>
      <c r="F1815" s="3486"/>
      <c r="G1815" s="3486"/>
      <c r="H1815" s="3486"/>
      <c r="I1815" s="3486"/>
      <c r="J1815" s="3486"/>
      <c r="K1815" s="3486"/>
      <c r="L1815" s="3486"/>
      <c r="M1815" s="3486"/>
      <c r="N1815" s="3486"/>
      <c r="O1815" s="3486"/>
      <c r="P1815" s="3486"/>
      <c r="Q1815" s="3486"/>
      <c r="R1815" s="3486"/>
      <c r="S1815" s="3486"/>
      <c r="T1815" s="3486"/>
      <c r="U1815" s="3486"/>
      <c r="V1815" s="3486"/>
      <c r="W1815" s="3486"/>
      <c r="X1815" s="3486"/>
      <c r="Y1815" s="3943"/>
    </row>
    <row r="1816" spans="1:25" s="3492" customFormat="1">
      <c r="A1816" s="3485"/>
      <c r="B1816" s="3486"/>
      <c r="C1816" s="3486"/>
      <c r="D1816" s="3486"/>
      <c r="E1816" s="3486"/>
      <c r="F1816" s="3486"/>
      <c r="G1816" s="3486"/>
      <c r="H1816" s="3486"/>
      <c r="I1816" s="3486"/>
      <c r="J1816" s="3486"/>
      <c r="K1816" s="3486"/>
      <c r="L1816" s="3486"/>
      <c r="M1816" s="3486"/>
      <c r="N1816" s="3486"/>
      <c r="O1816" s="3486"/>
      <c r="P1816" s="3486"/>
      <c r="Q1816" s="3486"/>
      <c r="R1816" s="3486"/>
      <c r="S1816" s="3486"/>
      <c r="T1816" s="3486"/>
      <c r="U1816" s="3486"/>
      <c r="V1816" s="3486"/>
      <c r="W1816" s="3486"/>
      <c r="X1816" s="3486"/>
      <c r="Y1816" s="3943"/>
    </row>
    <row r="1817" spans="1:25" s="3492" customFormat="1">
      <c r="A1817" s="3485"/>
      <c r="B1817" s="3486"/>
      <c r="C1817" s="3486"/>
      <c r="D1817" s="3486"/>
      <c r="E1817" s="3486"/>
      <c r="F1817" s="3486"/>
      <c r="G1817" s="3486"/>
      <c r="H1817" s="3486"/>
      <c r="I1817" s="3486"/>
      <c r="J1817" s="3486"/>
      <c r="K1817" s="3486"/>
      <c r="L1817" s="3486"/>
      <c r="M1817" s="3486"/>
      <c r="N1817" s="3486"/>
      <c r="O1817" s="3486"/>
      <c r="P1817" s="3486"/>
      <c r="Q1817" s="3486"/>
      <c r="R1817" s="3486"/>
      <c r="S1817" s="3486"/>
      <c r="T1817" s="3486"/>
      <c r="U1817" s="3486"/>
      <c r="V1817" s="3486"/>
      <c r="W1817" s="3486"/>
      <c r="X1817" s="3486"/>
      <c r="Y1817" s="3943"/>
    </row>
    <row r="1818" spans="1:25" s="3492" customFormat="1">
      <c r="A1818" s="3485"/>
      <c r="B1818" s="3486"/>
      <c r="C1818" s="3486"/>
      <c r="D1818" s="3486"/>
      <c r="E1818" s="3486"/>
      <c r="F1818" s="3486"/>
      <c r="G1818" s="3486"/>
      <c r="H1818" s="3486"/>
      <c r="I1818" s="3486"/>
      <c r="J1818" s="3486"/>
      <c r="K1818" s="3486"/>
      <c r="L1818" s="3486"/>
      <c r="M1818" s="3486"/>
      <c r="N1818" s="3486"/>
      <c r="O1818" s="3486"/>
      <c r="P1818" s="3486"/>
      <c r="Q1818" s="3486"/>
      <c r="R1818" s="3486"/>
      <c r="S1818" s="3486"/>
      <c r="T1818" s="3486"/>
      <c r="U1818" s="3486"/>
      <c r="V1818" s="3486"/>
      <c r="W1818" s="3486"/>
      <c r="X1818" s="3486"/>
      <c r="Y1818" s="3943"/>
    </row>
    <row r="1819" spans="1:25" s="3492" customFormat="1">
      <c r="A1819" s="3485"/>
      <c r="B1819" s="3486"/>
      <c r="C1819" s="3486"/>
      <c r="D1819" s="3486"/>
      <c r="E1819" s="3486"/>
      <c r="F1819" s="3486"/>
      <c r="G1819" s="3486"/>
      <c r="H1819" s="3486"/>
      <c r="I1819" s="3486"/>
      <c r="J1819" s="3486"/>
      <c r="K1819" s="3486"/>
      <c r="L1819" s="3486"/>
      <c r="M1819" s="3486"/>
      <c r="N1819" s="3486"/>
      <c r="O1819" s="3486"/>
      <c r="P1819" s="3486"/>
      <c r="Q1819" s="3486"/>
      <c r="R1819" s="3486"/>
      <c r="S1819" s="3486"/>
      <c r="T1819" s="3486"/>
      <c r="U1819" s="3486"/>
      <c r="V1819" s="3486"/>
      <c r="W1819" s="3486"/>
      <c r="X1819" s="3486"/>
      <c r="Y1819" s="3943"/>
    </row>
    <row r="1820" spans="1:25" s="3492" customFormat="1">
      <c r="A1820" s="3485"/>
      <c r="B1820" s="3486"/>
      <c r="C1820" s="3486"/>
      <c r="D1820" s="3486"/>
      <c r="E1820" s="3486"/>
      <c r="F1820" s="3486"/>
      <c r="G1820" s="3486"/>
      <c r="H1820" s="3486"/>
      <c r="I1820" s="3486"/>
      <c r="J1820" s="3486"/>
      <c r="K1820" s="3486"/>
      <c r="L1820" s="3486"/>
      <c r="M1820" s="3486"/>
      <c r="N1820" s="3486"/>
      <c r="O1820" s="3486"/>
      <c r="P1820" s="3486"/>
      <c r="Q1820" s="3486"/>
      <c r="R1820" s="3486"/>
      <c r="S1820" s="3486"/>
      <c r="T1820" s="3486"/>
      <c r="U1820" s="3486"/>
      <c r="V1820" s="3486"/>
      <c r="W1820" s="3486"/>
      <c r="X1820" s="3486"/>
      <c r="Y1820" s="3943"/>
    </row>
    <row r="1821" spans="1:25" s="3492" customFormat="1">
      <c r="A1821" s="3485"/>
      <c r="B1821" s="3486"/>
      <c r="C1821" s="3486"/>
      <c r="D1821" s="3486"/>
      <c r="E1821" s="3486"/>
      <c r="F1821" s="3486"/>
      <c r="G1821" s="3486"/>
      <c r="H1821" s="3486"/>
      <c r="I1821" s="3486"/>
      <c r="J1821" s="3486"/>
      <c r="K1821" s="3486"/>
      <c r="L1821" s="3486"/>
      <c r="M1821" s="3486"/>
      <c r="N1821" s="3486"/>
      <c r="O1821" s="3486"/>
      <c r="P1821" s="3486"/>
      <c r="Q1821" s="3486"/>
      <c r="R1821" s="3486"/>
      <c r="S1821" s="3486"/>
      <c r="T1821" s="3486"/>
      <c r="U1821" s="3486"/>
      <c r="V1821" s="3486"/>
      <c r="W1821" s="3486"/>
      <c r="X1821" s="3486"/>
      <c r="Y1821" s="3943"/>
    </row>
    <row r="1822" spans="1:25" s="3492" customFormat="1">
      <c r="A1822" s="3485"/>
      <c r="B1822" s="3486"/>
      <c r="C1822" s="3486"/>
      <c r="D1822" s="3486"/>
      <c r="E1822" s="3486"/>
      <c r="F1822" s="3486"/>
      <c r="G1822" s="3486"/>
      <c r="H1822" s="3486"/>
      <c r="I1822" s="3486"/>
      <c r="J1822" s="3486"/>
      <c r="K1822" s="3486"/>
      <c r="L1822" s="3486"/>
      <c r="M1822" s="3486"/>
      <c r="N1822" s="3486"/>
      <c r="O1822" s="3486"/>
      <c r="P1822" s="3486"/>
      <c r="Q1822" s="3486"/>
      <c r="R1822" s="3486"/>
      <c r="S1822" s="3486"/>
      <c r="T1822" s="3486"/>
      <c r="U1822" s="3486"/>
      <c r="V1822" s="3486"/>
      <c r="W1822" s="3486"/>
      <c r="X1822" s="3486"/>
      <c r="Y1822" s="3943"/>
    </row>
    <row r="1823" spans="1:25" s="3492" customFormat="1">
      <c r="A1823" s="3485"/>
      <c r="B1823" s="3486"/>
      <c r="C1823" s="3486"/>
      <c r="D1823" s="3486"/>
      <c r="E1823" s="3486"/>
      <c r="F1823" s="3486"/>
      <c r="G1823" s="3486"/>
      <c r="H1823" s="3486"/>
      <c r="I1823" s="3486"/>
      <c r="J1823" s="3486"/>
      <c r="K1823" s="3486"/>
      <c r="L1823" s="3486"/>
      <c r="M1823" s="3486"/>
      <c r="N1823" s="3486"/>
      <c r="O1823" s="3486"/>
      <c r="P1823" s="3486"/>
      <c r="Q1823" s="3486"/>
      <c r="R1823" s="3486"/>
      <c r="S1823" s="3486"/>
      <c r="T1823" s="3486"/>
      <c r="U1823" s="3486"/>
      <c r="V1823" s="3486"/>
      <c r="W1823" s="3486"/>
      <c r="X1823" s="3486"/>
      <c r="Y1823" s="3943"/>
    </row>
    <row r="1824" spans="1:25" s="3492" customFormat="1">
      <c r="A1824" s="3485"/>
      <c r="B1824" s="3486"/>
      <c r="C1824" s="3486"/>
      <c r="D1824" s="3486"/>
      <c r="E1824" s="3486"/>
      <c r="F1824" s="3486"/>
      <c r="G1824" s="3486"/>
      <c r="H1824" s="3486"/>
      <c r="I1824" s="3486"/>
      <c r="J1824" s="3486"/>
      <c r="K1824" s="3486"/>
      <c r="L1824" s="3486"/>
      <c r="M1824" s="3486"/>
      <c r="N1824" s="3486"/>
      <c r="O1824" s="3486"/>
      <c r="P1824" s="3486"/>
      <c r="Q1824" s="3486"/>
      <c r="R1824" s="3486"/>
      <c r="S1824" s="3486"/>
      <c r="T1824" s="3486"/>
      <c r="U1824" s="3486"/>
      <c r="V1824" s="3486"/>
      <c r="W1824" s="3486"/>
      <c r="X1824" s="3486"/>
      <c r="Y1824" s="3943"/>
    </row>
    <row r="1825" spans="1:25" s="3492" customFormat="1">
      <c r="A1825" s="3485"/>
      <c r="B1825" s="3486"/>
      <c r="C1825" s="3486"/>
      <c r="D1825" s="3486"/>
      <c r="E1825" s="3486"/>
      <c r="F1825" s="3486"/>
      <c r="G1825" s="3486"/>
      <c r="H1825" s="3486"/>
      <c r="I1825" s="3486"/>
      <c r="J1825" s="3486"/>
      <c r="K1825" s="3486"/>
      <c r="L1825" s="3486"/>
      <c r="M1825" s="3486"/>
      <c r="N1825" s="3486"/>
      <c r="O1825" s="3486"/>
      <c r="P1825" s="3486"/>
      <c r="Q1825" s="3486"/>
      <c r="R1825" s="3486"/>
      <c r="S1825" s="3486"/>
      <c r="T1825" s="3486"/>
      <c r="U1825" s="3486"/>
      <c r="V1825" s="3486"/>
      <c r="W1825" s="3486"/>
      <c r="X1825" s="3486"/>
      <c r="Y1825" s="3943"/>
    </row>
    <row r="1826" spans="1:25" s="3492" customFormat="1">
      <c r="A1826" s="3485"/>
      <c r="B1826" s="3486"/>
      <c r="C1826" s="3486"/>
      <c r="D1826" s="3486"/>
      <c r="E1826" s="3486"/>
      <c r="F1826" s="3486"/>
      <c r="G1826" s="3486"/>
      <c r="H1826" s="3486"/>
      <c r="I1826" s="3486"/>
      <c r="J1826" s="3486"/>
      <c r="K1826" s="3486"/>
      <c r="L1826" s="3486"/>
      <c r="M1826" s="3486"/>
      <c r="N1826" s="3486"/>
      <c r="O1826" s="3486"/>
      <c r="P1826" s="3486"/>
      <c r="Q1826" s="3486"/>
      <c r="R1826" s="3486"/>
      <c r="S1826" s="3486"/>
      <c r="T1826" s="3486"/>
      <c r="U1826" s="3486"/>
      <c r="V1826" s="3486"/>
      <c r="W1826" s="3486"/>
      <c r="X1826" s="3486"/>
      <c r="Y1826" s="3943"/>
    </row>
    <row r="1827" spans="1:25" s="3492" customFormat="1">
      <c r="A1827" s="3485"/>
      <c r="B1827" s="3486"/>
      <c r="C1827" s="3486"/>
      <c r="D1827" s="3486"/>
      <c r="E1827" s="3486"/>
      <c r="F1827" s="3486"/>
      <c r="G1827" s="3486"/>
      <c r="H1827" s="3486"/>
      <c r="I1827" s="3486"/>
      <c r="J1827" s="3486"/>
      <c r="K1827" s="3486"/>
      <c r="L1827" s="3486"/>
      <c r="M1827" s="3486"/>
      <c r="N1827" s="3486"/>
      <c r="O1827" s="3486"/>
      <c r="P1827" s="3486"/>
      <c r="Q1827" s="3486"/>
      <c r="R1827" s="3486"/>
      <c r="S1827" s="3486"/>
      <c r="T1827" s="3486"/>
      <c r="U1827" s="3486"/>
      <c r="V1827" s="3486"/>
      <c r="W1827" s="3486"/>
      <c r="X1827" s="3486"/>
      <c r="Y1827" s="3943"/>
    </row>
    <row r="1828" spans="1:25" s="3492" customFormat="1">
      <c r="A1828" s="3485"/>
      <c r="B1828" s="3486"/>
      <c r="C1828" s="3486"/>
      <c r="D1828" s="3486"/>
      <c r="E1828" s="3486"/>
      <c r="F1828" s="3486"/>
      <c r="G1828" s="3486"/>
      <c r="H1828" s="3486"/>
      <c r="I1828" s="3486"/>
      <c r="J1828" s="3486"/>
      <c r="K1828" s="3486"/>
      <c r="L1828" s="3486"/>
      <c r="M1828" s="3486"/>
      <c r="N1828" s="3486"/>
      <c r="O1828" s="3486"/>
      <c r="P1828" s="3486"/>
      <c r="Q1828" s="3486"/>
      <c r="R1828" s="3486"/>
      <c r="S1828" s="3486"/>
      <c r="T1828" s="3486"/>
      <c r="U1828" s="3486"/>
      <c r="V1828" s="3486"/>
      <c r="W1828" s="3486"/>
      <c r="X1828" s="3486"/>
      <c r="Y1828" s="3943"/>
    </row>
    <row r="1829" spans="1:25" s="3492" customFormat="1">
      <c r="A1829" s="3485"/>
      <c r="B1829" s="3486"/>
      <c r="C1829" s="3486"/>
      <c r="D1829" s="3486"/>
      <c r="E1829" s="3486"/>
      <c r="F1829" s="3486"/>
      <c r="G1829" s="3486"/>
      <c r="H1829" s="3486"/>
      <c r="I1829" s="3486"/>
      <c r="J1829" s="3486"/>
      <c r="K1829" s="3486"/>
      <c r="L1829" s="3486"/>
      <c r="M1829" s="3486"/>
      <c r="N1829" s="3486"/>
      <c r="O1829" s="3486"/>
      <c r="P1829" s="3486"/>
      <c r="Q1829" s="3486"/>
      <c r="R1829" s="3486"/>
      <c r="S1829" s="3486"/>
      <c r="T1829" s="3486"/>
      <c r="U1829" s="3486"/>
      <c r="V1829" s="3486"/>
      <c r="W1829" s="3486"/>
      <c r="X1829" s="3486"/>
      <c r="Y1829" s="3943"/>
    </row>
    <row r="1830" spans="1:25" s="3492" customFormat="1">
      <c r="A1830" s="3485"/>
      <c r="B1830" s="3486"/>
      <c r="C1830" s="3486"/>
      <c r="D1830" s="3486"/>
      <c r="E1830" s="3486"/>
      <c r="F1830" s="3486"/>
      <c r="G1830" s="3486"/>
      <c r="H1830" s="3486"/>
      <c r="I1830" s="3486"/>
      <c r="J1830" s="3486"/>
      <c r="K1830" s="3486"/>
      <c r="L1830" s="3486"/>
      <c r="M1830" s="3486"/>
      <c r="N1830" s="3486"/>
      <c r="O1830" s="3486"/>
      <c r="P1830" s="3486"/>
      <c r="Q1830" s="3486"/>
      <c r="R1830" s="3486"/>
      <c r="S1830" s="3486"/>
      <c r="T1830" s="3486"/>
      <c r="U1830" s="3486"/>
      <c r="V1830" s="3486"/>
      <c r="W1830" s="3486"/>
      <c r="X1830" s="3486"/>
      <c r="Y1830" s="3943"/>
    </row>
    <row r="1831" spans="1:25" s="3492" customFormat="1">
      <c r="A1831" s="3485"/>
      <c r="B1831" s="3486"/>
      <c r="C1831" s="3486"/>
      <c r="D1831" s="3486"/>
      <c r="E1831" s="3486"/>
      <c r="F1831" s="3486"/>
      <c r="G1831" s="3486"/>
      <c r="H1831" s="3486"/>
      <c r="I1831" s="3486"/>
      <c r="J1831" s="3486"/>
      <c r="K1831" s="3486"/>
      <c r="L1831" s="3486"/>
      <c r="M1831" s="3486"/>
      <c r="N1831" s="3486"/>
      <c r="O1831" s="3486"/>
      <c r="P1831" s="3486"/>
      <c r="Q1831" s="3486"/>
      <c r="R1831" s="3486"/>
      <c r="S1831" s="3486"/>
      <c r="T1831" s="3486"/>
      <c r="U1831" s="3486"/>
      <c r="V1831" s="3486"/>
      <c r="W1831" s="3486"/>
      <c r="X1831" s="3486"/>
      <c r="Y1831" s="3943"/>
    </row>
    <row r="1832" spans="1:25" s="3492" customFormat="1">
      <c r="A1832" s="3485"/>
      <c r="B1832" s="3486"/>
      <c r="C1832" s="3486"/>
      <c r="D1832" s="3486"/>
      <c r="E1832" s="3486"/>
      <c r="F1832" s="3486"/>
      <c r="G1832" s="3486"/>
      <c r="H1832" s="3486"/>
      <c r="I1832" s="3486"/>
      <c r="J1832" s="3486"/>
      <c r="K1832" s="3486"/>
      <c r="L1832" s="3486"/>
      <c r="M1832" s="3486"/>
      <c r="N1832" s="3486"/>
      <c r="O1832" s="3486"/>
      <c r="P1832" s="3486"/>
      <c r="Q1832" s="3486"/>
      <c r="R1832" s="3486"/>
      <c r="S1832" s="3486"/>
      <c r="T1832" s="3486"/>
      <c r="U1832" s="3486"/>
      <c r="V1832" s="3486"/>
      <c r="W1832" s="3486"/>
      <c r="X1832" s="3486"/>
      <c r="Y1832" s="3943"/>
    </row>
    <row r="1833" spans="1:25" s="3492" customFormat="1">
      <c r="A1833" s="3485"/>
      <c r="B1833" s="3486"/>
      <c r="C1833" s="3486"/>
      <c r="D1833" s="3486"/>
      <c r="E1833" s="3486"/>
      <c r="F1833" s="3486"/>
      <c r="G1833" s="3486"/>
      <c r="H1833" s="3486"/>
      <c r="I1833" s="3486"/>
      <c r="J1833" s="3486"/>
      <c r="K1833" s="3486"/>
      <c r="L1833" s="3486"/>
      <c r="M1833" s="3486"/>
      <c r="N1833" s="3486"/>
      <c r="O1833" s="3486"/>
      <c r="P1833" s="3486"/>
      <c r="Q1833" s="3486"/>
      <c r="R1833" s="3486"/>
      <c r="S1833" s="3486"/>
      <c r="T1833" s="3486"/>
      <c r="U1833" s="3486"/>
      <c r="V1833" s="3486"/>
      <c r="W1833" s="3486"/>
      <c r="X1833" s="3486"/>
      <c r="Y1833" s="3943"/>
    </row>
    <row r="1834" spans="1:25" s="3492" customFormat="1">
      <c r="A1834" s="3485"/>
      <c r="B1834" s="3486"/>
      <c r="C1834" s="3486"/>
      <c r="D1834" s="3486"/>
      <c r="E1834" s="3486"/>
      <c r="F1834" s="3486"/>
      <c r="G1834" s="3486"/>
      <c r="H1834" s="3486"/>
      <c r="I1834" s="3486"/>
      <c r="J1834" s="3486"/>
      <c r="K1834" s="3486"/>
      <c r="L1834" s="3486"/>
      <c r="M1834" s="3486"/>
      <c r="N1834" s="3486"/>
      <c r="O1834" s="3486"/>
      <c r="P1834" s="3486"/>
      <c r="Q1834" s="3486"/>
      <c r="R1834" s="3486"/>
      <c r="S1834" s="3486"/>
      <c r="T1834" s="3486"/>
      <c r="U1834" s="3486"/>
      <c r="V1834" s="3486"/>
      <c r="W1834" s="3486"/>
      <c r="X1834" s="3486"/>
      <c r="Y1834" s="3943"/>
    </row>
    <row r="1835" spans="1:25" s="3492" customFormat="1">
      <c r="A1835" s="3485"/>
      <c r="B1835" s="3486"/>
      <c r="C1835" s="3486"/>
      <c r="D1835" s="3486"/>
      <c r="E1835" s="3486"/>
      <c r="F1835" s="3486"/>
      <c r="G1835" s="3486"/>
      <c r="H1835" s="3486"/>
      <c r="I1835" s="3486"/>
      <c r="J1835" s="3486"/>
      <c r="K1835" s="3486"/>
      <c r="L1835" s="3486"/>
      <c r="M1835" s="3486"/>
      <c r="N1835" s="3486"/>
      <c r="O1835" s="3486"/>
      <c r="P1835" s="3486"/>
      <c r="Q1835" s="3486"/>
      <c r="R1835" s="3486"/>
      <c r="S1835" s="3486"/>
      <c r="T1835" s="3486"/>
      <c r="U1835" s="3486"/>
      <c r="V1835" s="3486"/>
      <c r="W1835" s="3486"/>
      <c r="X1835" s="3486"/>
      <c r="Y1835" s="3943"/>
    </row>
    <row r="1836" spans="1:25" s="3492" customFormat="1">
      <c r="A1836" s="3485"/>
      <c r="B1836" s="3486"/>
      <c r="C1836" s="3486"/>
      <c r="D1836" s="3486"/>
      <c r="E1836" s="3486"/>
      <c r="F1836" s="3486"/>
      <c r="G1836" s="3486"/>
      <c r="H1836" s="3486"/>
      <c r="I1836" s="3486"/>
      <c r="J1836" s="3486"/>
      <c r="K1836" s="3486"/>
      <c r="L1836" s="3486"/>
      <c r="M1836" s="3486"/>
      <c r="N1836" s="3486"/>
      <c r="O1836" s="3486"/>
      <c r="P1836" s="3486"/>
      <c r="Q1836" s="3486"/>
      <c r="R1836" s="3486"/>
      <c r="S1836" s="3486"/>
      <c r="T1836" s="3486"/>
      <c r="U1836" s="3486"/>
      <c r="V1836" s="3486"/>
      <c r="W1836" s="3486"/>
      <c r="X1836" s="3486"/>
      <c r="Y1836" s="3943"/>
    </row>
    <row r="1837" spans="1:25" s="3492" customFormat="1">
      <c r="A1837" s="3485"/>
      <c r="B1837" s="3486"/>
      <c r="C1837" s="3486"/>
      <c r="D1837" s="3486"/>
      <c r="E1837" s="3486"/>
      <c r="F1837" s="3486"/>
      <c r="G1837" s="3486"/>
      <c r="H1837" s="3486"/>
      <c r="I1837" s="3486"/>
      <c r="J1837" s="3486"/>
      <c r="K1837" s="3486"/>
      <c r="L1837" s="3486"/>
      <c r="M1837" s="3486"/>
      <c r="N1837" s="3486"/>
      <c r="O1837" s="3486"/>
      <c r="P1837" s="3486"/>
      <c r="Q1837" s="3486"/>
      <c r="R1837" s="3486"/>
      <c r="S1837" s="3486"/>
      <c r="T1837" s="3486"/>
      <c r="U1837" s="3486"/>
      <c r="V1837" s="3486"/>
      <c r="W1837" s="3486"/>
      <c r="X1837" s="3486"/>
      <c r="Y1837" s="3943"/>
    </row>
    <row r="1838" spans="1:25" s="3492" customFormat="1">
      <c r="A1838" s="3485"/>
      <c r="B1838" s="3486"/>
      <c r="C1838" s="3486"/>
      <c r="D1838" s="3486"/>
      <c r="E1838" s="3486"/>
      <c r="F1838" s="3486"/>
      <c r="G1838" s="3486"/>
      <c r="H1838" s="3486"/>
      <c r="I1838" s="3486"/>
      <c r="J1838" s="3486"/>
      <c r="K1838" s="3486"/>
      <c r="L1838" s="3486"/>
      <c r="M1838" s="3486"/>
      <c r="N1838" s="3486"/>
      <c r="O1838" s="3486"/>
      <c r="P1838" s="3486"/>
      <c r="Q1838" s="3486"/>
      <c r="R1838" s="3486"/>
      <c r="S1838" s="3486"/>
      <c r="T1838" s="3486"/>
      <c r="U1838" s="3486"/>
      <c r="V1838" s="3486"/>
      <c r="W1838" s="3486"/>
      <c r="X1838" s="3486"/>
      <c r="Y1838" s="3943"/>
    </row>
    <row r="1839" spans="1:25" s="3492" customFormat="1">
      <c r="A1839" s="3485"/>
      <c r="B1839" s="3486"/>
      <c r="C1839" s="3486"/>
      <c r="D1839" s="3486"/>
      <c r="E1839" s="3486"/>
      <c r="F1839" s="3486"/>
      <c r="G1839" s="3486"/>
      <c r="H1839" s="3486"/>
      <c r="I1839" s="3486"/>
      <c r="J1839" s="3486"/>
      <c r="K1839" s="3486"/>
      <c r="L1839" s="3486"/>
      <c r="M1839" s="3486"/>
      <c r="N1839" s="3486"/>
      <c r="O1839" s="3486"/>
      <c r="P1839" s="3486"/>
      <c r="Q1839" s="3486"/>
      <c r="R1839" s="3486"/>
      <c r="S1839" s="3486"/>
      <c r="T1839" s="3486"/>
      <c r="U1839" s="3486"/>
      <c r="V1839" s="3486"/>
      <c r="W1839" s="3486"/>
      <c r="X1839" s="3486"/>
      <c r="Y1839" s="3943"/>
    </row>
    <row r="1840" spans="1:25" s="3492" customFormat="1">
      <c r="A1840" s="3485"/>
      <c r="B1840" s="3486"/>
      <c r="C1840" s="3486"/>
      <c r="D1840" s="3486"/>
      <c r="E1840" s="3486"/>
      <c r="F1840" s="3486"/>
      <c r="G1840" s="3486"/>
      <c r="H1840" s="3486"/>
      <c r="I1840" s="3486"/>
      <c r="J1840" s="3486"/>
      <c r="K1840" s="3486"/>
      <c r="L1840" s="3486"/>
      <c r="M1840" s="3486"/>
      <c r="N1840" s="3486"/>
      <c r="O1840" s="3486"/>
      <c r="P1840" s="3486"/>
      <c r="Q1840" s="3486"/>
      <c r="R1840" s="3486"/>
      <c r="S1840" s="3486"/>
      <c r="T1840" s="3486"/>
      <c r="U1840" s="3486"/>
      <c r="V1840" s="3486"/>
      <c r="W1840" s="3486"/>
      <c r="X1840" s="3486"/>
      <c r="Y1840" s="3943"/>
    </row>
    <row r="1841" spans="1:25" s="3492" customFormat="1">
      <c r="A1841" s="3485"/>
      <c r="B1841" s="3486"/>
      <c r="C1841" s="3486"/>
      <c r="D1841" s="3486"/>
      <c r="E1841" s="3486"/>
      <c r="F1841" s="3486"/>
      <c r="G1841" s="3486"/>
      <c r="H1841" s="3486"/>
      <c r="I1841" s="3486"/>
      <c r="J1841" s="3486"/>
      <c r="K1841" s="3486"/>
      <c r="L1841" s="3486"/>
      <c r="M1841" s="3486"/>
      <c r="N1841" s="3486"/>
      <c r="O1841" s="3486"/>
      <c r="P1841" s="3486"/>
      <c r="Q1841" s="3486"/>
      <c r="R1841" s="3486"/>
      <c r="S1841" s="3486"/>
      <c r="T1841" s="3486"/>
      <c r="U1841" s="3486"/>
      <c r="V1841" s="3486"/>
      <c r="W1841" s="3486"/>
      <c r="X1841" s="3486"/>
      <c r="Y1841" s="3943"/>
    </row>
    <row r="1842" spans="1:25" s="3492" customFormat="1">
      <c r="A1842" s="3485"/>
      <c r="B1842" s="3486"/>
      <c r="C1842" s="3486"/>
      <c r="D1842" s="3486"/>
      <c r="E1842" s="3486"/>
      <c r="F1842" s="3486"/>
      <c r="G1842" s="3486"/>
      <c r="H1842" s="3486"/>
      <c r="I1842" s="3486"/>
      <c r="J1842" s="3486"/>
      <c r="K1842" s="3486"/>
      <c r="L1842" s="3486"/>
      <c r="M1842" s="3486"/>
      <c r="N1842" s="3486"/>
      <c r="O1842" s="3486"/>
      <c r="P1842" s="3486"/>
      <c r="Q1842" s="3486"/>
      <c r="R1842" s="3486"/>
      <c r="S1842" s="3486"/>
      <c r="T1842" s="3486"/>
      <c r="U1842" s="3486"/>
      <c r="V1842" s="3486"/>
      <c r="W1842" s="3486"/>
      <c r="X1842" s="3486"/>
      <c r="Y1842" s="3943"/>
    </row>
    <row r="1843" spans="1:25" s="3492" customFormat="1">
      <c r="A1843" s="3485"/>
      <c r="B1843" s="3486"/>
      <c r="C1843" s="3486"/>
      <c r="D1843" s="3486"/>
      <c r="E1843" s="3486"/>
      <c r="F1843" s="3486"/>
      <c r="G1843" s="3486"/>
      <c r="H1843" s="3486"/>
      <c r="I1843" s="3486"/>
      <c r="J1843" s="3486"/>
      <c r="K1843" s="3486"/>
      <c r="L1843" s="3486"/>
      <c r="M1843" s="3486"/>
      <c r="N1843" s="3486"/>
      <c r="O1843" s="3486"/>
      <c r="P1843" s="3486"/>
      <c r="Q1843" s="3486"/>
      <c r="R1843" s="3486"/>
      <c r="S1843" s="3486"/>
      <c r="T1843" s="3486"/>
      <c r="U1843" s="3486"/>
      <c r="V1843" s="3486"/>
      <c r="W1843" s="3486"/>
      <c r="X1843" s="3486"/>
      <c r="Y1843" s="3943"/>
    </row>
    <row r="1844" spans="1:25" s="3492" customFormat="1">
      <c r="A1844" s="3485"/>
      <c r="B1844" s="3486"/>
      <c r="C1844" s="3486"/>
      <c r="D1844" s="3486"/>
      <c r="E1844" s="3486"/>
      <c r="F1844" s="3486"/>
      <c r="G1844" s="3486"/>
      <c r="H1844" s="3486"/>
      <c r="I1844" s="3486"/>
      <c r="J1844" s="3486"/>
      <c r="K1844" s="3486"/>
      <c r="L1844" s="3486"/>
      <c r="M1844" s="3486"/>
      <c r="N1844" s="3486"/>
      <c r="O1844" s="3486"/>
      <c r="P1844" s="3486"/>
      <c r="Q1844" s="3486"/>
      <c r="R1844" s="3486"/>
      <c r="S1844" s="3486"/>
      <c r="T1844" s="3486"/>
      <c r="U1844" s="3486"/>
      <c r="V1844" s="3486"/>
      <c r="W1844" s="3486"/>
      <c r="X1844" s="3486"/>
      <c r="Y1844" s="3943"/>
    </row>
    <row r="1845" spans="1:25" s="3492" customFormat="1">
      <c r="A1845" s="3485"/>
      <c r="B1845" s="3486"/>
      <c r="C1845" s="3486"/>
      <c r="D1845" s="3486"/>
      <c r="E1845" s="3486"/>
      <c r="F1845" s="3486"/>
      <c r="G1845" s="3486"/>
      <c r="H1845" s="3486"/>
      <c r="I1845" s="3486"/>
      <c r="J1845" s="3486"/>
      <c r="K1845" s="3486"/>
      <c r="L1845" s="3486"/>
      <c r="M1845" s="3486"/>
      <c r="N1845" s="3486"/>
      <c r="O1845" s="3486"/>
      <c r="P1845" s="3486"/>
      <c r="Q1845" s="3486"/>
      <c r="R1845" s="3486"/>
      <c r="S1845" s="3486"/>
      <c r="T1845" s="3486"/>
      <c r="U1845" s="3486"/>
      <c r="V1845" s="3486"/>
      <c r="W1845" s="3486"/>
      <c r="X1845" s="3486"/>
      <c r="Y1845" s="3943"/>
    </row>
    <row r="1846" spans="1:25" s="3492" customFormat="1">
      <c r="A1846" s="3485"/>
      <c r="B1846" s="3486"/>
      <c r="C1846" s="3486"/>
      <c r="D1846" s="3486"/>
      <c r="E1846" s="3486"/>
      <c r="F1846" s="3486"/>
      <c r="G1846" s="3486"/>
      <c r="H1846" s="3486"/>
      <c r="I1846" s="3486"/>
      <c r="J1846" s="3486"/>
      <c r="K1846" s="3486"/>
      <c r="L1846" s="3486"/>
      <c r="M1846" s="3486"/>
      <c r="N1846" s="3486"/>
      <c r="O1846" s="3486"/>
      <c r="P1846" s="3486"/>
      <c r="Q1846" s="3486"/>
      <c r="R1846" s="3486"/>
      <c r="S1846" s="3486"/>
      <c r="T1846" s="3486"/>
      <c r="U1846" s="3486"/>
      <c r="V1846" s="3486"/>
      <c r="W1846" s="3486"/>
      <c r="X1846" s="3486"/>
      <c r="Y1846" s="3943"/>
    </row>
    <row r="1847" spans="1:25" s="3492" customFormat="1">
      <c r="A1847" s="3485"/>
      <c r="B1847" s="3486"/>
      <c r="C1847" s="3486"/>
      <c r="D1847" s="3486"/>
      <c r="E1847" s="3486"/>
      <c r="F1847" s="3486"/>
      <c r="G1847" s="3486"/>
      <c r="H1847" s="3486"/>
      <c r="I1847" s="3486"/>
      <c r="J1847" s="3486"/>
      <c r="K1847" s="3486"/>
      <c r="L1847" s="3486"/>
      <c r="M1847" s="3486"/>
      <c r="N1847" s="3486"/>
      <c r="O1847" s="3486"/>
      <c r="P1847" s="3486"/>
      <c r="Q1847" s="3486"/>
      <c r="R1847" s="3486"/>
      <c r="S1847" s="3486"/>
      <c r="T1847" s="3486"/>
      <c r="U1847" s="3486"/>
      <c r="V1847" s="3486"/>
      <c r="W1847" s="3486"/>
      <c r="X1847" s="3486"/>
      <c r="Y1847" s="3943"/>
    </row>
    <row r="1848" spans="1:25" s="3492" customFormat="1">
      <c r="A1848" s="3485"/>
      <c r="B1848" s="3486"/>
      <c r="C1848" s="3486"/>
      <c r="D1848" s="3486"/>
      <c r="E1848" s="3486"/>
      <c r="F1848" s="3486"/>
      <c r="G1848" s="3486"/>
      <c r="H1848" s="3486"/>
      <c r="I1848" s="3486"/>
      <c r="J1848" s="3486"/>
      <c r="K1848" s="3486"/>
      <c r="L1848" s="3486"/>
      <c r="M1848" s="3486"/>
      <c r="N1848" s="3486"/>
      <c r="O1848" s="3486"/>
      <c r="P1848" s="3486"/>
      <c r="Q1848" s="3486"/>
      <c r="R1848" s="3486"/>
      <c r="S1848" s="3486"/>
      <c r="T1848" s="3486"/>
      <c r="U1848" s="3486"/>
      <c r="V1848" s="3486"/>
      <c r="W1848" s="3486"/>
      <c r="X1848" s="3486"/>
      <c r="Y1848" s="3943"/>
    </row>
    <row r="1849" spans="1:25" s="3492" customFormat="1">
      <c r="A1849" s="3485"/>
      <c r="B1849" s="3486"/>
      <c r="C1849" s="3486"/>
      <c r="D1849" s="3486"/>
      <c r="E1849" s="3486"/>
      <c r="F1849" s="3486"/>
      <c r="G1849" s="3486"/>
      <c r="H1849" s="3486"/>
      <c r="I1849" s="3486"/>
      <c r="J1849" s="3486"/>
      <c r="K1849" s="3486"/>
      <c r="L1849" s="3486"/>
      <c r="M1849" s="3486"/>
      <c r="N1849" s="3486"/>
      <c r="O1849" s="3486"/>
      <c r="P1849" s="3486"/>
      <c r="Q1849" s="3486"/>
      <c r="R1849" s="3486"/>
      <c r="S1849" s="3486"/>
      <c r="T1849" s="3486"/>
      <c r="U1849" s="3486"/>
      <c r="V1849" s="3486"/>
      <c r="W1849" s="3486"/>
      <c r="X1849" s="3486"/>
      <c r="Y1849" s="3943"/>
    </row>
    <row r="1850" spans="1:25" s="3492" customFormat="1">
      <c r="A1850" s="3485"/>
      <c r="B1850" s="3486"/>
      <c r="C1850" s="3486"/>
      <c r="D1850" s="3486"/>
      <c r="E1850" s="3486"/>
      <c r="F1850" s="3486"/>
      <c r="G1850" s="3486"/>
      <c r="H1850" s="3486"/>
      <c r="I1850" s="3486"/>
      <c r="J1850" s="3486"/>
      <c r="K1850" s="3486"/>
      <c r="L1850" s="3486"/>
      <c r="M1850" s="3486"/>
      <c r="N1850" s="3486"/>
      <c r="O1850" s="3486"/>
      <c r="P1850" s="3486"/>
      <c r="Q1850" s="3486"/>
      <c r="R1850" s="3486"/>
      <c r="S1850" s="3486"/>
      <c r="T1850" s="3486"/>
      <c r="U1850" s="3486"/>
      <c r="V1850" s="3486"/>
      <c r="W1850" s="3486"/>
      <c r="X1850" s="3486"/>
      <c r="Y1850" s="3943"/>
    </row>
    <row r="1851" spans="1:25" s="3492" customFormat="1">
      <c r="A1851" s="3485"/>
      <c r="B1851" s="3486"/>
      <c r="C1851" s="3486"/>
      <c r="D1851" s="3486"/>
      <c r="E1851" s="3486"/>
      <c r="F1851" s="3486"/>
      <c r="G1851" s="3486"/>
      <c r="H1851" s="3486"/>
      <c r="I1851" s="3486"/>
      <c r="J1851" s="3486"/>
      <c r="K1851" s="3486"/>
      <c r="L1851" s="3486"/>
      <c r="M1851" s="3486"/>
      <c r="N1851" s="3486"/>
      <c r="O1851" s="3486"/>
      <c r="P1851" s="3486"/>
      <c r="Q1851" s="3486"/>
      <c r="R1851" s="3486"/>
      <c r="S1851" s="3486"/>
      <c r="T1851" s="3486"/>
      <c r="U1851" s="3486"/>
      <c r="V1851" s="3486"/>
      <c r="W1851" s="3486"/>
      <c r="X1851" s="3486"/>
      <c r="Y1851" s="3943"/>
    </row>
    <row r="1852" spans="1:25" s="3492" customFormat="1">
      <c r="A1852" s="3485"/>
      <c r="B1852" s="3486"/>
      <c r="C1852" s="3486"/>
      <c r="D1852" s="3486"/>
      <c r="E1852" s="3486"/>
      <c r="F1852" s="3486"/>
      <c r="G1852" s="3486"/>
      <c r="H1852" s="3486"/>
      <c r="I1852" s="3486"/>
      <c r="J1852" s="3486"/>
      <c r="K1852" s="3486"/>
      <c r="L1852" s="3486"/>
      <c r="M1852" s="3486"/>
      <c r="N1852" s="3486"/>
      <c r="O1852" s="3486"/>
      <c r="P1852" s="3486"/>
      <c r="Q1852" s="3486"/>
      <c r="R1852" s="3486"/>
      <c r="S1852" s="3486"/>
      <c r="T1852" s="3486"/>
      <c r="U1852" s="3486"/>
      <c r="V1852" s="3486"/>
      <c r="W1852" s="3486"/>
      <c r="X1852" s="3486"/>
      <c r="Y1852" s="3943"/>
    </row>
    <row r="1853" spans="1:25" s="3492" customFormat="1">
      <c r="A1853" s="3485"/>
      <c r="B1853" s="3486"/>
      <c r="C1853" s="3486"/>
      <c r="D1853" s="3486"/>
      <c r="E1853" s="3486"/>
      <c r="F1853" s="3486"/>
      <c r="G1853" s="3486"/>
      <c r="H1853" s="3486"/>
      <c r="I1853" s="3486"/>
      <c r="J1853" s="3486"/>
      <c r="K1853" s="3486"/>
      <c r="L1853" s="3486"/>
      <c r="M1853" s="3486"/>
      <c r="N1853" s="3486"/>
      <c r="O1853" s="3486"/>
      <c r="P1853" s="3486"/>
      <c r="Q1853" s="3486"/>
      <c r="R1853" s="3486"/>
      <c r="S1853" s="3486"/>
      <c r="T1853" s="3486"/>
      <c r="U1853" s="3486"/>
      <c r="V1853" s="3486"/>
      <c r="W1853" s="3486"/>
      <c r="X1853" s="3486"/>
      <c r="Y1853" s="3943"/>
    </row>
    <row r="1854" spans="1:25" s="3492" customFormat="1">
      <c r="A1854" s="3485"/>
      <c r="B1854" s="3486"/>
      <c r="C1854" s="3486"/>
      <c r="D1854" s="3486"/>
      <c r="E1854" s="3486"/>
      <c r="F1854" s="3486"/>
      <c r="G1854" s="3486"/>
      <c r="H1854" s="3486"/>
      <c r="I1854" s="3486"/>
      <c r="J1854" s="3486"/>
      <c r="K1854" s="3486"/>
      <c r="L1854" s="3486"/>
      <c r="M1854" s="3486"/>
      <c r="N1854" s="3486"/>
      <c r="O1854" s="3486"/>
      <c r="P1854" s="3486"/>
      <c r="Q1854" s="3486"/>
      <c r="R1854" s="3486"/>
      <c r="S1854" s="3486"/>
      <c r="T1854" s="3486"/>
      <c r="U1854" s="3486"/>
      <c r="V1854" s="3486"/>
      <c r="W1854" s="3486"/>
      <c r="X1854" s="3486"/>
      <c r="Y1854" s="3943"/>
    </row>
    <row r="1855" spans="1:25" s="3492" customFormat="1">
      <c r="A1855" s="3485"/>
      <c r="B1855" s="3486"/>
      <c r="C1855" s="3486"/>
      <c r="D1855" s="3486"/>
      <c r="E1855" s="3486"/>
      <c r="F1855" s="3486"/>
      <c r="G1855" s="3486"/>
      <c r="H1855" s="3486"/>
      <c r="I1855" s="3486"/>
      <c r="J1855" s="3486"/>
      <c r="K1855" s="3486"/>
      <c r="L1855" s="3486"/>
      <c r="M1855" s="3486"/>
      <c r="N1855" s="3486"/>
      <c r="O1855" s="3486"/>
      <c r="P1855" s="3486"/>
      <c r="Q1855" s="3486"/>
      <c r="R1855" s="3486"/>
      <c r="S1855" s="3486"/>
      <c r="T1855" s="3486"/>
      <c r="U1855" s="3486"/>
      <c r="V1855" s="3486"/>
      <c r="W1855" s="3486"/>
      <c r="X1855" s="3486"/>
      <c r="Y1855" s="3943"/>
    </row>
    <row r="1856" spans="1:25" s="3492" customFormat="1">
      <c r="A1856" s="3485"/>
      <c r="B1856" s="3486"/>
      <c r="C1856" s="3486"/>
      <c r="D1856" s="3486"/>
      <c r="E1856" s="3486"/>
      <c r="F1856" s="3486"/>
      <c r="G1856" s="3486"/>
      <c r="H1856" s="3486"/>
      <c r="I1856" s="3486"/>
      <c r="J1856" s="3486"/>
      <c r="K1856" s="3486"/>
      <c r="L1856" s="3486"/>
      <c r="M1856" s="3486"/>
      <c r="N1856" s="3486"/>
      <c r="O1856" s="3486"/>
      <c r="P1856" s="3486"/>
      <c r="Q1856" s="3486"/>
      <c r="R1856" s="3486"/>
      <c r="S1856" s="3486"/>
      <c r="T1856" s="3486"/>
      <c r="U1856" s="3486"/>
      <c r="V1856" s="3486"/>
      <c r="W1856" s="3486"/>
      <c r="X1856" s="3486"/>
      <c r="Y1856" s="3943"/>
    </row>
    <row r="1857" spans="1:25" s="3492" customFormat="1">
      <c r="A1857" s="3485"/>
      <c r="B1857" s="3486"/>
      <c r="C1857" s="3486"/>
      <c r="D1857" s="3486"/>
      <c r="E1857" s="3486"/>
      <c r="F1857" s="3486"/>
      <c r="G1857" s="3486"/>
      <c r="H1857" s="3486"/>
      <c r="I1857" s="3486"/>
      <c r="J1857" s="3486"/>
      <c r="K1857" s="3486"/>
      <c r="L1857" s="3486"/>
      <c r="M1857" s="3486"/>
      <c r="N1857" s="3486"/>
      <c r="O1857" s="3486"/>
      <c r="P1857" s="3486"/>
      <c r="Q1857" s="3486"/>
      <c r="R1857" s="3486"/>
      <c r="S1857" s="3486"/>
      <c r="T1857" s="3486"/>
      <c r="U1857" s="3486"/>
      <c r="V1857" s="3486"/>
      <c r="W1857" s="3486"/>
      <c r="X1857" s="3486"/>
      <c r="Y1857" s="3943"/>
    </row>
    <row r="1858" spans="1:25" s="3492" customFormat="1">
      <c r="A1858" s="3485"/>
      <c r="B1858" s="3486"/>
      <c r="C1858" s="3486"/>
      <c r="D1858" s="3486"/>
      <c r="E1858" s="3486"/>
      <c r="F1858" s="3486"/>
      <c r="G1858" s="3486"/>
      <c r="H1858" s="3486"/>
      <c r="I1858" s="3486"/>
      <c r="J1858" s="3486"/>
      <c r="K1858" s="3486"/>
      <c r="L1858" s="3486"/>
      <c r="M1858" s="3486"/>
      <c r="N1858" s="3486"/>
      <c r="O1858" s="3486"/>
      <c r="P1858" s="3486"/>
      <c r="Q1858" s="3486"/>
      <c r="R1858" s="3486"/>
      <c r="S1858" s="3486"/>
      <c r="T1858" s="3486"/>
      <c r="U1858" s="3486"/>
      <c r="V1858" s="3486"/>
      <c r="W1858" s="3486"/>
      <c r="X1858" s="3486"/>
      <c r="Y1858" s="3943"/>
    </row>
    <row r="1859" spans="1:25" s="3492" customFormat="1">
      <c r="A1859" s="3485"/>
      <c r="B1859" s="3486"/>
      <c r="C1859" s="3486"/>
      <c r="D1859" s="3486"/>
      <c r="E1859" s="3486"/>
      <c r="F1859" s="3486"/>
      <c r="G1859" s="3486"/>
      <c r="H1859" s="3486"/>
      <c r="I1859" s="3486"/>
      <c r="J1859" s="3486"/>
      <c r="K1859" s="3486"/>
      <c r="L1859" s="3486"/>
      <c r="M1859" s="3486"/>
      <c r="N1859" s="3486"/>
      <c r="O1859" s="3486"/>
      <c r="P1859" s="3486"/>
      <c r="Q1859" s="3486"/>
      <c r="R1859" s="3486"/>
      <c r="S1859" s="3486"/>
      <c r="T1859" s="3486"/>
      <c r="U1859" s="3486"/>
      <c r="V1859" s="3486"/>
      <c r="W1859" s="3486"/>
      <c r="X1859" s="3486"/>
      <c r="Y1859" s="3943"/>
    </row>
    <row r="1860" spans="1:25" s="3492" customFormat="1">
      <c r="A1860" s="3485"/>
      <c r="B1860" s="3486"/>
      <c r="C1860" s="3486"/>
      <c r="D1860" s="3486"/>
      <c r="E1860" s="3486"/>
      <c r="F1860" s="3486"/>
      <c r="G1860" s="3486"/>
      <c r="H1860" s="3486"/>
      <c r="I1860" s="3486"/>
      <c r="J1860" s="3486"/>
      <c r="K1860" s="3486"/>
      <c r="L1860" s="3486"/>
      <c r="M1860" s="3486"/>
      <c r="N1860" s="3486"/>
      <c r="O1860" s="3486"/>
      <c r="P1860" s="3486"/>
      <c r="Q1860" s="3486"/>
      <c r="R1860" s="3486"/>
      <c r="S1860" s="3486"/>
      <c r="T1860" s="3486"/>
      <c r="U1860" s="3486"/>
      <c r="V1860" s="3486"/>
      <c r="W1860" s="3486"/>
      <c r="X1860" s="3486"/>
      <c r="Y1860" s="3943"/>
    </row>
    <row r="1861" spans="1:25" s="3492" customFormat="1">
      <c r="A1861" s="3485"/>
      <c r="B1861" s="3486"/>
      <c r="C1861" s="3486"/>
      <c r="D1861" s="3486"/>
      <c r="E1861" s="3486"/>
      <c r="F1861" s="3486"/>
      <c r="G1861" s="3486"/>
      <c r="H1861" s="3486"/>
      <c r="I1861" s="3486"/>
      <c r="J1861" s="3486"/>
      <c r="K1861" s="3486"/>
      <c r="L1861" s="3486"/>
      <c r="M1861" s="3486"/>
      <c r="N1861" s="3486"/>
      <c r="O1861" s="3486"/>
      <c r="P1861" s="3486"/>
      <c r="Q1861" s="3486"/>
      <c r="R1861" s="3486"/>
      <c r="S1861" s="3486"/>
      <c r="T1861" s="3486"/>
      <c r="U1861" s="3486"/>
      <c r="V1861" s="3486"/>
      <c r="W1861" s="3486"/>
      <c r="X1861" s="3486"/>
      <c r="Y1861" s="3943"/>
    </row>
    <row r="1862" spans="1:25" s="3492" customFormat="1">
      <c r="A1862" s="3485"/>
      <c r="B1862" s="3486"/>
      <c r="C1862" s="3486"/>
      <c r="D1862" s="3486"/>
      <c r="E1862" s="3486"/>
      <c r="F1862" s="3486"/>
      <c r="G1862" s="3486"/>
      <c r="H1862" s="3486"/>
      <c r="I1862" s="3486"/>
      <c r="J1862" s="3486"/>
      <c r="K1862" s="3486"/>
      <c r="L1862" s="3486"/>
      <c r="M1862" s="3486"/>
      <c r="N1862" s="3486"/>
      <c r="O1862" s="3486"/>
      <c r="P1862" s="3486"/>
      <c r="Q1862" s="3486"/>
      <c r="R1862" s="3486"/>
      <c r="S1862" s="3486"/>
      <c r="T1862" s="3486"/>
      <c r="U1862" s="3486"/>
      <c r="V1862" s="3486"/>
      <c r="W1862" s="3486"/>
      <c r="X1862" s="3486"/>
      <c r="Y1862" s="3943"/>
    </row>
    <row r="1863" spans="1:25" s="3492" customFormat="1">
      <c r="A1863" s="3485"/>
      <c r="B1863" s="3486"/>
      <c r="C1863" s="3486"/>
      <c r="D1863" s="3486"/>
      <c r="E1863" s="3486"/>
      <c r="F1863" s="3486"/>
      <c r="G1863" s="3486"/>
      <c r="H1863" s="3486"/>
      <c r="I1863" s="3486"/>
      <c r="J1863" s="3486"/>
      <c r="K1863" s="3486"/>
      <c r="L1863" s="3486"/>
      <c r="M1863" s="3486"/>
      <c r="N1863" s="3486"/>
      <c r="O1863" s="3486"/>
      <c r="P1863" s="3486"/>
      <c r="Q1863" s="3486"/>
      <c r="R1863" s="3486"/>
      <c r="S1863" s="3486"/>
      <c r="T1863" s="3486"/>
      <c r="U1863" s="3486"/>
      <c r="V1863" s="3486"/>
      <c r="W1863" s="3486"/>
      <c r="X1863" s="3486"/>
      <c r="Y1863" s="3943"/>
    </row>
    <row r="1864" spans="1:25" s="3492" customFormat="1">
      <c r="A1864" s="3485"/>
      <c r="B1864" s="3486"/>
      <c r="C1864" s="3486"/>
      <c r="D1864" s="3486"/>
      <c r="E1864" s="3486"/>
      <c r="F1864" s="3486"/>
      <c r="G1864" s="3486"/>
      <c r="H1864" s="3486"/>
      <c r="I1864" s="3486"/>
      <c r="J1864" s="3486"/>
      <c r="K1864" s="3486"/>
      <c r="L1864" s="3486"/>
      <c r="M1864" s="3486"/>
      <c r="N1864" s="3486"/>
      <c r="O1864" s="3486"/>
      <c r="P1864" s="3486"/>
      <c r="Q1864" s="3486"/>
      <c r="R1864" s="3486"/>
      <c r="S1864" s="3486"/>
      <c r="T1864" s="3486"/>
      <c r="U1864" s="3486"/>
      <c r="V1864" s="3486"/>
      <c r="W1864" s="3486"/>
      <c r="X1864" s="3486"/>
      <c r="Y1864" s="3943"/>
    </row>
    <row r="1865" spans="1:25" s="3492" customFormat="1">
      <c r="A1865" s="3485"/>
      <c r="B1865" s="3486"/>
      <c r="C1865" s="3486"/>
      <c r="D1865" s="3486"/>
      <c r="E1865" s="3486"/>
      <c r="F1865" s="3486"/>
      <c r="G1865" s="3486"/>
      <c r="H1865" s="3486"/>
      <c r="I1865" s="3486"/>
      <c r="J1865" s="3486"/>
      <c r="K1865" s="3486"/>
      <c r="L1865" s="3486"/>
      <c r="M1865" s="3486"/>
      <c r="N1865" s="3486"/>
      <c r="O1865" s="3486"/>
      <c r="P1865" s="3486"/>
      <c r="Q1865" s="3486"/>
      <c r="R1865" s="3486"/>
      <c r="S1865" s="3486"/>
      <c r="T1865" s="3486"/>
      <c r="U1865" s="3486"/>
      <c r="V1865" s="3486"/>
      <c r="W1865" s="3486"/>
      <c r="X1865" s="3486"/>
      <c r="Y1865" s="3943"/>
    </row>
    <row r="1866" spans="1:25" s="3492" customFormat="1">
      <c r="A1866" s="3485"/>
      <c r="B1866" s="3486"/>
      <c r="C1866" s="3486"/>
      <c r="D1866" s="3486"/>
      <c r="E1866" s="3486"/>
      <c r="F1866" s="3486"/>
      <c r="G1866" s="3486"/>
      <c r="H1866" s="3486"/>
      <c r="I1866" s="3486"/>
      <c r="J1866" s="3486"/>
      <c r="K1866" s="3486"/>
      <c r="L1866" s="3486"/>
      <c r="M1866" s="3486"/>
      <c r="N1866" s="3486"/>
      <c r="O1866" s="3486"/>
      <c r="P1866" s="3486"/>
      <c r="Q1866" s="3486"/>
      <c r="R1866" s="3486"/>
      <c r="S1866" s="3486"/>
      <c r="T1866" s="3486"/>
      <c r="U1866" s="3486"/>
      <c r="V1866" s="3486"/>
      <c r="W1866" s="3486"/>
      <c r="X1866" s="3486"/>
      <c r="Y1866" s="3943"/>
    </row>
    <row r="1867" spans="1:25" s="3492" customFormat="1">
      <c r="A1867" s="3485"/>
      <c r="B1867" s="3486"/>
      <c r="C1867" s="3486"/>
      <c r="D1867" s="3486"/>
      <c r="E1867" s="3486"/>
      <c r="F1867" s="3486"/>
      <c r="G1867" s="3486"/>
      <c r="H1867" s="3486"/>
      <c r="I1867" s="3486"/>
      <c r="J1867" s="3486"/>
      <c r="K1867" s="3486"/>
      <c r="L1867" s="3486"/>
      <c r="M1867" s="3486"/>
      <c r="N1867" s="3486"/>
      <c r="O1867" s="3486"/>
      <c r="P1867" s="3486"/>
      <c r="Q1867" s="3486"/>
      <c r="R1867" s="3486"/>
      <c r="S1867" s="3486"/>
      <c r="T1867" s="3486"/>
      <c r="U1867" s="3486"/>
      <c r="V1867" s="3486"/>
      <c r="W1867" s="3486"/>
      <c r="X1867" s="3486"/>
      <c r="Y1867" s="3943"/>
    </row>
    <row r="1868" spans="1:25" s="3492" customFormat="1">
      <c r="A1868" s="3485"/>
      <c r="B1868" s="3486"/>
      <c r="C1868" s="3486"/>
      <c r="D1868" s="3486"/>
      <c r="E1868" s="3486"/>
      <c r="F1868" s="3486"/>
      <c r="G1868" s="3486"/>
      <c r="H1868" s="3486"/>
      <c r="I1868" s="3486"/>
      <c r="J1868" s="3486"/>
      <c r="K1868" s="3486"/>
      <c r="L1868" s="3486"/>
      <c r="M1868" s="3486"/>
      <c r="N1868" s="3486"/>
      <c r="O1868" s="3486"/>
      <c r="P1868" s="3486"/>
      <c r="Q1868" s="3486"/>
      <c r="R1868" s="3486"/>
      <c r="S1868" s="3486"/>
      <c r="T1868" s="3486"/>
      <c r="U1868" s="3486"/>
      <c r="V1868" s="3486"/>
      <c r="W1868" s="3486"/>
      <c r="X1868" s="3486"/>
      <c r="Y1868" s="3943"/>
    </row>
    <row r="1869" spans="1:25" s="3492" customFormat="1">
      <c r="A1869" s="3485"/>
      <c r="B1869" s="3486"/>
      <c r="C1869" s="3486"/>
      <c r="D1869" s="3486"/>
      <c r="E1869" s="3486"/>
      <c r="F1869" s="3486"/>
      <c r="G1869" s="3486"/>
      <c r="H1869" s="3486"/>
      <c r="I1869" s="3486"/>
      <c r="J1869" s="3486"/>
      <c r="K1869" s="3486"/>
      <c r="L1869" s="3486"/>
      <c r="M1869" s="3486"/>
      <c r="N1869" s="3486"/>
      <c r="O1869" s="3486"/>
      <c r="P1869" s="3486"/>
      <c r="Q1869" s="3486"/>
      <c r="R1869" s="3486"/>
      <c r="S1869" s="3486"/>
      <c r="T1869" s="3486"/>
      <c r="U1869" s="3486"/>
      <c r="V1869" s="3486"/>
      <c r="W1869" s="3486"/>
      <c r="X1869" s="3486"/>
      <c r="Y1869" s="3943"/>
    </row>
    <row r="1870" spans="1:25" s="3492" customFormat="1">
      <c r="A1870" s="3485"/>
      <c r="B1870" s="3486"/>
      <c r="C1870" s="3486"/>
      <c r="D1870" s="3486"/>
      <c r="E1870" s="3486"/>
      <c r="F1870" s="3486"/>
      <c r="G1870" s="3486"/>
      <c r="H1870" s="3486"/>
      <c r="I1870" s="3486"/>
      <c r="J1870" s="3486"/>
      <c r="K1870" s="3486"/>
      <c r="L1870" s="3486"/>
      <c r="M1870" s="3486"/>
      <c r="N1870" s="3486"/>
      <c r="O1870" s="3486"/>
      <c r="P1870" s="3486"/>
      <c r="Q1870" s="3486"/>
      <c r="R1870" s="3486"/>
      <c r="S1870" s="3486"/>
      <c r="T1870" s="3486"/>
      <c r="U1870" s="3486"/>
      <c r="V1870" s="3486"/>
      <c r="W1870" s="3486"/>
      <c r="X1870" s="3486"/>
      <c r="Y1870" s="3943"/>
    </row>
    <row r="1871" spans="1:25" s="3492" customFormat="1">
      <c r="A1871" s="3485"/>
      <c r="B1871" s="3486"/>
      <c r="C1871" s="3486"/>
      <c r="D1871" s="3486"/>
      <c r="E1871" s="3486"/>
      <c r="F1871" s="3486"/>
      <c r="G1871" s="3486"/>
      <c r="H1871" s="3486"/>
      <c r="I1871" s="3486"/>
      <c r="J1871" s="3486"/>
      <c r="K1871" s="3486"/>
      <c r="L1871" s="3486"/>
      <c r="M1871" s="3486"/>
      <c r="N1871" s="3486"/>
      <c r="O1871" s="3486"/>
      <c r="P1871" s="3486"/>
      <c r="Q1871" s="3486"/>
      <c r="R1871" s="3486"/>
      <c r="S1871" s="3486"/>
      <c r="T1871" s="3486"/>
      <c r="U1871" s="3486"/>
      <c r="V1871" s="3486"/>
      <c r="W1871" s="3486"/>
      <c r="X1871" s="3486"/>
      <c r="Y1871" s="3943"/>
    </row>
  </sheetData>
  <mergeCells count="78">
    <mergeCell ref="A138:W138"/>
    <mergeCell ref="G39:G40"/>
    <mergeCell ref="A39:A52"/>
    <mergeCell ref="B39:B40"/>
    <mergeCell ref="E39:E40"/>
    <mergeCell ref="F39:F40"/>
    <mergeCell ref="C128:C130"/>
    <mergeCell ref="A126:A130"/>
    <mergeCell ref="A131:A135"/>
    <mergeCell ref="A136:W136"/>
    <mergeCell ref="A5:N5"/>
    <mergeCell ref="C6:C8"/>
    <mergeCell ref="D6:D8"/>
    <mergeCell ref="E6:L7"/>
    <mergeCell ref="A29:A38"/>
    <mergeCell ref="C31:C35"/>
    <mergeCell ref="M6:M7"/>
    <mergeCell ref="Y39:Y52"/>
    <mergeCell ref="C42:C47"/>
    <mergeCell ref="C49:C50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C39:C40"/>
    <mergeCell ref="O6:O7"/>
    <mergeCell ref="P6:W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126:Y130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131:Y135"/>
    <mergeCell ref="C133:C135"/>
    <mergeCell ref="Z103:AB103"/>
    <mergeCell ref="A137:Y137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69" firstPageNumber="35" orientation="landscape" useFirstPageNumber="1" r:id="rId1"/>
  <headerFooter alignWithMargins="0">
    <oddHeader>&amp;C&amp;"Arial,Kursywa"Wieloletnia prognoza finansowa Województwa Zachodniopomorskiego na lata 2016 - 2038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102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O535"/>
  <sheetViews>
    <sheetView showGridLines="0" view="pageBreakPreview" zoomScale="115" zoomScaleNormal="100" zoomScaleSheetLayoutView="115" workbookViewId="0">
      <pane ySplit="8" topLeftCell="A50" activePane="bottomLeft" state="frozen"/>
      <selection pane="bottomLeft" activeCell="O65" sqref="O65"/>
    </sheetView>
  </sheetViews>
  <sheetFormatPr defaultColWidth="9.140625" defaultRowHeight="11.25"/>
  <cols>
    <col min="1" max="1" width="2.85546875" style="3966" customWidth="1"/>
    <col min="2" max="2" width="56.28515625" style="3967" customWidth="1"/>
    <col min="3" max="3" width="10" style="3967" customWidth="1"/>
    <col min="4" max="4" width="14.140625" style="3967" customWidth="1"/>
    <col min="5" max="6" width="10.42578125" style="3967" hidden="1" customWidth="1"/>
    <col min="7" max="8" width="10.7109375" style="3967" hidden="1" customWidth="1"/>
    <col min="9" max="9" width="10.28515625" style="3967" hidden="1" customWidth="1"/>
    <col min="10" max="10" width="9.5703125" style="3967" hidden="1" customWidth="1"/>
    <col min="11" max="11" width="9.85546875" style="3967" hidden="1" customWidth="1"/>
    <col min="12" max="12" width="10.140625" style="3967" hidden="1" customWidth="1"/>
    <col min="13" max="13" width="12" style="3967" customWidth="1"/>
    <col min="14" max="14" width="12.28515625" style="3967" hidden="1" customWidth="1"/>
    <col min="15" max="15" width="10.85546875" style="3967" customWidth="1"/>
    <col min="16" max="16" width="9.28515625" style="4268" customWidth="1"/>
    <col min="17" max="17" width="9" style="3967" customWidth="1"/>
    <col min="18" max="18" width="10.140625" style="3967" customWidth="1"/>
    <col min="19" max="19" width="9.28515625" style="3967" customWidth="1"/>
    <col min="20" max="23" width="9.5703125" style="3967" customWidth="1"/>
    <col min="24" max="24" width="10.5703125" style="3967" customWidth="1"/>
    <col min="25" max="25" width="15.7109375" style="4267" customWidth="1"/>
    <col min="26" max="16384" width="9.140625" style="3967"/>
  </cols>
  <sheetData>
    <row r="1" spans="1:25" ht="18" customHeight="1">
      <c r="O1" s="3968"/>
      <c r="P1" s="3967"/>
      <c r="S1" s="3969" t="s">
        <v>164</v>
      </c>
      <c r="T1" s="3969"/>
      <c r="U1" s="3969"/>
      <c r="V1" s="3969"/>
      <c r="W1" s="3969"/>
      <c r="X1" s="3970"/>
      <c r="Y1" s="3971"/>
    </row>
    <row r="2" spans="1:25" ht="7.5" customHeight="1">
      <c r="N2" s="3972"/>
      <c r="O2" s="3973"/>
      <c r="P2" s="3967"/>
      <c r="T2" s="3970"/>
      <c r="U2" s="3970"/>
      <c r="V2" s="3970"/>
      <c r="W2" s="3970"/>
      <c r="X2" s="3970"/>
      <c r="Y2" s="3971"/>
    </row>
    <row r="3" spans="1:25" ht="14.25" hidden="1" customHeight="1">
      <c r="N3" s="3972"/>
      <c r="O3" s="3972"/>
      <c r="P3" s="3972"/>
      <c r="Q3" s="3972"/>
      <c r="R3" s="3972"/>
      <c r="S3" s="3972"/>
      <c r="T3" s="3970"/>
      <c r="U3" s="3970"/>
      <c r="V3" s="3970"/>
      <c r="W3" s="3970"/>
      <c r="X3" s="3970"/>
      <c r="Y3" s="3971"/>
    </row>
    <row r="4" spans="1:25" ht="9" customHeight="1">
      <c r="N4" s="3972"/>
      <c r="O4" s="3972"/>
      <c r="P4" s="3972"/>
      <c r="Q4" s="3972"/>
      <c r="R4" s="3972"/>
      <c r="S4" s="3972"/>
      <c r="T4" s="3970"/>
      <c r="U4" s="3970"/>
      <c r="V4" s="3970"/>
      <c r="W4" s="3970"/>
      <c r="X4" s="3970"/>
      <c r="Y4" s="3971"/>
    </row>
    <row r="5" spans="1:25" ht="38.25" customHeight="1" thickBot="1">
      <c r="A5" s="3974" t="s">
        <v>165</v>
      </c>
      <c r="B5" s="3974"/>
      <c r="C5" s="3974"/>
      <c r="D5" s="3974"/>
      <c r="E5" s="3974"/>
      <c r="F5" s="3974"/>
      <c r="G5" s="3974"/>
      <c r="H5" s="3974"/>
      <c r="I5" s="3974"/>
      <c r="J5" s="3974"/>
      <c r="K5" s="3974"/>
      <c r="L5" s="3974"/>
      <c r="M5" s="3974"/>
      <c r="N5" s="3974"/>
      <c r="O5" s="3974"/>
      <c r="P5" s="3974"/>
      <c r="Q5" s="3974"/>
      <c r="R5" s="3974"/>
      <c r="S5" s="3974"/>
      <c r="T5" s="3974"/>
      <c r="U5" s="3974"/>
      <c r="V5" s="3974"/>
      <c r="W5" s="3974"/>
      <c r="X5" s="3974"/>
      <c r="Y5" s="3974"/>
    </row>
    <row r="6" spans="1:25" s="3990" customFormat="1" ht="33.75" customHeight="1">
      <c r="A6" s="3975"/>
      <c r="B6" s="3976" t="s">
        <v>91</v>
      </c>
      <c r="C6" s="3977" t="s">
        <v>87</v>
      </c>
      <c r="D6" s="3978" t="s">
        <v>166</v>
      </c>
      <c r="E6" s="3979"/>
      <c r="F6" s="3980"/>
      <c r="G6" s="3980"/>
      <c r="H6" s="3980"/>
      <c r="I6" s="3980"/>
      <c r="J6" s="3980"/>
      <c r="K6" s="3980"/>
      <c r="L6" s="3981"/>
      <c r="M6" s="3982" t="s">
        <v>400</v>
      </c>
      <c r="N6" s="3983"/>
      <c r="O6" s="3984" t="s">
        <v>415</v>
      </c>
      <c r="P6" s="3985" t="s">
        <v>410</v>
      </c>
      <c r="Q6" s="3986"/>
      <c r="R6" s="3986"/>
      <c r="S6" s="3986"/>
      <c r="T6" s="3986"/>
      <c r="U6" s="3986"/>
      <c r="V6" s="3986"/>
      <c r="W6" s="3987"/>
      <c r="X6" s="3988" t="s">
        <v>376</v>
      </c>
      <c r="Y6" s="3989" t="s">
        <v>89</v>
      </c>
    </row>
    <row r="7" spans="1:25" s="3990" customFormat="1" ht="25.5" customHeight="1">
      <c r="A7" s="3991" t="s">
        <v>90</v>
      </c>
      <c r="B7" s="3992"/>
      <c r="C7" s="3993"/>
      <c r="D7" s="3994"/>
      <c r="E7" s="3995"/>
      <c r="F7" s="3996"/>
      <c r="G7" s="3996"/>
      <c r="H7" s="3996"/>
      <c r="I7" s="3996"/>
      <c r="J7" s="3996"/>
      <c r="K7" s="3996"/>
      <c r="L7" s="3997"/>
      <c r="M7" s="3998"/>
      <c r="N7" s="3999"/>
      <c r="O7" s="4000"/>
      <c r="P7" s="4001"/>
      <c r="Q7" s="4002"/>
      <c r="R7" s="4002"/>
      <c r="S7" s="4002"/>
      <c r="T7" s="4002"/>
      <c r="U7" s="4002"/>
      <c r="V7" s="4002"/>
      <c r="W7" s="4003"/>
      <c r="X7" s="4004"/>
      <c r="Y7" s="4005"/>
    </row>
    <row r="8" spans="1:25" s="3990" customFormat="1" ht="20.25" customHeight="1" thickBot="1">
      <c r="A8" s="3991"/>
      <c r="B8" s="4006"/>
      <c r="C8" s="4007"/>
      <c r="D8" s="4008"/>
      <c r="E8" s="4009" t="s">
        <v>6</v>
      </c>
      <c r="F8" s="4010" t="s">
        <v>7</v>
      </c>
      <c r="G8" s="4010" t="s">
        <v>8</v>
      </c>
      <c r="H8" s="4010" t="s">
        <v>9</v>
      </c>
      <c r="I8" s="4011" t="s">
        <v>10</v>
      </c>
      <c r="J8" s="4011" t="s">
        <v>11</v>
      </c>
      <c r="K8" s="4011" t="s">
        <v>12</v>
      </c>
      <c r="L8" s="4011" t="s">
        <v>13</v>
      </c>
      <c r="M8" s="4012" t="s">
        <v>371</v>
      </c>
      <c r="N8" s="4011" t="s">
        <v>14</v>
      </c>
      <c r="O8" s="4011" t="s">
        <v>15</v>
      </c>
      <c r="P8" s="4011" t="s">
        <v>16</v>
      </c>
      <c r="Q8" s="4011" t="s">
        <v>17</v>
      </c>
      <c r="R8" s="4011" t="s">
        <v>18</v>
      </c>
      <c r="S8" s="4013" t="s">
        <v>290</v>
      </c>
      <c r="T8" s="4013" t="s">
        <v>295</v>
      </c>
      <c r="U8" s="4013" t="s">
        <v>373</v>
      </c>
      <c r="V8" s="4013" t="s">
        <v>374</v>
      </c>
      <c r="W8" s="4013" t="s">
        <v>372</v>
      </c>
      <c r="X8" s="4014"/>
      <c r="Y8" s="4015"/>
    </row>
    <row r="9" spans="1:25" s="3990" customFormat="1" ht="13.5" customHeight="1" thickBot="1">
      <c r="A9" s="4016">
        <v>1</v>
      </c>
      <c r="B9" s="4017">
        <v>2</v>
      </c>
      <c r="C9" s="4018" t="s">
        <v>142</v>
      </c>
      <c r="D9" s="4018" t="s">
        <v>143</v>
      </c>
      <c r="E9" s="4018" t="s">
        <v>144</v>
      </c>
      <c r="F9" s="4019">
        <v>8</v>
      </c>
      <c r="G9" s="4019">
        <v>9</v>
      </c>
      <c r="H9" s="4019">
        <v>10</v>
      </c>
      <c r="I9" s="4020" t="s">
        <v>145</v>
      </c>
      <c r="J9" s="4021" t="s">
        <v>146</v>
      </c>
      <c r="K9" s="4020" t="s">
        <v>147</v>
      </c>
      <c r="L9" s="4020" t="s">
        <v>148</v>
      </c>
      <c r="M9" s="4022">
        <v>5</v>
      </c>
      <c r="N9" s="4022" t="s">
        <v>375</v>
      </c>
      <c r="O9" s="4022">
        <v>6</v>
      </c>
      <c r="P9" s="4022">
        <v>7</v>
      </c>
      <c r="Q9" s="4022">
        <v>8</v>
      </c>
      <c r="R9" s="4023">
        <v>9</v>
      </c>
      <c r="S9" s="4023">
        <v>10</v>
      </c>
      <c r="T9" s="4023">
        <v>11</v>
      </c>
      <c r="U9" s="4023">
        <v>12</v>
      </c>
      <c r="V9" s="4023">
        <v>13</v>
      </c>
      <c r="W9" s="4023">
        <v>14</v>
      </c>
      <c r="X9" s="4024">
        <v>15</v>
      </c>
      <c r="Y9" s="4025">
        <v>16</v>
      </c>
    </row>
    <row r="10" spans="1:25" s="3990" customFormat="1" ht="17.25" customHeight="1">
      <c r="A10" s="4026"/>
      <c r="B10" s="4027" t="s">
        <v>92</v>
      </c>
      <c r="C10" s="4028"/>
      <c r="D10" s="4029">
        <f>+D11+D12</f>
        <v>1049415</v>
      </c>
      <c r="E10" s="4029">
        <f t="shared" ref="E10:Q10" si="0">+E11+E12</f>
        <v>0</v>
      </c>
      <c r="F10" s="4029">
        <f t="shared" si="0"/>
        <v>0</v>
      </c>
      <c r="G10" s="4029">
        <f t="shared" si="0"/>
        <v>0</v>
      </c>
      <c r="H10" s="4029">
        <f t="shared" si="0"/>
        <v>0</v>
      </c>
      <c r="I10" s="4029">
        <f t="shared" si="0"/>
        <v>0</v>
      </c>
      <c r="J10" s="4029">
        <f t="shared" si="0"/>
        <v>0</v>
      </c>
      <c r="K10" s="4029">
        <f t="shared" si="0"/>
        <v>0</v>
      </c>
      <c r="L10" s="4029">
        <f t="shared" si="0"/>
        <v>131442</v>
      </c>
      <c r="M10" s="4029">
        <f t="shared" si="0"/>
        <v>286572</v>
      </c>
      <c r="N10" s="4029">
        <f t="shared" si="0"/>
        <v>175457</v>
      </c>
      <c r="O10" s="4029">
        <f t="shared" si="0"/>
        <v>370427</v>
      </c>
      <c r="P10" s="4029">
        <f t="shared" si="0"/>
        <v>238626</v>
      </c>
      <c r="Q10" s="4029">
        <f t="shared" si="0"/>
        <v>153790</v>
      </c>
      <c r="R10" s="4029">
        <f t="shared" ref="R10:W10" si="1">+R11+R12</f>
        <v>0</v>
      </c>
      <c r="S10" s="4029">
        <f t="shared" si="1"/>
        <v>0</v>
      </c>
      <c r="T10" s="4029">
        <f t="shared" si="1"/>
        <v>0</v>
      </c>
      <c r="U10" s="4029">
        <f t="shared" si="1"/>
        <v>0</v>
      </c>
      <c r="V10" s="4029">
        <f t="shared" si="1"/>
        <v>0</v>
      </c>
      <c r="W10" s="4029">
        <f t="shared" si="1"/>
        <v>0</v>
      </c>
      <c r="X10" s="4030">
        <f>+X11+X12</f>
        <v>392416</v>
      </c>
      <c r="Y10" s="4031"/>
    </row>
    <row r="11" spans="1:25" s="3990" customFormat="1" ht="13.5" customHeight="1">
      <c r="A11" s="4026"/>
      <c r="B11" s="4032" t="s">
        <v>93</v>
      </c>
      <c r="C11" s="4033"/>
      <c r="D11" s="4034">
        <f>+D22+D33+D44+D51+D58+D65</f>
        <v>1049415</v>
      </c>
      <c r="E11" s="4034">
        <f t="shared" ref="E11:N11" si="2">+E22+E33+E44+E51+E58</f>
        <v>0</v>
      </c>
      <c r="F11" s="4034">
        <f t="shared" si="2"/>
        <v>0</v>
      </c>
      <c r="G11" s="4034">
        <f t="shared" si="2"/>
        <v>0</v>
      </c>
      <c r="H11" s="4034">
        <f t="shared" si="2"/>
        <v>0</v>
      </c>
      <c r="I11" s="4034">
        <f t="shared" si="2"/>
        <v>0</v>
      </c>
      <c r="J11" s="4034">
        <f t="shared" si="2"/>
        <v>0</v>
      </c>
      <c r="K11" s="4034">
        <f t="shared" si="2"/>
        <v>0</v>
      </c>
      <c r="L11" s="4034">
        <f t="shared" si="2"/>
        <v>131442</v>
      </c>
      <c r="M11" s="4034">
        <f>+M22+M33+M44+M51+M58+M65</f>
        <v>286572</v>
      </c>
      <c r="N11" s="4034">
        <f t="shared" si="2"/>
        <v>175457</v>
      </c>
      <c r="O11" s="4034">
        <f>+O22+O33+O44+O51+O58+O65</f>
        <v>370427</v>
      </c>
      <c r="P11" s="4034">
        <f>+P22+P33+P44+P51+P58+P65</f>
        <v>238626</v>
      </c>
      <c r="Q11" s="4034">
        <f>+Q22+Q33+Q44+Q51+Q58+Q65</f>
        <v>153790</v>
      </c>
      <c r="R11" s="4034">
        <f t="shared" ref="R11:W11" si="3">+R22+R33+R44+R51</f>
        <v>0</v>
      </c>
      <c r="S11" s="4034">
        <f t="shared" si="3"/>
        <v>0</v>
      </c>
      <c r="T11" s="4034">
        <f t="shared" si="3"/>
        <v>0</v>
      </c>
      <c r="U11" s="4034">
        <f t="shared" si="3"/>
        <v>0</v>
      </c>
      <c r="V11" s="4034">
        <f t="shared" si="3"/>
        <v>0</v>
      </c>
      <c r="W11" s="4034">
        <f t="shared" si="3"/>
        <v>0</v>
      </c>
      <c r="X11" s="4035">
        <f>SUM(P11:S11)</f>
        <v>392416</v>
      </c>
      <c r="Y11" s="4031"/>
    </row>
    <row r="12" spans="1:25" s="3990" customFormat="1" ht="13.5" customHeight="1" thickBot="1">
      <c r="A12" s="4026"/>
      <c r="B12" s="4036" t="s">
        <v>21</v>
      </c>
      <c r="C12" s="4033"/>
      <c r="D12" s="4034">
        <v>0</v>
      </c>
      <c r="E12" s="4034">
        <v>0</v>
      </c>
      <c r="F12" s="4034">
        <v>0</v>
      </c>
      <c r="G12" s="4034">
        <v>0</v>
      </c>
      <c r="H12" s="4034">
        <v>0</v>
      </c>
      <c r="I12" s="4034">
        <v>0</v>
      </c>
      <c r="J12" s="4034">
        <v>0</v>
      </c>
      <c r="K12" s="4034">
        <v>0</v>
      </c>
      <c r="L12" s="4034">
        <v>0</v>
      </c>
      <c r="M12" s="4034">
        <v>0</v>
      </c>
      <c r="N12" s="4034">
        <v>0</v>
      </c>
      <c r="O12" s="4034">
        <v>0</v>
      </c>
      <c r="P12" s="4034">
        <v>0</v>
      </c>
      <c r="Q12" s="4034">
        <v>0</v>
      </c>
      <c r="R12" s="4034">
        <v>0</v>
      </c>
      <c r="S12" s="4034">
        <v>0</v>
      </c>
      <c r="T12" s="4034">
        <v>0</v>
      </c>
      <c r="U12" s="4034">
        <v>0</v>
      </c>
      <c r="V12" s="4034">
        <v>0</v>
      </c>
      <c r="W12" s="4034">
        <v>0</v>
      </c>
      <c r="X12" s="4035">
        <f>SUM(P12:W12)</f>
        <v>0</v>
      </c>
      <c r="Y12" s="4031"/>
    </row>
    <row r="13" spans="1:25" ht="14.25" customHeight="1">
      <c r="A13" s="4037"/>
      <c r="B13" s="4038" t="s">
        <v>22</v>
      </c>
      <c r="C13" s="4039"/>
      <c r="D13" s="4040">
        <f>+D14+D16</f>
        <v>1049415</v>
      </c>
      <c r="E13" s="4040">
        <f t="shared" ref="E13:Q13" si="4">+E14+E16</f>
        <v>0</v>
      </c>
      <c r="F13" s="4040">
        <f t="shared" si="4"/>
        <v>0</v>
      </c>
      <c r="G13" s="4040">
        <f t="shared" si="4"/>
        <v>0</v>
      </c>
      <c r="H13" s="4040">
        <f t="shared" si="4"/>
        <v>0</v>
      </c>
      <c r="I13" s="4040">
        <f t="shared" si="4"/>
        <v>0</v>
      </c>
      <c r="J13" s="4040">
        <f t="shared" si="4"/>
        <v>0</v>
      </c>
      <c r="K13" s="4040">
        <f t="shared" si="4"/>
        <v>0</v>
      </c>
      <c r="L13" s="4040">
        <f t="shared" si="4"/>
        <v>131442</v>
      </c>
      <c r="M13" s="4040">
        <f t="shared" si="4"/>
        <v>286572</v>
      </c>
      <c r="N13" s="4040">
        <f t="shared" si="4"/>
        <v>175457</v>
      </c>
      <c r="O13" s="4040">
        <f t="shared" si="4"/>
        <v>370427</v>
      </c>
      <c r="P13" s="4040">
        <f t="shared" si="4"/>
        <v>238626</v>
      </c>
      <c r="Q13" s="4040">
        <f t="shared" si="4"/>
        <v>153790</v>
      </c>
      <c r="R13" s="4040">
        <f>+R14+R16</f>
        <v>0</v>
      </c>
      <c r="S13" s="4040">
        <f t="shared" ref="S13:T13" si="5">+S14+S16</f>
        <v>0</v>
      </c>
      <c r="T13" s="4040">
        <f t="shared" si="5"/>
        <v>0</v>
      </c>
      <c r="U13" s="4040">
        <f t="shared" ref="U13:W13" si="6">+U14+U16</f>
        <v>0</v>
      </c>
      <c r="V13" s="4040">
        <f t="shared" si="6"/>
        <v>0</v>
      </c>
      <c r="W13" s="4040">
        <f t="shared" si="6"/>
        <v>0</v>
      </c>
      <c r="X13" s="4041">
        <f>+X14+X16</f>
        <v>392416</v>
      </c>
      <c r="Y13" s="4031"/>
    </row>
    <row r="14" spans="1:25" ht="14.25" customHeight="1">
      <c r="A14" s="4026"/>
      <c r="B14" s="4042" t="s">
        <v>23</v>
      </c>
      <c r="C14" s="4043"/>
      <c r="D14" s="4044">
        <f>+D15</f>
        <v>349415</v>
      </c>
      <c r="E14" s="4044">
        <f t="shared" ref="E14:W14" si="7">+E15</f>
        <v>0</v>
      </c>
      <c r="F14" s="4044">
        <f t="shared" si="7"/>
        <v>0</v>
      </c>
      <c r="G14" s="4044">
        <f t="shared" si="7"/>
        <v>0</v>
      </c>
      <c r="H14" s="4044">
        <f t="shared" si="7"/>
        <v>0</v>
      </c>
      <c r="I14" s="4044">
        <f t="shared" si="7"/>
        <v>0</v>
      </c>
      <c r="J14" s="4044">
        <f t="shared" si="7"/>
        <v>0</v>
      </c>
      <c r="K14" s="4044">
        <f t="shared" si="7"/>
        <v>0</v>
      </c>
      <c r="L14" s="4044">
        <f t="shared" si="7"/>
        <v>64805</v>
      </c>
      <c r="M14" s="4044">
        <f t="shared" si="7"/>
        <v>135277</v>
      </c>
      <c r="N14" s="4044">
        <f t="shared" si="7"/>
        <v>70472</v>
      </c>
      <c r="O14" s="4044">
        <f t="shared" si="7"/>
        <v>70770</v>
      </c>
      <c r="P14" s="4044">
        <f t="shared" si="7"/>
        <v>73485</v>
      </c>
      <c r="Q14" s="4044">
        <f t="shared" si="7"/>
        <v>69883</v>
      </c>
      <c r="R14" s="4044">
        <f t="shared" si="7"/>
        <v>0</v>
      </c>
      <c r="S14" s="4044">
        <f t="shared" si="7"/>
        <v>0</v>
      </c>
      <c r="T14" s="4044">
        <f t="shared" si="7"/>
        <v>0</v>
      </c>
      <c r="U14" s="4044">
        <f t="shared" si="7"/>
        <v>0</v>
      </c>
      <c r="V14" s="4044">
        <f t="shared" si="7"/>
        <v>0</v>
      </c>
      <c r="W14" s="4044">
        <f t="shared" si="7"/>
        <v>0</v>
      </c>
      <c r="X14" s="4045">
        <f>+X15</f>
        <v>143368</v>
      </c>
      <c r="Y14" s="4046"/>
    </row>
    <row r="15" spans="1:25" ht="13.5" customHeight="1">
      <c r="A15" s="4047"/>
      <c r="B15" s="4048" t="s">
        <v>24</v>
      </c>
      <c r="C15" s="4049"/>
      <c r="D15" s="4050">
        <f>+D24+D35</f>
        <v>349415</v>
      </c>
      <c r="E15" s="4050">
        <f t="shared" ref="E15:Q15" si="8">+E24+E35</f>
        <v>0</v>
      </c>
      <c r="F15" s="4050">
        <f t="shared" si="8"/>
        <v>0</v>
      </c>
      <c r="G15" s="4050">
        <f t="shared" si="8"/>
        <v>0</v>
      </c>
      <c r="H15" s="4050">
        <f t="shared" si="8"/>
        <v>0</v>
      </c>
      <c r="I15" s="4050">
        <f t="shared" si="8"/>
        <v>0</v>
      </c>
      <c r="J15" s="4050">
        <f t="shared" si="8"/>
        <v>0</v>
      </c>
      <c r="K15" s="4050">
        <f t="shared" si="8"/>
        <v>0</v>
      </c>
      <c r="L15" s="4050">
        <f>+L24+L35</f>
        <v>64805</v>
      </c>
      <c r="M15" s="4050">
        <f>+M24+M35</f>
        <v>135277</v>
      </c>
      <c r="N15" s="4050">
        <f t="shared" si="8"/>
        <v>70472</v>
      </c>
      <c r="O15" s="4050">
        <f t="shared" si="8"/>
        <v>70770</v>
      </c>
      <c r="P15" s="4050">
        <f t="shared" si="8"/>
        <v>73485</v>
      </c>
      <c r="Q15" s="4050">
        <f t="shared" si="8"/>
        <v>69883</v>
      </c>
      <c r="R15" s="4050">
        <f>+R24+R35</f>
        <v>0</v>
      </c>
      <c r="S15" s="4050">
        <f t="shared" ref="S15:T15" si="9">+S24+S35</f>
        <v>0</v>
      </c>
      <c r="T15" s="4050">
        <f t="shared" si="9"/>
        <v>0</v>
      </c>
      <c r="U15" s="4050">
        <f t="shared" ref="U15:W15" si="10">+U24+U35</f>
        <v>0</v>
      </c>
      <c r="V15" s="4050">
        <f t="shared" si="10"/>
        <v>0</v>
      </c>
      <c r="W15" s="4050">
        <f t="shared" si="10"/>
        <v>0</v>
      </c>
      <c r="X15" s="4051">
        <f>+T15+S15+R15+Q15+P15</f>
        <v>143368</v>
      </c>
      <c r="Y15" s="4031"/>
    </row>
    <row r="16" spans="1:25" ht="14.25" customHeight="1">
      <c r="A16" s="4026"/>
      <c r="B16" s="4052" t="s">
        <v>30</v>
      </c>
      <c r="C16" s="4053"/>
      <c r="D16" s="4054">
        <f>SUM(D17)</f>
        <v>700000</v>
      </c>
      <c r="E16" s="4054">
        <f t="shared" ref="E16:O16" si="11">SUM(E17)</f>
        <v>0</v>
      </c>
      <c r="F16" s="4054">
        <f t="shared" si="11"/>
        <v>0</v>
      </c>
      <c r="G16" s="4054">
        <f t="shared" si="11"/>
        <v>0</v>
      </c>
      <c r="H16" s="4054">
        <f t="shared" si="11"/>
        <v>0</v>
      </c>
      <c r="I16" s="4054">
        <f t="shared" si="11"/>
        <v>0</v>
      </c>
      <c r="J16" s="4054">
        <f t="shared" si="11"/>
        <v>0</v>
      </c>
      <c r="K16" s="4054">
        <f t="shared" si="11"/>
        <v>0</v>
      </c>
      <c r="L16" s="4054">
        <f t="shared" si="11"/>
        <v>66637</v>
      </c>
      <c r="M16" s="4054">
        <f t="shared" si="11"/>
        <v>151295</v>
      </c>
      <c r="N16" s="4054">
        <f t="shared" si="11"/>
        <v>104985</v>
      </c>
      <c r="O16" s="4054">
        <f t="shared" si="11"/>
        <v>299657</v>
      </c>
      <c r="P16" s="4054">
        <f>SUM(P17)</f>
        <v>165141</v>
      </c>
      <c r="Q16" s="4054">
        <f>SUM(Q17)</f>
        <v>83907</v>
      </c>
      <c r="R16" s="4044">
        <f>SUM(R17)</f>
        <v>0</v>
      </c>
      <c r="S16" s="4044">
        <f t="shared" ref="S16:W16" si="12">SUM(S17)</f>
        <v>0</v>
      </c>
      <c r="T16" s="4044">
        <f t="shared" si="12"/>
        <v>0</v>
      </c>
      <c r="U16" s="4044">
        <f t="shared" si="12"/>
        <v>0</v>
      </c>
      <c r="V16" s="4044">
        <f t="shared" si="12"/>
        <v>0</v>
      </c>
      <c r="W16" s="4044">
        <f t="shared" si="12"/>
        <v>0</v>
      </c>
      <c r="X16" s="4045">
        <f>SUM(X17)</f>
        <v>249048</v>
      </c>
      <c r="Y16" s="4046"/>
    </row>
    <row r="17" spans="1:26" ht="12" customHeight="1">
      <c r="A17" s="4055"/>
      <c r="B17" s="4056" t="s">
        <v>32</v>
      </c>
      <c r="C17" s="4057"/>
      <c r="D17" s="4050">
        <f>+D26+D37+D46+D53+D60+D67</f>
        <v>700000</v>
      </c>
      <c r="E17" s="4050">
        <f t="shared" ref="E17:W17" si="13">+E26+E37+E46+E53+E60+E67</f>
        <v>0</v>
      </c>
      <c r="F17" s="4050">
        <f t="shared" si="13"/>
        <v>0</v>
      </c>
      <c r="G17" s="4050">
        <f t="shared" si="13"/>
        <v>0</v>
      </c>
      <c r="H17" s="4050">
        <f t="shared" si="13"/>
        <v>0</v>
      </c>
      <c r="I17" s="4050">
        <f t="shared" si="13"/>
        <v>0</v>
      </c>
      <c r="J17" s="4050">
        <f t="shared" si="13"/>
        <v>0</v>
      </c>
      <c r="K17" s="4050">
        <f t="shared" si="13"/>
        <v>0</v>
      </c>
      <c r="L17" s="4050">
        <f t="shared" si="13"/>
        <v>66637</v>
      </c>
      <c r="M17" s="4050">
        <f>+M26+M37+M46+M53+M60+M67</f>
        <v>151295</v>
      </c>
      <c r="N17" s="4050">
        <f t="shared" si="13"/>
        <v>104985</v>
      </c>
      <c r="O17" s="4050">
        <f t="shared" si="13"/>
        <v>299657</v>
      </c>
      <c r="P17" s="4050">
        <f t="shared" si="13"/>
        <v>165141</v>
      </c>
      <c r="Q17" s="4050">
        <f t="shared" si="13"/>
        <v>83907</v>
      </c>
      <c r="R17" s="4050">
        <f t="shared" si="13"/>
        <v>0</v>
      </c>
      <c r="S17" s="4050">
        <f t="shared" si="13"/>
        <v>0</v>
      </c>
      <c r="T17" s="4050">
        <f t="shared" si="13"/>
        <v>0</v>
      </c>
      <c r="U17" s="4050">
        <f t="shared" si="13"/>
        <v>0</v>
      </c>
      <c r="V17" s="4050">
        <f t="shared" si="13"/>
        <v>0</v>
      </c>
      <c r="W17" s="4050">
        <f t="shared" si="13"/>
        <v>0</v>
      </c>
      <c r="X17" s="4058">
        <f>+T17+S17+R17+Q17+P17</f>
        <v>249048</v>
      </c>
      <c r="Y17" s="4059"/>
    </row>
    <row r="18" spans="1:26" s="4066" customFormat="1" ht="14.25" customHeight="1">
      <c r="A18" s="4026"/>
      <c r="B18" s="4060" t="s">
        <v>34</v>
      </c>
      <c r="C18" s="4061"/>
      <c r="D18" s="4062">
        <f>+D19</f>
        <v>700002</v>
      </c>
      <c r="E18" s="4062">
        <f t="shared" ref="E18:U19" si="14">+E19</f>
        <v>0</v>
      </c>
      <c r="F18" s="4062">
        <f t="shared" si="14"/>
        <v>0</v>
      </c>
      <c r="G18" s="4062">
        <f t="shared" si="14"/>
        <v>0</v>
      </c>
      <c r="H18" s="4062">
        <f t="shared" si="14"/>
        <v>0</v>
      </c>
      <c r="I18" s="4062">
        <f t="shared" si="14"/>
        <v>0</v>
      </c>
      <c r="J18" s="4062">
        <f t="shared" si="14"/>
        <v>0</v>
      </c>
      <c r="K18" s="4062">
        <f t="shared" si="14"/>
        <v>0</v>
      </c>
      <c r="L18" s="4062">
        <f t="shared" si="14"/>
        <v>53066</v>
      </c>
      <c r="M18" s="4062">
        <f t="shared" si="14"/>
        <v>288972</v>
      </c>
      <c r="N18" s="4062">
        <f t="shared" si="14"/>
        <v>235906</v>
      </c>
      <c r="O18" s="4062">
        <f>+O19</f>
        <v>137580</v>
      </c>
      <c r="P18" s="4062">
        <f t="shared" si="14"/>
        <v>162868</v>
      </c>
      <c r="Q18" s="4062">
        <f t="shared" si="14"/>
        <v>87386</v>
      </c>
      <c r="R18" s="4063">
        <f t="shared" si="14"/>
        <v>23196</v>
      </c>
      <c r="S18" s="4063">
        <f t="shared" si="14"/>
        <v>0</v>
      </c>
      <c r="T18" s="4063">
        <f t="shared" si="14"/>
        <v>0</v>
      </c>
      <c r="U18" s="4063">
        <f t="shared" si="14"/>
        <v>0</v>
      </c>
      <c r="V18" s="4063">
        <f t="shared" ref="U18:W19" si="15">+V19</f>
        <v>0</v>
      </c>
      <c r="W18" s="4063">
        <f t="shared" si="15"/>
        <v>0</v>
      </c>
      <c r="X18" s="4064" t="s">
        <v>77</v>
      </c>
      <c r="Y18" s="4065"/>
    </row>
    <row r="19" spans="1:26" s="4066" customFormat="1" ht="14.25" customHeight="1">
      <c r="A19" s="4026"/>
      <c r="B19" s="4052" t="s">
        <v>30</v>
      </c>
      <c r="C19" s="4053"/>
      <c r="D19" s="4054">
        <f>+D20</f>
        <v>700002</v>
      </c>
      <c r="E19" s="4054">
        <f t="shared" si="14"/>
        <v>0</v>
      </c>
      <c r="F19" s="4054">
        <f t="shared" si="14"/>
        <v>0</v>
      </c>
      <c r="G19" s="4054">
        <f t="shared" si="14"/>
        <v>0</v>
      </c>
      <c r="H19" s="4054">
        <f t="shared" si="14"/>
        <v>0</v>
      </c>
      <c r="I19" s="4054">
        <f t="shared" si="14"/>
        <v>0</v>
      </c>
      <c r="J19" s="4054">
        <f t="shared" si="14"/>
        <v>0</v>
      </c>
      <c r="K19" s="4054">
        <f t="shared" si="14"/>
        <v>0</v>
      </c>
      <c r="L19" s="4054">
        <f t="shared" si="14"/>
        <v>53066</v>
      </c>
      <c r="M19" s="4054">
        <f t="shared" si="14"/>
        <v>288972</v>
      </c>
      <c r="N19" s="4054">
        <f t="shared" si="14"/>
        <v>235906</v>
      </c>
      <c r="O19" s="4054">
        <f t="shared" si="14"/>
        <v>137580</v>
      </c>
      <c r="P19" s="4054">
        <f t="shared" si="14"/>
        <v>162868</v>
      </c>
      <c r="Q19" s="4054">
        <f t="shared" si="14"/>
        <v>87386</v>
      </c>
      <c r="R19" s="4044">
        <f t="shared" si="14"/>
        <v>23196</v>
      </c>
      <c r="S19" s="4044">
        <f t="shared" si="14"/>
        <v>0</v>
      </c>
      <c r="T19" s="4044">
        <f t="shared" si="14"/>
        <v>0</v>
      </c>
      <c r="U19" s="4044">
        <f t="shared" si="15"/>
        <v>0</v>
      </c>
      <c r="V19" s="4044">
        <f t="shared" si="15"/>
        <v>0</v>
      </c>
      <c r="W19" s="4044">
        <f t="shared" si="15"/>
        <v>0</v>
      </c>
      <c r="X19" s="4067"/>
      <c r="Y19" s="4046"/>
    </row>
    <row r="20" spans="1:26" s="4066" customFormat="1" ht="12.75" customHeight="1" thickBot="1">
      <c r="A20" s="4068"/>
      <c r="B20" s="4069" t="s">
        <v>32</v>
      </c>
      <c r="C20" s="4070"/>
      <c r="D20" s="4071">
        <f>+D31+D42+D49+D56+D63+D70</f>
        <v>700002</v>
      </c>
      <c r="E20" s="4071">
        <f t="shared" ref="E20:W20" si="16">+E31+E42+E49+E56+E63+E70</f>
        <v>0</v>
      </c>
      <c r="F20" s="4071">
        <f t="shared" si="16"/>
        <v>0</v>
      </c>
      <c r="G20" s="4071">
        <f t="shared" si="16"/>
        <v>0</v>
      </c>
      <c r="H20" s="4071">
        <f t="shared" si="16"/>
        <v>0</v>
      </c>
      <c r="I20" s="4071">
        <f t="shared" si="16"/>
        <v>0</v>
      </c>
      <c r="J20" s="4071">
        <f t="shared" si="16"/>
        <v>0</v>
      </c>
      <c r="K20" s="4071">
        <f t="shared" si="16"/>
        <v>0</v>
      </c>
      <c r="L20" s="4071">
        <f t="shared" si="16"/>
        <v>53066</v>
      </c>
      <c r="M20" s="4071">
        <f t="shared" si="16"/>
        <v>288972</v>
      </c>
      <c r="N20" s="4071">
        <f t="shared" si="16"/>
        <v>235906</v>
      </c>
      <c r="O20" s="4071">
        <f t="shared" si="16"/>
        <v>137580</v>
      </c>
      <c r="P20" s="4071">
        <f t="shared" si="16"/>
        <v>162868</v>
      </c>
      <c r="Q20" s="4071">
        <f t="shared" si="16"/>
        <v>87386</v>
      </c>
      <c r="R20" s="4071">
        <f t="shared" si="16"/>
        <v>23196</v>
      </c>
      <c r="S20" s="4071">
        <f t="shared" si="16"/>
        <v>0</v>
      </c>
      <c r="T20" s="4071">
        <f t="shared" si="16"/>
        <v>0</v>
      </c>
      <c r="U20" s="4071">
        <f t="shared" si="16"/>
        <v>0</v>
      </c>
      <c r="V20" s="4071">
        <f t="shared" si="16"/>
        <v>0</v>
      </c>
      <c r="W20" s="4071">
        <f t="shared" si="16"/>
        <v>0</v>
      </c>
      <c r="X20" s="4072"/>
      <c r="Y20" s="4073"/>
      <c r="Z20" s="4074">
        <f>D20-D17</f>
        <v>2</v>
      </c>
    </row>
    <row r="21" spans="1:26" ht="39" hidden="1" customHeight="1">
      <c r="A21" s="4075" t="s">
        <v>79</v>
      </c>
      <c r="B21" s="4076" t="s">
        <v>332</v>
      </c>
      <c r="C21" s="4077" t="s">
        <v>130</v>
      </c>
      <c r="D21" s="4078"/>
      <c r="E21" s="4079"/>
      <c r="F21" s="4080"/>
      <c r="G21" s="4080"/>
      <c r="H21" s="4079"/>
      <c r="I21" s="4079"/>
      <c r="J21" s="4079"/>
      <c r="K21" s="4080"/>
      <c r="L21" s="4080"/>
      <c r="M21" s="4081"/>
      <c r="N21" s="4081"/>
      <c r="O21" s="4081"/>
      <c r="P21" s="4080"/>
      <c r="Q21" s="4081"/>
      <c r="R21" s="4081"/>
      <c r="S21" s="4081"/>
      <c r="T21" s="4081"/>
      <c r="U21" s="4081"/>
      <c r="V21" s="4081"/>
      <c r="W21" s="4081"/>
      <c r="X21" s="4082"/>
      <c r="Y21" s="4083"/>
    </row>
    <row r="22" spans="1:26" ht="15" hidden="1" customHeight="1">
      <c r="A22" s="4084"/>
      <c r="B22" s="4085" t="s">
        <v>22</v>
      </c>
      <c r="C22" s="4086"/>
      <c r="D22" s="4087">
        <f>+D23+D25</f>
        <v>0</v>
      </c>
      <c r="E22" s="4087">
        <f t="shared" ref="E22:P22" si="17">+E23+E25</f>
        <v>0</v>
      </c>
      <c r="F22" s="4087">
        <f t="shared" si="17"/>
        <v>0</v>
      </c>
      <c r="G22" s="4087">
        <f t="shared" si="17"/>
        <v>0</v>
      </c>
      <c r="H22" s="4087">
        <f t="shared" si="17"/>
        <v>0</v>
      </c>
      <c r="I22" s="4087">
        <f t="shared" si="17"/>
        <v>0</v>
      </c>
      <c r="J22" s="4087">
        <f t="shared" si="17"/>
        <v>0</v>
      </c>
      <c r="K22" s="4087">
        <f t="shared" si="17"/>
        <v>0</v>
      </c>
      <c r="L22" s="4087">
        <f t="shared" si="17"/>
        <v>0</v>
      </c>
      <c r="M22" s="4087">
        <f t="shared" si="17"/>
        <v>0</v>
      </c>
      <c r="N22" s="4087">
        <f t="shared" si="17"/>
        <v>0</v>
      </c>
      <c r="O22" s="4087">
        <f t="shared" si="17"/>
        <v>0</v>
      </c>
      <c r="P22" s="4087">
        <f t="shared" si="17"/>
        <v>0</v>
      </c>
      <c r="Q22" s="4087">
        <f>+Q23+Q25</f>
        <v>0</v>
      </c>
      <c r="R22" s="4087">
        <f>+R23+R25</f>
        <v>0</v>
      </c>
      <c r="S22" s="4087">
        <f t="shared" ref="S22:T22" si="18">+S23+S25</f>
        <v>0</v>
      </c>
      <c r="T22" s="4087">
        <f t="shared" si="18"/>
        <v>0</v>
      </c>
      <c r="U22" s="4087"/>
      <c r="V22" s="4087"/>
      <c r="W22" s="4087"/>
      <c r="X22" s="4088" t="e">
        <f>X23+X25</f>
        <v>#REF!</v>
      </c>
      <c r="Y22" s="4089"/>
    </row>
    <row r="23" spans="1:26" ht="12.75" hidden="1" customHeight="1">
      <c r="A23" s="4084"/>
      <c r="B23" s="4090" t="s">
        <v>36</v>
      </c>
      <c r="C23" s="4091" t="s">
        <v>168</v>
      </c>
      <c r="D23" s="4092">
        <f>+D24</f>
        <v>0</v>
      </c>
      <c r="E23" s="4092">
        <f t="shared" ref="E23:T23" si="19">+E24</f>
        <v>0</v>
      </c>
      <c r="F23" s="4092">
        <f t="shared" si="19"/>
        <v>0</v>
      </c>
      <c r="G23" s="4092">
        <f t="shared" si="19"/>
        <v>0</v>
      </c>
      <c r="H23" s="4092">
        <f t="shared" si="19"/>
        <v>0</v>
      </c>
      <c r="I23" s="4092">
        <f t="shared" si="19"/>
        <v>0</v>
      </c>
      <c r="J23" s="4092">
        <f t="shared" si="19"/>
        <v>0</v>
      </c>
      <c r="K23" s="4092">
        <f t="shared" si="19"/>
        <v>0</v>
      </c>
      <c r="L23" s="4092">
        <f t="shared" si="19"/>
        <v>0</v>
      </c>
      <c r="M23" s="4092">
        <f t="shared" si="19"/>
        <v>0</v>
      </c>
      <c r="N23" s="4092">
        <f t="shared" si="19"/>
        <v>0</v>
      </c>
      <c r="O23" s="4092">
        <f t="shared" si="19"/>
        <v>0</v>
      </c>
      <c r="P23" s="4092">
        <f t="shared" si="19"/>
        <v>0</v>
      </c>
      <c r="Q23" s="4092">
        <f t="shared" si="19"/>
        <v>0</v>
      </c>
      <c r="R23" s="4092">
        <f t="shared" si="19"/>
        <v>0</v>
      </c>
      <c r="S23" s="4092">
        <f t="shared" si="19"/>
        <v>0</v>
      </c>
      <c r="T23" s="4092">
        <f t="shared" si="19"/>
        <v>0</v>
      </c>
      <c r="U23" s="4092"/>
      <c r="V23" s="4092"/>
      <c r="W23" s="4092"/>
      <c r="X23" s="4093" t="e">
        <f>+X24</f>
        <v>#REF!</v>
      </c>
      <c r="Y23" s="4089"/>
    </row>
    <row r="24" spans="1:26" ht="12.75" hidden="1" customHeight="1">
      <c r="A24" s="4084"/>
      <c r="B24" s="4094" t="s">
        <v>24</v>
      </c>
      <c r="C24" s="4095"/>
      <c r="D24" s="4096">
        <f>+M24+N24+O24+P24+Q24+R24+S24+T24</f>
        <v>0</v>
      </c>
      <c r="E24" s="4096">
        <f>+F24+G24+H24</f>
        <v>0</v>
      </c>
      <c r="F24" s="4096"/>
      <c r="G24" s="4096"/>
      <c r="H24" s="4096">
        <v>0</v>
      </c>
      <c r="I24" s="4096">
        <v>0</v>
      </c>
      <c r="J24" s="4096">
        <v>0</v>
      </c>
      <c r="K24" s="4096">
        <v>0</v>
      </c>
      <c r="L24" s="4096">
        <v>0</v>
      </c>
      <c r="M24" s="4096">
        <v>0</v>
      </c>
      <c r="N24" s="4096">
        <v>0</v>
      </c>
      <c r="O24" s="4096">
        <v>0</v>
      </c>
      <c r="P24" s="4097">
        <v>0</v>
      </c>
      <c r="Q24" s="4097">
        <v>0</v>
      </c>
      <c r="R24" s="4097">
        <v>0</v>
      </c>
      <c r="S24" s="4097">
        <v>0</v>
      </c>
      <c r="T24" s="4097">
        <v>0</v>
      </c>
      <c r="U24" s="4097"/>
      <c r="V24" s="4097"/>
      <c r="W24" s="4097"/>
      <c r="X24" s="4098" t="e">
        <f>+#REF!+T24+S24+R24+Q24+P24</f>
        <v>#REF!</v>
      </c>
      <c r="Y24" s="4089"/>
    </row>
    <row r="25" spans="1:26" ht="12.75" hidden="1" customHeight="1">
      <c r="A25" s="4084"/>
      <c r="B25" s="4099" t="s">
        <v>30</v>
      </c>
      <c r="C25" s="4095"/>
      <c r="D25" s="4100">
        <f>E25+I25+J25+K25+L25+N25+O25+P25</f>
        <v>0</v>
      </c>
      <c r="E25" s="4100">
        <f>+F25+G25+H25</f>
        <v>0</v>
      </c>
      <c r="F25" s="4100">
        <f t="shared" ref="F25:T25" si="20">F26</f>
        <v>0</v>
      </c>
      <c r="G25" s="4100">
        <f t="shared" si="20"/>
        <v>0</v>
      </c>
      <c r="H25" s="4100">
        <f t="shared" si="20"/>
        <v>0</v>
      </c>
      <c r="I25" s="4100">
        <f t="shared" si="20"/>
        <v>0</v>
      </c>
      <c r="J25" s="4100">
        <f t="shared" si="20"/>
        <v>0</v>
      </c>
      <c r="K25" s="4100">
        <f t="shared" si="20"/>
        <v>0</v>
      </c>
      <c r="L25" s="4100">
        <f t="shared" si="20"/>
        <v>0</v>
      </c>
      <c r="M25" s="4100">
        <f t="shared" si="20"/>
        <v>0</v>
      </c>
      <c r="N25" s="4100">
        <f t="shared" si="20"/>
        <v>0</v>
      </c>
      <c r="O25" s="4100">
        <f t="shared" si="20"/>
        <v>0</v>
      </c>
      <c r="P25" s="4100">
        <f t="shared" si="20"/>
        <v>0</v>
      </c>
      <c r="Q25" s="4100">
        <f t="shared" si="20"/>
        <v>0</v>
      </c>
      <c r="R25" s="4100">
        <f t="shared" si="20"/>
        <v>0</v>
      </c>
      <c r="S25" s="4100">
        <f t="shared" si="20"/>
        <v>0</v>
      </c>
      <c r="T25" s="4100">
        <f t="shared" si="20"/>
        <v>0</v>
      </c>
      <c r="U25" s="4100"/>
      <c r="V25" s="4100"/>
      <c r="W25" s="4100"/>
      <c r="X25" s="4093" t="e">
        <f>+X26</f>
        <v>#REF!</v>
      </c>
      <c r="Y25" s="4089"/>
    </row>
    <row r="26" spans="1:26" ht="12.75" hidden="1" thickBot="1">
      <c r="A26" s="4084"/>
      <c r="B26" s="4101" t="s">
        <v>32</v>
      </c>
      <c r="C26" s="4102"/>
      <c r="D26" s="4103">
        <f>+M26+N26+O26+P26+Q26+R26+S26+T26</f>
        <v>0</v>
      </c>
      <c r="E26" s="4104">
        <f>+F26+G26+H26</f>
        <v>0</v>
      </c>
      <c r="F26" s="4104"/>
      <c r="G26" s="4104"/>
      <c r="H26" s="4104">
        <v>0</v>
      </c>
      <c r="I26" s="4104">
        <v>0</v>
      </c>
      <c r="J26" s="4104">
        <v>0</v>
      </c>
      <c r="K26" s="4104">
        <v>0</v>
      </c>
      <c r="L26" s="4104">
        <v>0</v>
      </c>
      <c r="M26" s="4104">
        <v>0</v>
      </c>
      <c r="N26" s="4104">
        <v>0</v>
      </c>
      <c r="O26" s="4104">
        <v>0</v>
      </c>
      <c r="P26" s="4105">
        <v>0</v>
      </c>
      <c r="Q26" s="4105">
        <v>0</v>
      </c>
      <c r="R26" s="4105">
        <v>0</v>
      </c>
      <c r="S26" s="4105">
        <v>0</v>
      </c>
      <c r="T26" s="4105">
        <v>0</v>
      </c>
      <c r="U26" s="4105"/>
      <c r="V26" s="4105"/>
      <c r="W26" s="4105"/>
      <c r="X26" s="4098" t="e">
        <f>+#REF!+T26+S26+R26+Q26+P26</f>
        <v>#REF!</v>
      </c>
      <c r="Y26" s="4089"/>
    </row>
    <row r="27" spans="1:26" ht="12.75" hidden="1" customHeight="1">
      <c r="A27" s="4106"/>
      <c r="B27" s="4085" t="s">
        <v>34</v>
      </c>
      <c r="C27" s="4107"/>
      <c r="D27" s="4087">
        <f>E27+I27+J27+K27+L27+N27+O27+P27</f>
        <v>0</v>
      </c>
      <c r="E27" s="4087">
        <f t="shared" ref="E27:P27" si="21">E28+E30</f>
        <v>0</v>
      </c>
      <c r="F27" s="4087">
        <f t="shared" si="21"/>
        <v>0</v>
      </c>
      <c r="G27" s="4087">
        <f t="shared" si="21"/>
        <v>0</v>
      </c>
      <c r="H27" s="4087">
        <f t="shared" si="21"/>
        <v>0</v>
      </c>
      <c r="I27" s="4087">
        <f t="shared" si="21"/>
        <v>0</v>
      </c>
      <c r="J27" s="4087">
        <f t="shared" si="21"/>
        <v>0</v>
      </c>
      <c r="K27" s="4087">
        <f t="shared" si="21"/>
        <v>0</v>
      </c>
      <c r="L27" s="4087">
        <f t="shared" si="21"/>
        <v>0</v>
      </c>
      <c r="M27" s="4087">
        <f t="shared" si="21"/>
        <v>0</v>
      </c>
      <c r="N27" s="4087">
        <f t="shared" si="21"/>
        <v>0</v>
      </c>
      <c r="O27" s="4087">
        <f t="shared" si="21"/>
        <v>0</v>
      </c>
      <c r="P27" s="4087">
        <f t="shared" si="21"/>
        <v>0</v>
      </c>
      <c r="Q27" s="4087">
        <f>Q28+Q30</f>
        <v>0</v>
      </c>
      <c r="R27" s="4108">
        <f>R28+R30</f>
        <v>0</v>
      </c>
      <c r="S27" s="4108">
        <f t="shared" ref="S27:T27" si="22">S28+S30</f>
        <v>0</v>
      </c>
      <c r="T27" s="4108">
        <f t="shared" si="22"/>
        <v>0</v>
      </c>
      <c r="U27" s="4109"/>
      <c r="V27" s="4109"/>
      <c r="W27" s="4109"/>
      <c r="X27" s="4110" t="s">
        <v>77</v>
      </c>
      <c r="Y27" s="4089"/>
    </row>
    <row r="28" spans="1:26" ht="12" hidden="1" customHeight="1">
      <c r="A28" s="4106"/>
      <c r="B28" s="4111" t="s">
        <v>36</v>
      </c>
      <c r="C28" s="4091" t="s">
        <v>168</v>
      </c>
      <c r="D28" s="4092">
        <f>E28+I28+J28+K28+L28+N28+O28+P28</f>
        <v>0</v>
      </c>
      <c r="E28" s="4092">
        <f t="shared" ref="E28:T28" si="23">E29</f>
        <v>0</v>
      </c>
      <c r="F28" s="4092">
        <f t="shared" si="23"/>
        <v>0</v>
      </c>
      <c r="G28" s="4092">
        <f t="shared" si="23"/>
        <v>0</v>
      </c>
      <c r="H28" s="4092">
        <f t="shared" si="23"/>
        <v>0</v>
      </c>
      <c r="I28" s="4092">
        <f t="shared" si="23"/>
        <v>0</v>
      </c>
      <c r="J28" s="4092">
        <f t="shared" si="23"/>
        <v>0</v>
      </c>
      <c r="K28" s="4092">
        <f t="shared" si="23"/>
        <v>0</v>
      </c>
      <c r="L28" s="4092">
        <f t="shared" si="23"/>
        <v>0</v>
      </c>
      <c r="M28" s="4092"/>
      <c r="N28" s="4092">
        <f t="shared" si="23"/>
        <v>0</v>
      </c>
      <c r="O28" s="4092">
        <f t="shared" si="23"/>
        <v>0</v>
      </c>
      <c r="P28" s="4092">
        <f t="shared" si="23"/>
        <v>0</v>
      </c>
      <c r="Q28" s="4092">
        <f t="shared" si="23"/>
        <v>0</v>
      </c>
      <c r="R28" s="4112">
        <f t="shared" si="23"/>
        <v>0</v>
      </c>
      <c r="S28" s="4112">
        <f t="shared" si="23"/>
        <v>0</v>
      </c>
      <c r="T28" s="4112">
        <f t="shared" si="23"/>
        <v>0</v>
      </c>
      <c r="U28" s="4113"/>
      <c r="V28" s="4113"/>
      <c r="W28" s="4113"/>
      <c r="X28" s="4114"/>
      <c r="Y28" s="4089"/>
    </row>
    <row r="29" spans="1:26" ht="12" hidden="1" customHeight="1">
      <c r="A29" s="4106"/>
      <c r="B29" s="4115" t="s">
        <v>25</v>
      </c>
      <c r="C29" s="4095"/>
      <c r="D29" s="4096">
        <f>E29+I29+J29+K29+L29+N29+O29+P29</f>
        <v>0</v>
      </c>
      <c r="E29" s="4116">
        <f>+F29+G29+H29</f>
        <v>0</v>
      </c>
      <c r="F29" s="4116"/>
      <c r="G29" s="4116"/>
      <c r="H29" s="4116">
        <v>0</v>
      </c>
      <c r="I29" s="4116">
        <v>0</v>
      </c>
      <c r="J29" s="4116">
        <v>0</v>
      </c>
      <c r="K29" s="4116">
        <v>0</v>
      </c>
      <c r="L29" s="4116">
        <v>0</v>
      </c>
      <c r="M29" s="4116"/>
      <c r="N29" s="4116">
        <v>0</v>
      </c>
      <c r="O29" s="4116">
        <v>0</v>
      </c>
      <c r="P29" s="4116">
        <v>0</v>
      </c>
      <c r="Q29" s="4116">
        <v>0</v>
      </c>
      <c r="R29" s="4116">
        <v>0</v>
      </c>
      <c r="S29" s="4116">
        <v>0</v>
      </c>
      <c r="T29" s="4116">
        <v>0</v>
      </c>
      <c r="U29" s="4117"/>
      <c r="V29" s="4117"/>
      <c r="W29" s="4117"/>
      <c r="X29" s="4114"/>
      <c r="Y29" s="4089"/>
    </row>
    <row r="30" spans="1:26" ht="13.5" hidden="1" customHeight="1">
      <c r="A30" s="4106"/>
      <c r="B30" s="4118" t="s">
        <v>30</v>
      </c>
      <c r="C30" s="4095"/>
      <c r="D30" s="4100">
        <f>E30+I30+J30+K30+L30+N30+O30+P30</f>
        <v>0</v>
      </c>
      <c r="E30" s="4100">
        <f t="shared" ref="E30:T30" si="24">E31</f>
        <v>0</v>
      </c>
      <c r="F30" s="4100">
        <f t="shared" si="24"/>
        <v>0</v>
      </c>
      <c r="G30" s="4100">
        <f t="shared" si="24"/>
        <v>0</v>
      </c>
      <c r="H30" s="4100">
        <f t="shared" si="24"/>
        <v>0</v>
      </c>
      <c r="I30" s="4100">
        <f t="shared" si="24"/>
        <v>0</v>
      </c>
      <c r="J30" s="4100">
        <f t="shared" si="24"/>
        <v>0</v>
      </c>
      <c r="K30" s="4100">
        <f t="shared" si="24"/>
        <v>0</v>
      </c>
      <c r="L30" s="4100">
        <f t="shared" si="24"/>
        <v>0</v>
      </c>
      <c r="M30" s="4100">
        <f t="shared" si="24"/>
        <v>0</v>
      </c>
      <c r="N30" s="4100">
        <f t="shared" si="24"/>
        <v>0</v>
      </c>
      <c r="O30" s="4100">
        <f t="shared" si="24"/>
        <v>0</v>
      </c>
      <c r="P30" s="4100">
        <f t="shared" si="24"/>
        <v>0</v>
      </c>
      <c r="Q30" s="4100">
        <f t="shared" si="24"/>
        <v>0</v>
      </c>
      <c r="R30" s="4119">
        <f t="shared" si="24"/>
        <v>0</v>
      </c>
      <c r="S30" s="4119">
        <f t="shared" si="24"/>
        <v>0</v>
      </c>
      <c r="T30" s="4119">
        <f t="shared" si="24"/>
        <v>0</v>
      </c>
      <c r="U30" s="4120"/>
      <c r="V30" s="4120"/>
      <c r="W30" s="4120"/>
      <c r="X30" s="4114"/>
      <c r="Y30" s="4089"/>
    </row>
    <row r="31" spans="1:26" ht="13.5" hidden="1" customHeight="1" thickBot="1">
      <c r="A31" s="4121"/>
      <c r="B31" s="4122" t="s">
        <v>32</v>
      </c>
      <c r="C31" s="4123"/>
      <c r="D31" s="4124">
        <f>+M31+N31+O31+P31+Q31+R31+S31+T31</f>
        <v>0</v>
      </c>
      <c r="E31" s="4125">
        <f>+F31+G31+H31</f>
        <v>0</v>
      </c>
      <c r="F31" s="4125"/>
      <c r="G31" s="4125"/>
      <c r="H31" s="4125">
        <v>0</v>
      </c>
      <c r="I31" s="4125">
        <v>0</v>
      </c>
      <c r="J31" s="4125">
        <v>0</v>
      </c>
      <c r="K31" s="4125">
        <v>0</v>
      </c>
      <c r="L31" s="4125">
        <v>0</v>
      </c>
      <c r="M31" s="4125">
        <v>0</v>
      </c>
      <c r="N31" s="4125">
        <v>0</v>
      </c>
      <c r="O31" s="4125">
        <v>0</v>
      </c>
      <c r="P31" s="4125">
        <v>0</v>
      </c>
      <c r="Q31" s="4125">
        <v>0</v>
      </c>
      <c r="R31" s="4125">
        <v>0</v>
      </c>
      <c r="S31" s="4125">
        <v>0</v>
      </c>
      <c r="T31" s="4125">
        <v>0</v>
      </c>
      <c r="U31" s="4126"/>
      <c r="V31" s="4126"/>
      <c r="W31" s="4126"/>
      <c r="X31" s="4127"/>
      <c r="Y31" s="4128"/>
    </row>
    <row r="32" spans="1:26" ht="24.75" customHeight="1">
      <c r="A32" s="4075" t="s">
        <v>79</v>
      </c>
      <c r="B32" s="4076" t="s">
        <v>507</v>
      </c>
      <c r="C32" s="4077" t="s">
        <v>130</v>
      </c>
      <c r="D32" s="4078"/>
      <c r="E32" s="4079"/>
      <c r="F32" s="4080"/>
      <c r="G32" s="4080"/>
      <c r="H32" s="4079"/>
      <c r="I32" s="4079"/>
      <c r="J32" s="4079"/>
      <c r="K32" s="4080"/>
      <c r="L32" s="4080"/>
      <c r="M32" s="4081"/>
      <c r="N32" s="4081"/>
      <c r="O32" s="4081"/>
      <c r="P32" s="4080"/>
      <c r="Q32" s="4081"/>
      <c r="R32" s="4081"/>
      <c r="S32" s="4081"/>
      <c r="T32" s="4081"/>
      <c r="U32" s="4081"/>
      <c r="V32" s="4081"/>
      <c r="W32" s="4081"/>
      <c r="X32" s="4082"/>
      <c r="Y32" s="4083" t="s">
        <v>167</v>
      </c>
    </row>
    <row r="33" spans="1:25" ht="13.5" customHeight="1">
      <c r="A33" s="4084"/>
      <c r="B33" s="4085" t="s">
        <v>22</v>
      </c>
      <c r="C33" s="4129"/>
      <c r="D33" s="4087">
        <f>+D34+D36</f>
        <v>744527</v>
      </c>
      <c r="E33" s="4087">
        <f t="shared" ref="E33:Q33" si="25">+E34+E36</f>
        <v>0</v>
      </c>
      <c r="F33" s="4087">
        <f t="shared" si="25"/>
        <v>0</v>
      </c>
      <c r="G33" s="4087">
        <f t="shared" si="25"/>
        <v>0</v>
      </c>
      <c r="H33" s="4087">
        <f t="shared" si="25"/>
        <v>0</v>
      </c>
      <c r="I33" s="4087">
        <f t="shared" si="25"/>
        <v>0</v>
      </c>
      <c r="J33" s="4087">
        <f t="shared" si="25"/>
        <v>0</v>
      </c>
      <c r="K33" s="4087">
        <f t="shared" si="25"/>
        <v>0</v>
      </c>
      <c r="L33" s="4087">
        <f t="shared" si="25"/>
        <v>131442</v>
      </c>
      <c r="M33" s="4087">
        <f t="shared" si="25"/>
        <v>286572</v>
      </c>
      <c r="N33" s="4087">
        <f t="shared" si="25"/>
        <v>155130</v>
      </c>
      <c r="O33" s="4087">
        <f t="shared" si="25"/>
        <v>151572</v>
      </c>
      <c r="P33" s="4087">
        <f t="shared" si="25"/>
        <v>160793</v>
      </c>
      <c r="Q33" s="4087">
        <f t="shared" si="25"/>
        <v>145590</v>
      </c>
      <c r="R33" s="4087">
        <f>+R34+R36</f>
        <v>0</v>
      </c>
      <c r="S33" s="4130">
        <f t="shared" ref="S33:W33" si="26">+S34+S36</f>
        <v>0</v>
      </c>
      <c r="T33" s="4130">
        <f t="shared" si="26"/>
        <v>0</v>
      </c>
      <c r="U33" s="4130">
        <f t="shared" si="26"/>
        <v>0</v>
      </c>
      <c r="V33" s="4130">
        <f t="shared" si="26"/>
        <v>0</v>
      </c>
      <c r="W33" s="4130">
        <f t="shared" si="26"/>
        <v>0</v>
      </c>
      <c r="X33" s="4088">
        <f>X34+X36</f>
        <v>306383</v>
      </c>
      <c r="Y33" s="4089"/>
    </row>
    <row r="34" spans="1:25" ht="11.25" customHeight="1">
      <c r="A34" s="4084"/>
      <c r="B34" s="4090" t="s">
        <v>36</v>
      </c>
      <c r="C34" s="4091" t="s">
        <v>168</v>
      </c>
      <c r="D34" s="4092">
        <f>+D35</f>
        <v>349415</v>
      </c>
      <c r="E34" s="4092">
        <f t="shared" ref="E34:W34" si="27">+E35</f>
        <v>0</v>
      </c>
      <c r="F34" s="4092">
        <f t="shared" si="27"/>
        <v>0</v>
      </c>
      <c r="G34" s="4092">
        <f t="shared" si="27"/>
        <v>0</v>
      </c>
      <c r="H34" s="4092">
        <f t="shared" si="27"/>
        <v>0</v>
      </c>
      <c r="I34" s="4092">
        <f t="shared" si="27"/>
        <v>0</v>
      </c>
      <c r="J34" s="4092">
        <f t="shared" si="27"/>
        <v>0</v>
      </c>
      <c r="K34" s="4092">
        <f t="shared" si="27"/>
        <v>0</v>
      </c>
      <c r="L34" s="4092">
        <f t="shared" si="27"/>
        <v>64805</v>
      </c>
      <c r="M34" s="4092">
        <f t="shared" si="27"/>
        <v>135277</v>
      </c>
      <c r="N34" s="4092">
        <f t="shared" si="27"/>
        <v>70472</v>
      </c>
      <c r="O34" s="4092">
        <f t="shared" si="27"/>
        <v>70770</v>
      </c>
      <c r="P34" s="4092">
        <f t="shared" si="27"/>
        <v>73485</v>
      </c>
      <c r="Q34" s="4092">
        <f t="shared" si="27"/>
        <v>69883</v>
      </c>
      <c r="R34" s="4092">
        <f t="shared" si="27"/>
        <v>0</v>
      </c>
      <c r="S34" s="4131">
        <f t="shared" si="27"/>
        <v>0</v>
      </c>
      <c r="T34" s="4131">
        <f t="shared" si="27"/>
        <v>0</v>
      </c>
      <c r="U34" s="4131">
        <f t="shared" si="27"/>
        <v>0</v>
      </c>
      <c r="V34" s="4131">
        <f t="shared" si="27"/>
        <v>0</v>
      </c>
      <c r="W34" s="4131">
        <f t="shared" si="27"/>
        <v>0</v>
      </c>
      <c r="X34" s="4093">
        <f>+X35</f>
        <v>143368</v>
      </c>
      <c r="Y34" s="4089"/>
    </row>
    <row r="35" spans="1:25" ht="13.5" customHeight="1">
      <c r="A35" s="4084"/>
      <c r="B35" s="4094" t="s">
        <v>24</v>
      </c>
      <c r="C35" s="4095"/>
      <c r="D35" s="4096">
        <f>M35+O35+P35+Q35+R35+S35+T35+U35+V35+W35</f>
        <v>349415</v>
      </c>
      <c r="E35" s="4096">
        <f>+F35+G35+H35</f>
        <v>0</v>
      </c>
      <c r="F35" s="4096"/>
      <c r="G35" s="4096"/>
      <c r="H35" s="4096">
        <v>0</v>
      </c>
      <c r="I35" s="4096">
        <v>0</v>
      </c>
      <c r="J35" s="4096">
        <v>0</v>
      </c>
      <c r="K35" s="4096">
        <v>0</v>
      </c>
      <c r="L35" s="4096">
        <f>69883-5078</f>
        <v>64805</v>
      </c>
      <c r="M35" s="4096">
        <f>+L35+N35</f>
        <v>135277</v>
      </c>
      <c r="N35" s="4096">
        <v>70472</v>
      </c>
      <c r="O35" s="4096">
        <f>74372-3602</f>
        <v>70770</v>
      </c>
      <c r="P35" s="4097">
        <f>69883+3602</f>
        <v>73485</v>
      </c>
      <c r="Q35" s="4097">
        <v>69883</v>
      </c>
      <c r="R35" s="4097">
        <v>0</v>
      </c>
      <c r="S35" s="4132">
        <v>0</v>
      </c>
      <c r="T35" s="4132">
        <v>0</v>
      </c>
      <c r="U35" s="4132">
        <v>0</v>
      </c>
      <c r="V35" s="4132">
        <v>0</v>
      </c>
      <c r="W35" s="4132">
        <v>0</v>
      </c>
      <c r="X35" s="4098">
        <f>+P35+Q35+R35+S35</f>
        <v>143368</v>
      </c>
      <c r="Y35" s="4089"/>
    </row>
    <row r="36" spans="1:25" ht="13.5" customHeight="1">
      <c r="A36" s="4084"/>
      <c r="B36" s="4099" t="s">
        <v>30</v>
      </c>
      <c r="C36" s="4095"/>
      <c r="D36" s="4100">
        <f>+D37</f>
        <v>395112</v>
      </c>
      <c r="E36" s="4100">
        <f>+F36+G36+H36</f>
        <v>0</v>
      </c>
      <c r="F36" s="4100">
        <f t="shared" ref="F36:W36" si="28">F37</f>
        <v>0</v>
      </c>
      <c r="G36" s="4100">
        <f t="shared" si="28"/>
        <v>0</v>
      </c>
      <c r="H36" s="4100">
        <f t="shared" si="28"/>
        <v>0</v>
      </c>
      <c r="I36" s="4100">
        <f t="shared" si="28"/>
        <v>0</v>
      </c>
      <c r="J36" s="4100">
        <f t="shared" si="28"/>
        <v>0</v>
      </c>
      <c r="K36" s="4100">
        <f t="shared" si="28"/>
        <v>0</v>
      </c>
      <c r="L36" s="4100">
        <f t="shared" si="28"/>
        <v>66637</v>
      </c>
      <c r="M36" s="4100">
        <f t="shared" si="28"/>
        <v>151295</v>
      </c>
      <c r="N36" s="4100">
        <f t="shared" si="28"/>
        <v>84658</v>
      </c>
      <c r="O36" s="4100">
        <f t="shared" si="28"/>
        <v>80802</v>
      </c>
      <c r="P36" s="4100">
        <f t="shared" si="28"/>
        <v>87308</v>
      </c>
      <c r="Q36" s="4100">
        <f t="shared" si="28"/>
        <v>75707</v>
      </c>
      <c r="R36" s="4100">
        <f t="shared" si="28"/>
        <v>0</v>
      </c>
      <c r="S36" s="4133">
        <f t="shared" si="28"/>
        <v>0</v>
      </c>
      <c r="T36" s="4133">
        <f t="shared" si="28"/>
        <v>0</v>
      </c>
      <c r="U36" s="4133">
        <f t="shared" si="28"/>
        <v>0</v>
      </c>
      <c r="V36" s="4133">
        <f t="shared" si="28"/>
        <v>0</v>
      </c>
      <c r="W36" s="4133">
        <f t="shared" si="28"/>
        <v>0</v>
      </c>
      <c r="X36" s="4093">
        <f>+X37</f>
        <v>163015</v>
      </c>
      <c r="Y36" s="4089"/>
    </row>
    <row r="37" spans="1:25" ht="12">
      <c r="A37" s="4084"/>
      <c r="B37" s="4101" t="s">
        <v>32</v>
      </c>
      <c r="C37" s="4102"/>
      <c r="D37" s="4096">
        <f>M37+O37+P37+Q37+R37+S37+T37+U37+V37+W37</f>
        <v>395112</v>
      </c>
      <c r="E37" s="4104">
        <f>+F37+G37+H37</f>
        <v>0</v>
      </c>
      <c r="F37" s="4104"/>
      <c r="G37" s="4104"/>
      <c r="H37" s="4104">
        <v>0</v>
      </c>
      <c r="I37" s="4104">
        <v>0</v>
      </c>
      <c r="J37" s="4104">
        <v>0</v>
      </c>
      <c r="K37" s="4104">
        <v>0</v>
      </c>
      <c r="L37" s="4104">
        <f>75707-9070</f>
        <v>66637</v>
      </c>
      <c r="M37" s="4096">
        <f>+L37+N37</f>
        <v>151295</v>
      </c>
      <c r="N37" s="4104">
        <v>84658</v>
      </c>
      <c r="O37" s="4104">
        <f>75826+4980-4</f>
        <v>80802</v>
      </c>
      <c r="P37" s="4105">
        <f>75707+4+11597</f>
        <v>87308</v>
      </c>
      <c r="Q37" s="4105">
        <v>75707</v>
      </c>
      <c r="R37" s="4105">
        <v>0</v>
      </c>
      <c r="S37" s="4134">
        <v>0</v>
      </c>
      <c r="T37" s="4134">
        <v>0</v>
      </c>
      <c r="U37" s="4134">
        <v>0</v>
      </c>
      <c r="V37" s="4134">
        <v>0</v>
      </c>
      <c r="W37" s="4134">
        <v>0</v>
      </c>
      <c r="X37" s="4098">
        <f>+T37+S37+R37+Q37+P37</f>
        <v>163015</v>
      </c>
      <c r="Y37" s="4089"/>
    </row>
    <row r="38" spans="1:25" ht="13.5" customHeight="1">
      <c r="A38" s="4106"/>
      <c r="B38" s="4085" t="s">
        <v>34</v>
      </c>
      <c r="C38" s="4107"/>
      <c r="D38" s="4087">
        <f>+D41</f>
        <v>395112</v>
      </c>
      <c r="E38" s="4087">
        <f t="shared" ref="E38:W38" si="29">E39+E41</f>
        <v>0</v>
      </c>
      <c r="F38" s="4087">
        <f t="shared" si="29"/>
        <v>0</v>
      </c>
      <c r="G38" s="4087">
        <f t="shared" si="29"/>
        <v>0</v>
      </c>
      <c r="H38" s="4087">
        <f t="shared" si="29"/>
        <v>0</v>
      </c>
      <c r="I38" s="4087">
        <f t="shared" si="29"/>
        <v>0</v>
      </c>
      <c r="J38" s="4087">
        <f t="shared" si="29"/>
        <v>0</v>
      </c>
      <c r="K38" s="4087">
        <f t="shared" si="29"/>
        <v>0</v>
      </c>
      <c r="L38" s="4087">
        <f t="shared" si="29"/>
        <v>53066</v>
      </c>
      <c r="M38" s="4087">
        <f t="shared" si="29"/>
        <v>128928</v>
      </c>
      <c r="N38" s="4087">
        <f t="shared" si="29"/>
        <v>75862</v>
      </c>
      <c r="O38" s="4087">
        <f t="shared" si="29"/>
        <v>78483</v>
      </c>
      <c r="P38" s="4087">
        <f t="shared" si="29"/>
        <v>85319</v>
      </c>
      <c r="Q38" s="4087">
        <f t="shared" si="29"/>
        <v>79186</v>
      </c>
      <c r="R38" s="4087">
        <f t="shared" si="29"/>
        <v>23196</v>
      </c>
      <c r="S38" s="4130">
        <f t="shared" si="29"/>
        <v>0</v>
      </c>
      <c r="T38" s="4130">
        <f t="shared" si="29"/>
        <v>0</v>
      </c>
      <c r="U38" s="4130">
        <f t="shared" si="29"/>
        <v>0</v>
      </c>
      <c r="V38" s="4130">
        <f t="shared" si="29"/>
        <v>0</v>
      </c>
      <c r="W38" s="4130">
        <f t="shared" si="29"/>
        <v>0</v>
      </c>
      <c r="X38" s="4110" t="s">
        <v>77</v>
      </c>
      <c r="Y38" s="4089"/>
    </row>
    <row r="39" spans="1:25" ht="12" hidden="1" customHeight="1">
      <c r="A39" s="4106"/>
      <c r="B39" s="4111" t="s">
        <v>36</v>
      </c>
      <c r="C39" s="4091" t="s">
        <v>168</v>
      </c>
      <c r="D39" s="4092">
        <f>E39+I39+J39+K39+L39+N39+O39+P39</f>
        <v>0</v>
      </c>
      <c r="E39" s="4092">
        <f t="shared" ref="E39:R39" si="30">E40</f>
        <v>0</v>
      </c>
      <c r="F39" s="4092">
        <f t="shared" si="30"/>
        <v>0</v>
      </c>
      <c r="G39" s="4092">
        <f t="shared" si="30"/>
        <v>0</v>
      </c>
      <c r="H39" s="4092">
        <f t="shared" si="30"/>
        <v>0</v>
      </c>
      <c r="I39" s="4092">
        <f t="shared" si="30"/>
        <v>0</v>
      </c>
      <c r="J39" s="4092">
        <f t="shared" si="30"/>
        <v>0</v>
      </c>
      <c r="K39" s="4092">
        <f t="shared" si="30"/>
        <v>0</v>
      </c>
      <c r="L39" s="4092">
        <f t="shared" si="30"/>
        <v>0</v>
      </c>
      <c r="M39" s="4092"/>
      <c r="N39" s="4092">
        <f t="shared" si="30"/>
        <v>0</v>
      </c>
      <c r="O39" s="4092">
        <f t="shared" si="30"/>
        <v>0</v>
      </c>
      <c r="P39" s="4092">
        <f t="shared" si="30"/>
        <v>0</v>
      </c>
      <c r="Q39" s="4092">
        <f t="shared" si="30"/>
        <v>0</v>
      </c>
      <c r="R39" s="4092">
        <f t="shared" si="30"/>
        <v>0</v>
      </c>
      <c r="S39" s="4131"/>
      <c r="T39" s="4131"/>
      <c r="U39" s="4131"/>
      <c r="V39" s="4131"/>
      <c r="W39" s="4131"/>
      <c r="X39" s="4114"/>
      <c r="Y39" s="4089"/>
    </row>
    <row r="40" spans="1:25" ht="12" hidden="1" customHeight="1">
      <c r="A40" s="4106"/>
      <c r="B40" s="4115" t="s">
        <v>25</v>
      </c>
      <c r="C40" s="4095"/>
      <c r="D40" s="4096">
        <f>E40+I40+J40+K40+L40+N40+O40+P40</f>
        <v>0</v>
      </c>
      <c r="E40" s="4116">
        <f>+F40+G40+H40</f>
        <v>0</v>
      </c>
      <c r="F40" s="4116"/>
      <c r="G40" s="4116"/>
      <c r="H40" s="4116">
        <v>0</v>
      </c>
      <c r="I40" s="4116">
        <v>0</v>
      </c>
      <c r="J40" s="4116">
        <v>0</v>
      </c>
      <c r="K40" s="4116">
        <v>0</v>
      </c>
      <c r="L40" s="4116">
        <v>0</v>
      </c>
      <c r="M40" s="4116"/>
      <c r="N40" s="4116">
        <v>0</v>
      </c>
      <c r="O40" s="4116">
        <v>0</v>
      </c>
      <c r="P40" s="4116">
        <v>0</v>
      </c>
      <c r="Q40" s="4116">
        <v>0</v>
      </c>
      <c r="R40" s="4097">
        <v>0</v>
      </c>
      <c r="S40" s="4132"/>
      <c r="T40" s="4132"/>
      <c r="U40" s="4132"/>
      <c r="V40" s="4132"/>
      <c r="W40" s="4132"/>
      <c r="X40" s="4114"/>
      <c r="Y40" s="4089"/>
    </row>
    <row r="41" spans="1:25" ht="13.5" customHeight="1">
      <c r="A41" s="4106"/>
      <c r="B41" s="4118" t="s">
        <v>30</v>
      </c>
      <c r="C41" s="4095"/>
      <c r="D41" s="4100">
        <f>+D42</f>
        <v>395112</v>
      </c>
      <c r="E41" s="4100">
        <f t="shared" ref="E41:W41" si="31">E42</f>
        <v>0</v>
      </c>
      <c r="F41" s="4100">
        <f t="shared" si="31"/>
        <v>0</v>
      </c>
      <c r="G41" s="4100">
        <f t="shared" si="31"/>
        <v>0</v>
      </c>
      <c r="H41" s="4100">
        <f t="shared" si="31"/>
        <v>0</v>
      </c>
      <c r="I41" s="4100">
        <f t="shared" si="31"/>
        <v>0</v>
      </c>
      <c r="J41" s="4100">
        <f t="shared" si="31"/>
        <v>0</v>
      </c>
      <c r="K41" s="4100">
        <f t="shared" si="31"/>
        <v>0</v>
      </c>
      <c r="L41" s="4100">
        <f t="shared" si="31"/>
        <v>53066</v>
      </c>
      <c r="M41" s="4100">
        <f t="shared" si="31"/>
        <v>128928</v>
      </c>
      <c r="N41" s="4100">
        <f t="shared" si="31"/>
        <v>75862</v>
      </c>
      <c r="O41" s="4100">
        <f t="shared" si="31"/>
        <v>78483</v>
      </c>
      <c r="P41" s="4100">
        <f t="shared" si="31"/>
        <v>85319</v>
      </c>
      <c r="Q41" s="4100">
        <f t="shared" si="31"/>
        <v>79186</v>
      </c>
      <c r="R41" s="4100">
        <f t="shared" si="31"/>
        <v>23196</v>
      </c>
      <c r="S41" s="4133">
        <f t="shared" si="31"/>
        <v>0</v>
      </c>
      <c r="T41" s="4133">
        <f t="shared" si="31"/>
        <v>0</v>
      </c>
      <c r="U41" s="4133">
        <f t="shared" si="31"/>
        <v>0</v>
      </c>
      <c r="V41" s="4133">
        <f t="shared" si="31"/>
        <v>0</v>
      </c>
      <c r="W41" s="4133">
        <f t="shared" si="31"/>
        <v>0</v>
      </c>
      <c r="X41" s="4114"/>
      <c r="Y41" s="4089"/>
    </row>
    <row r="42" spans="1:25" ht="12.75" customHeight="1" thickBot="1">
      <c r="A42" s="4121"/>
      <c r="B42" s="4122" t="s">
        <v>32</v>
      </c>
      <c r="C42" s="4123"/>
      <c r="D42" s="4096">
        <f>M42+O42+P42+Q42+R42+S42+T42+U42+V42+W42</f>
        <v>395112</v>
      </c>
      <c r="E42" s="4125">
        <f>+F42+G42+H42</f>
        <v>0</v>
      </c>
      <c r="F42" s="4125"/>
      <c r="G42" s="4125"/>
      <c r="H42" s="4125">
        <v>0</v>
      </c>
      <c r="I42" s="4125">
        <v>0</v>
      </c>
      <c r="J42" s="4125">
        <v>0</v>
      </c>
      <c r="K42" s="4125">
        <v>0</v>
      </c>
      <c r="L42" s="4125">
        <f>52995+71</f>
        <v>53066</v>
      </c>
      <c r="M42" s="4096">
        <f>+L42+N42</f>
        <v>128928</v>
      </c>
      <c r="N42" s="4125">
        <v>75862</v>
      </c>
      <c r="O42" s="4125">
        <f>74088+3486+909</f>
        <v>78483</v>
      </c>
      <c r="P42" s="4125">
        <f>75707+1494+8118</f>
        <v>85319</v>
      </c>
      <c r="Q42" s="4125">
        <v>79186</v>
      </c>
      <c r="R42" s="4125">
        <f>24105-909</f>
        <v>23196</v>
      </c>
      <c r="S42" s="4135">
        <v>0</v>
      </c>
      <c r="T42" s="4135">
        <v>0</v>
      </c>
      <c r="U42" s="4135">
        <v>0</v>
      </c>
      <c r="V42" s="4135">
        <v>0</v>
      </c>
      <c r="W42" s="4135">
        <v>0</v>
      </c>
      <c r="X42" s="4127"/>
      <c r="Y42" s="4128"/>
    </row>
    <row r="43" spans="1:25" ht="36" hidden="1" customHeight="1">
      <c r="A43" s="4075" t="s">
        <v>80</v>
      </c>
      <c r="B43" s="4076" t="s">
        <v>462</v>
      </c>
      <c r="C43" s="4077" t="s">
        <v>130</v>
      </c>
      <c r="D43" s="4078"/>
      <c r="E43" s="4079"/>
      <c r="F43" s="4080"/>
      <c r="G43" s="4080"/>
      <c r="H43" s="4079"/>
      <c r="I43" s="4079"/>
      <c r="J43" s="4079"/>
      <c r="K43" s="4080"/>
      <c r="L43" s="4080"/>
      <c r="M43" s="4081"/>
      <c r="N43" s="4081"/>
      <c r="O43" s="4081"/>
      <c r="P43" s="4080"/>
      <c r="Q43" s="4081"/>
      <c r="R43" s="4081"/>
      <c r="S43" s="4081"/>
      <c r="T43" s="4081"/>
      <c r="U43" s="4081"/>
      <c r="V43" s="4081"/>
      <c r="W43" s="4081"/>
      <c r="X43" s="4082"/>
      <c r="Y43" s="4136" t="s">
        <v>169</v>
      </c>
    </row>
    <row r="44" spans="1:25" ht="15" hidden="1" customHeight="1">
      <c r="A44" s="4084"/>
      <c r="B44" s="4085" t="s">
        <v>22</v>
      </c>
      <c r="C44" s="4129"/>
      <c r="D44" s="4087">
        <f>D45</f>
        <v>0</v>
      </c>
      <c r="E44" s="4087">
        <f t="shared" ref="E44:U45" si="32">E45</f>
        <v>0</v>
      </c>
      <c r="F44" s="4087">
        <f t="shared" si="32"/>
        <v>0</v>
      </c>
      <c r="G44" s="4087">
        <f t="shared" si="32"/>
        <v>0</v>
      </c>
      <c r="H44" s="4087">
        <f t="shared" si="32"/>
        <v>0</v>
      </c>
      <c r="I44" s="4087">
        <f t="shared" si="32"/>
        <v>0</v>
      </c>
      <c r="J44" s="4087">
        <f t="shared" si="32"/>
        <v>0</v>
      </c>
      <c r="K44" s="4087">
        <f t="shared" si="32"/>
        <v>0</v>
      </c>
      <c r="L44" s="4087">
        <f t="shared" si="32"/>
        <v>0</v>
      </c>
      <c r="M44" s="4087">
        <f t="shared" si="32"/>
        <v>0</v>
      </c>
      <c r="N44" s="4087">
        <f t="shared" si="32"/>
        <v>20327</v>
      </c>
      <c r="O44" s="4087">
        <f t="shared" si="32"/>
        <v>0</v>
      </c>
      <c r="P44" s="4087">
        <f t="shared" si="32"/>
        <v>0</v>
      </c>
      <c r="Q44" s="4087">
        <f t="shared" si="32"/>
        <v>0</v>
      </c>
      <c r="R44" s="4087">
        <f>+R45+R47</f>
        <v>0</v>
      </c>
      <c r="S44" s="4087">
        <f t="shared" ref="S44:W44" si="33">+S45+S47</f>
        <v>0</v>
      </c>
      <c r="T44" s="4087">
        <f t="shared" si="33"/>
        <v>0</v>
      </c>
      <c r="U44" s="4087">
        <f t="shared" si="33"/>
        <v>0</v>
      </c>
      <c r="V44" s="4087">
        <f t="shared" si="33"/>
        <v>0</v>
      </c>
      <c r="W44" s="4087">
        <f t="shared" si="33"/>
        <v>0</v>
      </c>
      <c r="X44" s="4088">
        <f>X45</f>
        <v>0</v>
      </c>
      <c r="Y44" s="4137"/>
    </row>
    <row r="45" spans="1:25" ht="12.75" hidden="1" thickBot="1">
      <c r="A45" s="4084"/>
      <c r="B45" s="4138" t="s">
        <v>30</v>
      </c>
      <c r="C45" s="4139" t="s">
        <v>170</v>
      </c>
      <c r="D45" s="4100">
        <f>+D46</f>
        <v>0</v>
      </c>
      <c r="E45" s="4100">
        <f>+F45+G45+H45</f>
        <v>0</v>
      </c>
      <c r="F45" s="4100">
        <f t="shared" si="32"/>
        <v>0</v>
      </c>
      <c r="G45" s="4100">
        <f t="shared" si="32"/>
        <v>0</v>
      </c>
      <c r="H45" s="4100">
        <f t="shared" si="32"/>
        <v>0</v>
      </c>
      <c r="I45" s="4100">
        <f t="shared" si="32"/>
        <v>0</v>
      </c>
      <c r="J45" s="4100">
        <f t="shared" si="32"/>
        <v>0</v>
      </c>
      <c r="K45" s="4100">
        <f t="shared" si="32"/>
        <v>0</v>
      </c>
      <c r="L45" s="4100">
        <f t="shared" si="32"/>
        <v>0</v>
      </c>
      <c r="M45" s="4100">
        <f t="shared" si="32"/>
        <v>0</v>
      </c>
      <c r="N45" s="4100">
        <f t="shared" si="32"/>
        <v>20327</v>
      </c>
      <c r="O45" s="4100">
        <f t="shared" si="32"/>
        <v>0</v>
      </c>
      <c r="P45" s="4100">
        <f t="shared" si="32"/>
        <v>0</v>
      </c>
      <c r="Q45" s="4100">
        <f t="shared" si="32"/>
        <v>0</v>
      </c>
      <c r="R45" s="4100">
        <f t="shared" si="32"/>
        <v>0</v>
      </c>
      <c r="S45" s="4100">
        <f t="shared" si="32"/>
        <v>0</v>
      </c>
      <c r="T45" s="4100">
        <f t="shared" si="32"/>
        <v>0</v>
      </c>
      <c r="U45" s="4100">
        <f t="shared" si="32"/>
        <v>0</v>
      </c>
      <c r="V45" s="4100">
        <f t="shared" ref="V45:W45" si="34">V46</f>
        <v>0</v>
      </c>
      <c r="W45" s="4100">
        <f t="shared" si="34"/>
        <v>0</v>
      </c>
      <c r="X45" s="4093">
        <f>+X46</f>
        <v>0</v>
      </c>
      <c r="Y45" s="4137"/>
    </row>
    <row r="46" spans="1:25" ht="12.75" hidden="1" thickBot="1">
      <c r="A46" s="4084"/>
      <c r="B46" s="4140" t="s">
        <v>32</v>
      </c>
      <c r="C46" s="4102"/>
      <c r="D46" s="4096">
        <f>M46+O46+P46+Q46+R46+S46+T46+U46+V46+W46</f>
        <v>0</v>
      </c>
      <c r="E46" s="4104">
        <f>+F46+G46+H46</f>
        <v>0</v>
      </c>
      <c r="F46" s="4104"/>
      <c r="G46" s="4104"/>
      <c r="H46" s="4104">
        <v>0</v>
      </c>
      <c r="I46" s="4104">
        <v>0</v>
      </c>
      <c r="J46" s="4104">
        <v>0</v>
      </c>
      <c r="K46" s="4104">
        <v>0</v>
      </c>
      <c r="L46" s="4104">
        <v>0</v>
      </c>
      <c r="M46" s="4096">
        <v>0</v>
      </c>
      <c r="N46" s="4104">
        <f>32000-11673</f>
        <v>20327</v>
      </c>
      <c r="O46" s="4104">
        <v>0</v>
      </c>
      <c r="P46" s="4105">
        <v>0</v>
      </c>
      <c r="Q46" s="4105">
        <v>0</v>
      </c>
      <c r="R46" s="4105">
        <v>0</v>
      </c>
      <c r="S46" s="4105">
        <v>0</v>
      </c>
      <c r="T46" s="4105">
        <v>0</v>
      </c>
      <c r="U46" s="4105">
        <v>0</v>
      </c>
      <c r="V46" s="4105">
        <v>0</v>
      </c>
      <c r="W46" s="4105">
        <v>0</v>
      </c>
      <c r="X46" s="4098">
        <f>+T46+S46+R46+Q46+P46</f>
        <v>0</v>
      </c>
      <c r="Y46" s="4137"/>
    </row>
    <row r="47" spans="1:25" ht="15" hidden="1" customHeight="1">
      <c r="A47" s="4084"/>
      <c r="B47" s="4141" t="s">
        <v>34</v>
      </c>
      <c r="C47" s="4142"/>
      <c r="D47" s="4087">
        <f>+D48</f>
        <v>0</v>
      </c>
      <c r="E47" s="4087">
        <f t="shared" ref="E47:W47" si="35">E48+E72</f>
        <v>0</v>
      </c>
      <c r="F47" s="4087">
        <f t="shared" si="35"/>
        <v>0</v>
      </c>
      <c r="G47" s="4087">
        <f t="shared" si="35"/>
        <v>0</v>
      </c>
      <c r="H47" s="4087">
        <f t="shared" si="35"/>
        <v>0</v>
      </c>
      <c r="I47" s="4087">
        <f t="shared" si="35"/>
        <v>0</v>
      </c>
      <c r="J47" s="4087">
        <f t="shared" si="35"/>
        <v>0</v>
      </c>
      <c r="K47" s="4087">
        <f t="shared" si="35"/>
        <v>0</v>
      </c>
      <c r="L47" s="4087">
        <f t="shared" si="35"/>
        <v>0</v>
      </c>
      <c r="M47" s="4087">
        <f t="shared" si="35"/>
        <v>0</v>
      </c>
      <c r="N47" s="4087">
        <f t="shared" si="35"/>
        <v>0</v>
      </c>
      <c r="O47" s="4087">
        <f t="shared" si="35"/>
        <v>0</v>
      </c>
      <c r="P47" s="4087">
        <f t="shared" si="35"/>
        <v>0</v>
      </c>
      <c r="Q47" s="4087">
        <f t="shared" si="35"/>
        <v>0</v>
      </c>
      <c r="R47" s="4087">
        <f t="shared" si="35"/>
        <v>0</v>
      </c>
      <c r="S47" s="4087">
        <f t="shared" si="35"/>
        <v>0</v>
      </c>
      <c r="T47" s="4087">
        <f t="shared" si="35"/>
        <v>0</v>
      </c>
      <c r="U47" s="4087">
        <f t="shared" si="35"/>
        <v>0</v>
      </c>
      <c r="V47" s="4087">
        <f t="shared" si="35"/>
        <v>0</v>
      </c>
      <c r="W47" s="4087">
        <f t="shared" si="35"/>
        <v>0</v>
      </c>
      <c r="X47" s="4110" t="s">
        <v>77</v>
      </c>
      <c r="Y47" s="4137"/>
    </row>
    <row r="48" spans="1:25" ht="12.75" hidden="1" thickBot="1">
      <c r="A48" s="4084"/>
      <c r="B48" s="4138" t="s">
        <v>30</v>
      </c>
      <c r="C48" s="4139" t="s">
        <v>170</v>
      </c>
      <c r="D48" s="4100">
        <f>+D49</f>
        <v>0</v>
      </c>
      <c r="E48" s="4100">
        <f t="shared" ref="E48:W48" si="36">E49</f>
        <v>0</v>
      </c>
      <c r="F48" s="4100">
        <f t="shared" si="36"/>
        <v>0</v>
      </c>
      <c r="G48" s="4100">
        <f t="shared" si="36"/>
        <v>0</v>
      </c>
      <c r="H48" s="4100">
        <f t="shared" si="36"/>
        <v>0</v>
      </c>
      <c r="I48" s="4100">
        <f t="shared" si="36"/>
        <v>0</v>
      </c>
      <c r="J48" s="4100">
        <f t="shared" si="36"/>
        <v>0</v>
      </c>
      <c r="K48" s="4100">
        <f t="shared" si="36"/>
        <v>0</v>
      </c>
      <c r="L48" s="4100">
        <f t="shared" si="36"/>
        <v>0</v>
      </c>
      <c r="M48" s="4100">
        <f t="shared" si="36"/>
        <v>0</v>
      </c>
      <c r="N48" s="4100">
        <f t="shared" si="36"/>
        <v>0</v>
      </c>
      <c r="O48" s="4100">
        <f t="shared" si="36"/>
        <v>0</v>
      </c>
      <c r="P48" s="4100">
        <f t="shared" si="36"/>
        <v>0</v>
      </c>
      <c r="Q48" s="4100">
        <f t="shared" si="36"/>
        <v>0</v>
      </c>
      <c r="R48" s="4100">
        <f t="shared" si="36"/>
        <v>0</v>
      </c>
      <c r="S48" s="4100">
        <f t="shared" si="36"/>
        <v>0</v>
      </c>
      <c r="T48" s="4100">
        <f t="shared" si="36"/>
        <v>0</v>
      </c>
      <c r="U48" s="4100">
        <f t="shared" si="36"/>
        <v>0</v>
      </c>
      <c r="V48" s="4100">
        <f t="shared" si="36"/>
        <v>0</v>
      </c>
      <c r="W48" s="4100">
        <f t="shared" si="36"/>
        <v>0</v>
      </c>
      <c r="X48" s="4114"/>
      <c r="Y48" s="4137"/>
    </row>
    <row r="49" spans="1:25" ht="12.75" hidden="1" thickBot="1">
      <c r="A49" s="4121"/>
      <c r="B49" s="4143" t="s">
        <v>32</v>
      </c>
      <c r="C49" s="4123"/>
      <c r="D49" s="4096">
        <f>M49+O49+P49+Q49+R49+S49+T49+U49+V49+W49</f>
        <v>0</v>
      </c>
      <c r="E49" s="4125">
        <f>+F49+G49+H49</f>
        <v>0</v>
      </c>
      <c r="F49" s="4125"/>
      <c r="G49" s="4125"/>
      <c r="H49" s="4125">
        <v>0</v>
      </c>
      <c r="I49" s="4125">
        <v>0</v>
      </c>
      <c r="J49" s="4125">
        <v>0</v>
      </c>
      <c r="K49" s="4125">
        <v>0</v>
      </c>
      <c r="L49" s="4125">
        <v>0</v>
      </c>
      <c r="M49" s="4096">
        <v>0</v>
      </c>
      <c r="N49" s="4125"/>
      <c r="O49" s="4125">
        <v>0</v>
      </c>
      <c r="P49" s="4125">
        <v>0</v>
      </c>
      <c r="Q49" s="4125">
        <v>0</v>
      </c>
      <c r="R49" s="4125">
        <v>0</v>
      </c>
      <c r="S49" s="4125">
        <v>0</v>
      </c>
      <c r="T49" s="4125">
        <v>0</v>
      </c>
      <c r="U49" s="4125">
        <v>0</v>
      </c>
      <c r="V49" s="4125">
        <v>0</v>
      </c>
      <c r="W49" s="4125">
        <v>0</v>
      </c>
      <c r="X49" s="4127"/>
      <c r="Y49" s="4144"/>
    </row>
    <row r="50" spans="1:25" ht="37.5" customHeight="1">
      <c r="A50" s="4075" t="s">
        <v>80</v>
      </c>
      <c r="B50" s="4076" t="s">
        <v>333</v>
      </c>
      <c r="C50" s="4077" t="s">
        <v>130</v>
      </c>
      <c r="D50" s="4078"/>
      <c r="E50" s="4079"/>
      <c r="F50" s="4080"/>
      <c r="G50" s="4080"/>
      <c r="H50" s="4079"/>
      <c r="I50" s="4079"/>
      <c r="J50" s="4079"/>
      <c r="K50" s="4080"/>
      <c r="L50" s="4080"/>
      <c r="M50" s="4081"/>
      <c r="N50" s="4081"/>
      <c r="O50" s="4081"/>
      <c r="P50" s="4080"/>
      <c r="Q50" s="4081"/>
      <c r="R50" s="4081"/>
      <c r="S50" s="4081"/>
      <c r="T50" s="4081"/>
      <c r="U50" s="4081"/>
      <c r="V50" s="4081"/>
      <c r="W50" s="4081"/>
      <c r="X50" s="4082"/>
      <c r="Y50" s="4136" t="s">
        <v>169</v>
      </c>
    </row>
    <row r="51" spans="1:25" ht="15" customHeight="1">
      <c r="A51" s="4084"/>
      <c r="B51" s="4085" t="s">
        <v>22</v>
      </c>
      <c r="C51" s="4129"/>
      <c r="D51" s="4087">
        <f>D52</f>
        <v>28500</v>
      </c>
      <c r="E51" s="4087">
        <f t="shared" ref="E51:U52" si="37">E52</f>
        <v>0</v>
      </c>
      <c r="F51" s="4087">
        <f t="shared" si="37"/>
        <v>0</v>
      </c>
      <c r="G51" s="4087">
        <f t="shared" si="37"/>
        <v>0</v>
      </c>
      <c r="H51" s="4087">
        <f t="shared" si="37"/>
        <v>0</v>
      </c>
      <c r="I51" s="4087">
        <f t="shared" si="37"/>
        <v>0</v>
      </c>
      <c r="J51" s="4087">
        <f t="shared" si="37"/>
        <v>0</v>
      </c>
      <c r="K51" s="4087">
        <f t="shared" si="37"/>
        <v>0</v>
      </c>
      <c r="L51" s="4087">
        <f t="shared" si="37"/>
        <v>0</v>
      </c>
      <c r="M51" s="4087">
        <f t="shared" si="37"/>
        <v>0</v>
      </c>
      <c r="N51" s="4087">
        <f t="shared" si="37"/>
        <v>0</v>
      </c>
      <c r="O51" s="4087">
        <f t="shared" si="37"/>
        <v>5000</v>
      </c>
      <c r="P51" s="4087">
        <f t="shared" si="37"/>
        <v>19500</v>
      </c>
      <c r="Q51" s="4087">
        <f t="shared" si="37"/>
        <v>4000</v>
      </c>
      <c r="R51" s="4087">
        <f>+R52+R54</f>
        <v>0</v>
      </c>
      <c r="S51" s="4087">
        <f t="shared" ref="S51:W51" si="38">+S52+S54</f>
        <v>0</v>
      </c>
      <c r="T51" s="4087">
        <f t="shared" si="38"/>
        <v>0</v>
      </c>
      <c r="U51" s="4087">
        <f t="shared" si="38"/>
        <v>0</v>
      </c>
      <c r="V51" s="4087">
        <f t="shared" si="38"/>
        <v>0</v>
      </c>
      <c r="W51" s="4087">
        <f t="shared" si="38"/>
        <v>0</v>
      </c>
      <c r="X51" s="4088">
        <f>X52</f>
        <v>23500</v>
      </c>
      <c r="Y51" s="4137"/>
    </row>
    <row r="52" spans="1:25" ht="12">
      <c r="A52" s="4084"/>
      <c r="B52" s="4138" t="s">
        <v>30</v>
      </c>
      <c r="C52" s="4139" t="s">
        <v>170</v>
      </c>
      <c r="D52" s="4100">
        <f>+D53</f>
        <v>28500</v>
      </c>
      <c r="E52" s="4100">
        <f>+F52+G52+H52</f>
        <v>0</v>
      </c>
      <c r="F52" s="4100">
        <f t="shared" si="37"/>
        <v>0</v>
      </c>
      <c r="G52" s="4100">
        <f t="shared" si="37"/>
        <v>0</v>
      </c>
      <c r="H52" s="4100">
        <f t="shared" si="37"/>
        <v>0</v>
      </c>
      <c r="I52" s="4100">
        <f t="shared" si="37"/>
        <v>0</v>
      </c>
      <c r="J52" s="4100">
        <f t="shared" si="37"/>
        <v>0</v>
      </c>
      <c r="K52" s="4100">
        <f t="shared" si="37"/>
        <v>0</v>
      </c>
      <c r="L52" s="4100">
        <f t="shared" si="37"/>
        <v>0</v>
      </c>
      <c r="M52" s="4100">
        <f t="shared" si="37"/>
        <v>0</v>
      </c>
      <c r="N52" s="4100">
        <f t="shared" si="37"/>
        <v>0</v>
      </c>
      <c r="O52" s="4100">
        <f t="shared" si="37"/>
        <v>5000</v>
      </c>
      <c r="P52" s="4100">
        <f t="shared" si="37"/>
        <v>19500</v>
      </c>
      <c r="Q52" s="4100">
        <f t="shared" si="37"/>
        <v>4000</v>
      </c>
      <c r="R52" s="4100">
        <f t="shared" si="37"/>
        <v>0</v>
      </c>
      <c r="S52" s="4100">
        <f t="shared" si="37"/>
        <v>0</v>
      </c>
      <c r="T52" s="4100">
        <f t="shared" si="37"/>
        <v>0</v>
      </c>
      <c r="U52" s="4100">
        <f t="shared" si="37"/>
        <v>0</v>
      </c>
      <c r="V52" s="4100">
        <f t="shared" ref="V52:W52" si="39">V53</f>
        <v>0</v>
      </c>
      <c r="W52" s="4100">
        <f t="shared" si="39"/>
        <v>0</v>
      </c>
      <c r="X52" s="4093">
        <f>+X53</f>
        <v>23500</v>
      </c>
      <c r="Y52" s="4137"/>
    </row>
    <row r="53" spans="1:25" ht="12">
      <c r="A53" s="4084"/>
      <c r="B53" s="4140" t="s">
        <v>32</v>
      </c>
      <c r="C53" s="4102"/>
      <c r="D53" s="4096">
        <f>M53+O53+P53+Q53+R53+S53+T53+U53+V53+W53</f>
        <v>28500</v>
      </c>
      <c r="E53" s="4104">
        <f>+F53+G53+H53</f>
        <v>0</v>
      </c>
      <c r="F53" s="4104"/>
      <c r="G53" s="4104"/>
      <c r="H53" s="4104">
        <v>0</v>
      </c>
      <c r="I53" s="4104">
        <v>0</v>
      </c>
      <c r="J53" s="4104">
        <v>0</v>
      </c>
      <c r="K53" s="4104">
        <v>0</v>
      </c>
      <c r="L53" s="4104">
        <v>0</v>
      </c>
      <c r="M53" s="4096">
        <f>+L53+N53</f>
        <v>0</v>
      </c>
      <c r="N53" s="4104">
        <v>0</v>
      </c>
      <c r="O53" s="4104">
        <v>5000</v>
      </c>
      <c r="P53" s="4105">
        <v>19500</v>
      </c>
      <c r="Q53" s="4105">
        <v>4000</v>
      </c>
      <c r="R53" s="4105">
        <v>0</v>
      </c>
      <c r="S53" s="4105">
        <v>0</v>
      </c>
      <c r="T53" s="4105">
        <v>0</v>
      </c>
      <c r="U53" s="4105">
        <v>0</v>
      </c>
      <c r="V53" s="4105">
        <v>0</v>
      </c>
      <c r="W53" s="4105">
        <v>0</v>
      </c>
      <c r="X53" s="4098">
        <f>+T53+S53+R53+Q53+P53</f>
        <v>23500</v>
      </c>
      <c r="Y53" s="4137"/>
    </row>
    <row r="54" spans="1:25" ht="15" customHeight="1">
      <c r="A54" s="4084"/>
      <c r="B54" s="4141" t="s">
        <v>34</v>
      </c>
      <c r="C54" s="4142"/>
      <c r="D54" s="4087">
        <f>+D55</f>
        <v>28500</v>
      </c>
      <c r="E54" s="4087">
        <f t="shared" ref="E54:L54" si="40">+E55</f>
        <v>0</v>
      </c>
      <c r="F54" s="4087">
        <f t="shared" si="40"/>
        <v>0</v>
      </c>
      <c r="G54" s="4087">
        <f t="shared" si="40"/>
        <v>0</v>
      </c>
      <c r="H54" s="4087">
        <f t="shared" si="40"/>
        <v>0</v>
      </c>
      <c r="I54" s="4087">
        <f t="shared" si="40"/>
        <v>0</v>
      </c>
      <c r="J54" s="4087">
        <f t="shared" si="40"/>
        <v>0</v>
      </c>
      <c r="K54" s="4087">
        <f t="shared" si="40"/>
        <v>0</v>
      </c>
      <c r="L54" s="4087">
        <f t="shared" si="40"/>
        <v>0</v>
      </c>
      <c r="M54" s="4087">
        <f>M55</f>
        <v>0</v>
      </c>
      <c r="N54" s="4087">
        <f t="shared" ref="N54:T54" si="41">N55</f>
        <v>0</v>
      </c>
      <c r="O54" s="4087">
        <f t="shared" si="41"/>
        <v>5000</v>
      </c>
      <c r="P54" s="4087">
        <f t="shared" si="41"/>
        <v>19500</v>
      </c>
      <c r="Q54" s="4087">
        <f t="shared" si="41"/>
        <v>4000</v>
      </c>
      <c r="R54" s="4087">
        <f t="shared" si="41"/>
        <v>0</v>
      </c>
      <c r="S54" s="4087">
        <f t="shared" si="41"/>
        <v>0</v>
      </c>
      <c r="T54" s="4087">
        <f t="shared" si="41"/>
        <v>0</v>
      </c>
      <c r="U54" s="4087"/>
      <c r="V54" s="4087"/>
      <c r="W54" s="4087"/>
      <c r="X54" s="4110" t="s">
        <v>77</v>
      </c>
      <c r="Y54" s="4137"/>
    </row>
    <row r="55" spans="1:25" ht="12">
      <c r="A55" s="4084"/>
      <c r="B55" s="4138" t="s">
        <v>30</v>
      </c>
      <c r="C55" s="4139" t="s">
        <v>170</v>
      </c>
      <c r="D55" s="4100">
        <f>+D56</f>
        <v>28500</v>
      </c>
      <c r="E55" s="4100">
        <f t="shared" ref="E55:W55" si="42">E56</f>
        <v>0</v>
      </c>
      <c r="F55" s="4100">
        <f t="shared" si="42"/>
        <v>0</v>
      </c>
      <c r="G55" s="4100">
        <f t="shared" si="42"/>
        <v>0</v>
      </c>
      <c r="H55" s="4100">
        <f t="shared" si="42"/>
        <v>0</v>
      </c>
      <c r="I55" s="4100">
        <f t="shared" si="42"/>
        <v>0</v>
      </c>
      <c r="J55" s="4100">
        <f t="shared" si="42"/>
        <v>0</v>
      </c>
      <c r="K55" s="4100">
        <f t="shared" si="42"/>
        <v>0</v>
      </c>
      <c r="L55" s="4100">
        <f t="shared" si="42"/>
        <v>0</v>
      </c>
      <c r="M55" s="4100">
        <f t="shared" si="42"/>
        <v>0</v>
      </c>
      <c r="N55" s="4100">
        <f t="shared" si="42"/>
        <v>0</v>
      </c>
      <c r="O55" s="4100">
        <f t="shared" si="42"/>
        <v>5000</v>
      </c>
      <c r="P55" s="4100">
        <f t="shared" si="42"/>
        <v>19500</v>
      </c>
      <c r="Q55" s="4100">
        <f t="shared" si="42"/>
        <v>4000</v>
      </c>
      <c r="R55" s="4100">
        <f t="shared" si="42"/>
        <v>0</v>
      </c>
      <c r="S55" s="4100">
        <f t="shared" si="42"/>
        <v>0</v>
      </c>
      <c r="T55" s="4100">
        <f t="shared" si="42"/>
        <v>0</v>
      </c>
      <c r="U55" s="4100">
        <f t="shared" si="42"/>
        <v>0</v>
      </c>
      <c r="V55" s="4100">
        <f t="shared" si="42"/>
        <v>0</v>
      </c>
      <c r="W55" s="4100">
        <f t="shared" si="42"/>
        <v>0</v>
      </c>
      <c r="X55" s="4114"/>
      <c r="Y55" s="4137"/>
    </row>
    <row r="56" spans="1:25" ht="12.75" thickBot="1">
      <c r="A56" s="4121"/>
      <c r="B56" s="4143" t="s">
        <v>32</v>
      </c>
      <c r="C56" s="4123"/>
      <c r="D56" s="4145">
        <f>M56+O56+P56+Q56+R56+S56+T56+U56+V56+W56</f>
        <v>28500</v>
      </c>
      <c r="E56" s="4125">
        <f>+F56+G56+H56</f>
        <v>0</v>
      </c>
      <c r="F56" s="4125"/>
      <c r="G56" s="4125"/>
      <c r="H56" s="4125">
        <v>0</v>
      </c>
      <c r="I56" s="4125">
        <v>0</v>
      </c>
      <c r="J56" s="4125">
        <v>0</v>
      </c>
      <c r="K56" s="4125">
        <v>0</v>
      </c>
      <c r="L56" s="4125"/>
      <c r="M56" s="4145">
        <f>+L56+N56</f>
        <v>0</v>
      </c>
      <c r="N56" s="4125">
        <v>0</v>
      </c>
      <c r="O56" s="4125">
        <v>5000</v>
      </c>
      <c r="P56" s="4125">
        <v>19500</v>
      </c>
      <c r="Q56" s="4125">
        <v>4000</v>
      </c>
      <c r="R56" s="4125">
        <v>0</v>
      </c>
      <c r="S56" s="4125">
        <v>0</v>
      </c>
      <c r="T56" s="4125">
        <v>0</v>
      </c>
      <c r="U56" s="4125">
        <v>0</v>
      </c>
      <c r="V56" s="4125">
        <v>0</v>
      </c>
      <c r="W56" s="4125">
        <v>0</v>
      </c>
      <c r="X56" s="4127"/>
      <c r="Y56" s="4144"/>
    </row>
    <row r="57" spans="1:25" ht="26.25" customHeight="1">
      <c r="A57" s="4075" t="s">
        <v>81</v>
      </c>
      <c r="B57" s="4076" t="s">
        <v>463</v>
      </c>
      <c r="C57" s="4077" t="s">
        <v>130</v>
      </c>
      <c r="D57" s="4078"/>
      <c r="E57" s="4079"/>
      <c r="F57" s="4080"/>
      <c r="G57" s="4080"/>
      <c r="H57" s="4079"/>
      <c r="I57" s="4079"/>
      <c r="J57" s="4079"/>
      <c r="K57" s="4080"/>
      <c r="L57" s="4080"/>
      <c r="M57" s="4081"/>
      <c r="N57" s="4081"/>
      <c r="O57" s="4081"/>
      <c r="P57" s="4080"/>
      <c r="Q57" s="4081"/>
      <c r="R57" s="4081"/>
      <c r="S57" s="4081"/>
      <c r="T57" s="4081"/>
      <c r="U57" s="4081"/>
      <c r="V57" s="4081"/>
      <c r="W57" s="4081"/>
      <c r="X57" s="4082"/>
      <c r="Y57" s="4136" t="s">
        <v>394</v>
      </c>
    </row>
    <row r="58" spans="1:25" ht="15" customHeight="1">
      <c r="A58" s="4084"/>
      <c r="B58" s="4085" t="s">
        <v>22</v>
      </c>
      <c r="C58" s="4129"/>
      <c r="D58" s="4087">
        <f>D59</f>
        <v>267988</v>
      </c>
      <c r="E58" s="4087">
        <f t="shared" ref="E58:U59" si="43">E59</f>
        <v>0</v>
      </c>
      <c r="F58" s="4087">
        <f t="shared" si="43"/>
        <v>0</v>
      </c>
      <c r="G58" s="4087">
        <f t="shared" si="43"/>
        <v>0</v>
      </c>
      <c r="H58" s="4087">
        <f t="shared" si="43"/>
        <v>0</v>
      </c>
      <c r="I58" s="4087">
        <f t="shared" si="43"/>
        <v>0</v>
      </c>
      <c r="J58" s="4087">
        <f t="shared" si="43"/>
        <v>0</v>
      </c>
      <c r="K58" s="4087">
        <f t="shared" si="43"/>
        <v>0</v>
      </c>
      <c r="L58" s="4087">
        <f t="shared" si="43"/>
        <v>0</v>
      </c>
      <c r="M58" s="4087">
        <f t="shared" si="43"/>
        <v>0</v>
      </c>
      <c r="N58" s="4087">
        <f t="shared" si="43"/>
        <v>0</v>
      </c>
      <c r="O58" s="4087">
        <f t="shared" si="43"/>
        <v>213855</v>
      </c>
      <c r="P58" s="4087">
        <f t="shared" si="43"/>
        <v>54133</v>
      </c>
      <c r="Q58" s="4087">
        <f t="shared" si="43"/>
        <v>0</v>
      </c>
      <c r="R58" s="4087">
        <f>+R59+R61</f>
        <v>0</v>
      </c>
      <c r="S58" s="4087">
        <f t="shared" ref="S58:W58" si="44">+S59+S61</f>
        <v>0</v>
      </c>
      <c r="T58" s="4087">
        <f t="shared" si="44"/>
        <v>0</v>
      </c>
      <c r="U58" s="4087">
        <f t="shared" si="44"/>
        <v>0</v>
      </c>
      <c r="V58" s="4087">
        <f t="shared" si="44"/>
        <v>0</v>
      </c>
      <c r="W58" s="4087">
        <f t="shared" si="44"/>
        <v>0</v>
      </c>
      <c r="X58" s="4088">
        <f>X59</f>
        <v>54133</v>
      </c>
      <c r="Y58" s="4137"/>
    </row>
    <row r="59" spans="1:25" ht="12">
      <c r="A59" s="4084"/>
      <c r="B59" s="4138" t="s">
        <v>30</v>
      </c>
      <c r="C59" s="4139" t="s">
        <v>395</v>
      </c>
      <c r="D59" s="4100">
        <f>+D60</f>
        <v>267988</v>
      </c>
      <c r="E59" s="4100">
        <f>+F59+G59+H59</f>
        <v>0</v>
      </c>
      <c r="F59" s="4100">
        <f t="shared" si="43"/>
        <v>0</v>
      </c>
      <c r="G59" s="4100">
        <f t="shared" si="43"/>
        <v>0</v>
      </c>
      <c r="H59" s="4100">
        <f t="shared" si="43"/>
        <v>0</v>
      </c>
      <c r="I59" s="4100">
        <f t="shared" si="43"/>
        <v>0</v>
      </c>
      <c r="J59" s="4100">
        <f t="shared" si="43"/>
        <v>0</v>
      </c>
      <c r="K59" s="4100">
        <f t="shared" si="43"/>
        <v>0</v>
      </c>
      <c r="L59" s="4100">
        <f t="shared" si="43"/>
        <v>0</v>
      </c>
      <c r="M59" s="4100">
        <f t="shared" si="43"/>
        <v>0</v>
      </c>
      <c r="N59" s="4100">
        <f t="shared" si="43"/>
        <v>0</v>
      </c>
      <c r="O59" s="4100">
        <f t="shared" si="43"/>
        <v>213855</v>
      </c>
      <c r="P59" s="4100">
        <f t="shared" si="43"/>
        <v>54133</v>
      </c>
      <c r="Q59" s="4100">
        <f t="shared" si="43"/>
        <v>0</v>
      </c>
      <c r="R59" s="4100">
        <f t="shared" si="43"/>
        <v>0</v>
      </c>
      <c r="S59" s="4100">
        <f t="shared" si="43"/>
        <v>0</v>
      </c>
      <c r="T59" s="4100">
        <f t="shared" si="43"/>
        <v>0</v>
      </c>
      <c r="U59" s="4100">
        <f t="shared" si="43"/>
        <v>0</v>
      </c>
      <c r="V59" s="4100">
        <f t="shared" ref="V59:W59" si="45">V60</f>
        <v>0</v>
      </c>
      <c r="W59" s="4100">
        <f t="shared" si="45"/>
        <v>0</v>
      </c>
      <c r="X59" s="4093">
        <f>+X60</f>
        <v>54133</v>
      </c>
      <c r="Y59" s="4137"/>
    </row>
    <row r="60" spans="1:25" ht="12">
      <c r="A60" s="4084"/>
      <c r="B60" s="4140" t="s">
        <v>32</v>
      </c>
      <c r="C60" s="4102"/>
      <c r="D60" s="4116">
        <f>M60+O60+P60+Q60+R60+S60+T60+U60+V60+W60</f>
        <v>267988</v>
      </c>
      <c r="E60" s="4104">
        <f>+F60+G60+H60</f>
        <v>0</v>
      </c>
      <c r="F60" s="4104"/>
      <c r="G60" s="4104"/>
      <c r="H60" s="4104">
        <v>0</v>
      </c>
      <c r="I60" s="4104">
        <v>0</v>
      </c>
      <c r="J60" s="4104">
        <v>0</v>
      </c>
      <c r="K60" s="4104">
        <v>0</v>
      </c>
      <c r="L60" s="4104"/>
      <c r="M60" s="4104">
        <v>0</v>
      </c>
      <c r="N60" s="4104">
        <v>0</v>
      </c>
      <c r="O60" s="4104">
        <f>213857-2</f>
        <v>213855</v>
      </c>
      <c r="P60" s="4105">
        <f>54133</f>
        <v>54133</v>
      </c>
      <c r="Q60" s="4105">
        <v>0</v>
      </c>
      <c r="R60" s="4105">
        <v>0</v>
      </c>
      <c r="S60" s="4105">
        <v>0</v>
      </c>
      <c r="T60" s="4105">
        <v>0</v>
      </c>
      <c r="U60" s="4105">
        <v>0</v>
      </c>
      <c r="V60" s="4105">
        <v>0</v>
      </c>
      <c r="W60" s="4105">
        <v>0</v>
      </c>
      <c r="X60" s="4098">
        <f>+T60+S60+R60+Q60+P60</f>
        <v>54133</v>
      </c>
      <c r="Y60" s="4137"/>
    </row>
    <row r="61" spans="1:25" ht="15" customHeight="1">
      <c r="A61" s="4084"/>
      <c r="B61" s="4141" t="s">
        <v>34</v>
      </c>
      <c r="C61" s="4142"/>
      <c r="D61" s="4146">
        <f>+D62</f>
        <v>267990</v>
      </c>
      <c r="E61" s="4087">
        <f t="shared" ref="E61:W61" si="46">E62+E86</f>
        <v>0</v>
      </c>
      <c r="F61" s="4087">
        <f t="shared" si="46"/>
        <v>0</v>
      </c>
      <c r="G61" s="4087">
        <f t="shared" si="46"/>
        <v>0</v>
      </c>
      <c r="H61" s="4087">
        <f t="shared" si="46"/>
        <v>0</v>
      </c>
      <c r="I61" s="4087">
        <f t="shared" si="46"/>
        <v>0</v>
      </c>
      <c r="J61" s="4087">
        <f t="shared" si="46"/>
        <v>0</v>
      </c>
      <c r="K61" s="4087">
        <f t="shared" si="46"/>
        <v>0</v>
      </c>
      <c r="L61" s="4087">
        <f t="shared" si="46"/>
        <v>0</v>
      </c>
      <c r="M61" s="4087">
        <f t="shared" si="46"/>
        <v>160044</v>
      </c>
      <c r="N61" s="4087">
        <f t="shared" si="46"/>
        <v>160044</v>
      </c>
      <c r="O61" s="4087">
        <f t="shared" si="46"/>
        <v>54097</v>
      </c>
      <c r="P61" s="4087">
        <f t="shared" si="46"/>
        <v>53849</v>
      </c>
      <c r="Q61" s="4087">
        <f t="shared" si="46"/>
        <v>0</v>
      </c>
      <c r="R61" s="4087">
        <f t="shared" si="46"/>
        <v>0</v>
      </c>
      <c r="S61" s="4087">
        <f t="shared" si="46"/>
        <v>0</v>
      </c>
      <c r="T61" s="4087">
        <f t="shared" si="46"/>
        <v>0</v>
      </c>
      <c r="U61" s="4087">
        <f t="shared" si="46"/>
        <v>0</v>
      </c>
      <c r="V61" s="4087">
        <f t="shared" si="46"/>
        <v>0</v>
      </c>
      <c r="W61" s="4087">
        <f t="shared" si="46"/>
        <v>0</v>
      </c>
      <c r="X61" s="4110" t="s">
        <v>77</v>
      </c>
      <c r="Y61" s="4137"/>
    </row>
    <row r="62" spans="1:25" ht="12">
      <c r="A62" s="4084"/>
      <c r="B62" s="4138" t="s">
        <v>30</v>
      </c>
      <c r="C62" s="4139" t="s">
        <v>395</v>
      </c>
      <c r="D62" s="4100">
        <f>+D63</f>
        <v>267990</v>
      </c>
      <c r="E62" s="4100">
        <f t="shared" ref="E62:W62" si="47">E63</f>
        <v>0</v>
      </c>
      <c r="F62" s="4100">
        <f t="shared" si="47"/>
        <v>0</v>
      </c>
      <c r="G62" s="4100">
        <f t="shared" si="47"/>
        <v>0</v>
      </c>
      <c r="H62" s="4100">
        <f t="shared" si="47"/>
        <v>0</v>
      </c>
      <c r="I62" s="4100">
        <f t="shared" si="47"/>
        <v>0</v>
      </c>
      <c r="J62" s="4100">
        <f t="shared" si="47"/>
        <v>0</v>
      </c>
      <c r="K62" s="4100">
        <f t="shared" si="47"/>
        <v>0</v>
      </c>
      <c r="L62" s="4100">
        <f t="shared" si="47"/>
        <v>0</v>
      </c>
      <c r="M62" s="4100">
        <f t="shared" si="47"/>
        <v>160044</v>
      </c>
      <c r="N62" s="4100">
        <f t="shared" si="47"/>
        <v>160044</v>
      </c>
      <c r="O62" s="4100">
        <f t="shared" si="47"/>
        <v>54097</v>
      </c>
      <c r="P62" s="4100">
        <f t="shared" si="47"/>
        <v>53849</v>
      </c>
      <c r="Q62" s="4100">
        <f t="shared" si="47"/>
        <v>0</v>
      </c>
      <c r="R62" s="4100">
        <f t="shared" si="47"/>
        <v>0</v>
      </c>
      <c r="S62" s="4100">
        <f t="shared" si="47"/>
        <v>0</v>
      </c>
      <c r="T62" s="4100">
        <f t="shared" si="47"/>
        <v>0</v>
      </c>
      <c r="U62" s="4100">
        <f t="shared" si="47"/>
        <v>0</v>
      </c>
      <c r="V62" s="4100">
        <f t="shared" si="47"/>
        <v>0</v>
      </c>
      <c r="W62" s="4100">
        <f t="shared" si="47"/>
        <v>0</v>
      </c>
      <c r="X62" s="4114"/>
      <c r="Y62" s="4137"/>
    </row>
    <row r="63" spans="1:25" ht="12.75" thickBot="1">
      <c r="A63" s="4121"/>
      <c r="B63" s="4143" t="s">
        <v>32</v>
      </c>
      <c r="C63" s="4123"/>
      <c r="D63" s="4145">
        <f>M63+O63+P63+Q63+R63+S63+T63+U63+V63+W63</f>
        <v>267990</v>
      </c>
      <c r="E63" s="4125">
        <f>+F63+G63+H63</f>
        <v>0</v>
      </c>
      <c r="F63" s="4125"/>
      <c r="G63" s="4125"/>
      <c r="H63" s="4125">
        <v>0</v>
      </c>
      <c r="I63" s="4125">
        <v>0</v>
      </c>
      <c r="J63" s="4125">
        <v>0</v>
      </c>
      <c r="K63" s="4125">
        <v>0</v>
      </c>
      <c r="L63" s="4125"/>
      <c r="M63" s="4145">
        <f>+L63+N63</f>
        <v>160044</v>
      </c>
      <c r="N63" s="4125">
        <v>160044</v>
      </c>
      <c r="O63" s="4125">
        <v>54097</v>
      </c>
      <c r="P63" s="4125">
        <v>53849</v>
      </c>
      <c r="Q63" s="4125">
        <v>0</v>
      </c>
      <c r="R63" s="4125">
        <v>0</v>
      </c>
      <c r="S63" s="4125">
        <v>0</v>
      </c>
      <c r="T63" s="4125">
        <v>0</v>
      </c>
      <c r="U63" s="4125">
        <v>0</v>
      </c>
      <c r="V63" s="4125">
        <v>0</v>
      </c>
      <c r="W63" s="4125">
        <v>0</v>
      </c>
      <c r="X63" s="4127"/>
      <c r="Y63" s="4144"/>
    </row>
    <row r="64" spans="1:25" ht="26.25" customHeight="1">
      <c r="A64" s="4075" t="s">
        <v>82</v>
      </c>
      <c r="B64" s="4076" t="s">
        <v>508</v>
      </c>
      <c r="C64" s="4077" t="s">
        <v>130</v>
      </c>
      <c r="D64" s="4078"/>
      <c r="E64" s="4079"/>
      <c r="F64" s="4080"/>
      <c r="G64" s="4080"/>
      <c r="H64" s="4079"/>
      <c r="I64" s="4079"/>
      <c r="J64" s="4079"/>
      <c r="K64" s="4080"/>
      <c r="L64" s="4080"/>
      <c r="M64" s="4081"/>
      <c r="N64" s="4081"/>
      <c r="O64" s="4081"/>
      <c r="P64" s="4080"/>
      <c r="Q64" s="4081"/>
      <c r="R64" s="4081"/>
      <c r="S64" s="4081"/>
      <c r="T64" s="4081"/>
      <c r="U64" s="4081"/>
      <c r="V64" s="4081"/>
      <c r="W64" s="4081"/>
      <c r="X64" s="4082"/>
      <c r="Y64" s="4136" t="s">
        <v>167</v>
      </c>
    </row>
    <row r="65" spans="1:119" ht="15" customHeight="1">
      <c r="A65" s="4084"/>
      <c r="B65" s="4085" t="s">
        <v>22</v>
      </c>
      <c r="C65" s="4129"/>
      <c r="D65" s="4087">
        <f>+D66</f>
        <v>8400</v>
      </c>
      <c r="E65" s="4087"/>
      <c r="F65" s="4087"/>
      <c r="G65" s="4087"/>
      <c r="H65" s="4087"/>
      <c r="I65" s="4087"/>
      <c r="J65" s="4087"/>
      <c r="K65" s="4087"/>
      <c r="L65" s="4087"/>
      <c r="M65" s="4087"/>
      <c r="N65" s="4087"/>
      <c r="O65" s="4087"/>
      <c r="P65" s="4087">
        <f>+P66</f>
        <v>4200</v>
      </c>
      <c r="Q65" s="4087">
        <f>+Q66</f>
        <v>4200</v>
      </c>
      <c r="R65" s="4087"/>
      <c r="S65" s="4087"/>
      <c r="T65" s="4087"/>
      <c r="U65" s="4087"/>
      <c r="V65" s="4087"/>
      <c r="W65" s="4087"/>
      <c r="X65" s="4088">
        <f>+X66</f>
        <v>8400</v>
      </c>
      <c r="Y65" s="4137"/>
    </row>
    <row r="66" spans="1:119" ht="12">
      <c r="A66" s="4084"/>
      <c r="B66" s="4138" t="s">
        <v>30</v>
      </c>
      <c r="C66" s="4139" t="s">
        <v>168</v>
      </c>
      <c r="D66" s="4100">
        <f>+D67</f>
        <v>8400</v>
      </c>
      <c r="E66" s="4100"/>
      <c r="F66" s="4100"/>
      <c r="G66" s="4100"/>
      <c r="H66" s="4100"/>
      <c r="I66" s="4100"/>
      <c r="J66" s="4100"/>
      <c r="K66" s="4100"/>
      <c r="L66" s="4100"/>
      <c r="M66" s="4100"/>
      <c r="N66" s="4100"/>
      <c r="O66" s="4100"/>
      <c r="P66" s="4100">
        <f>+P67</f>
        <v>4200</v>
      </c>
      <c r="Q66" s="4100">
        <f>+Q67</f>
        <v>4200</v>
      </c>
      <c r="R66" s="4100"/>
      <c r="S66" s="4100"/>
      <c r="T66" s="4100"/>
      <c r="U66" s="4100"/>
      <c r="V66" s="4100"/>
      <c r="W66" s="4100"/>
      <c r="X66" s="4093">
        <f>+X67</f>
        <v>8400</v>
      </c>
      <c r="Y66" s="4137"/>
    </row>
    <row r="67" spans="1:119" ht="12">
      <c r="A67" s="4084"/>
      <c r="B67" s="4140" t="s">
        <v>32</v>
      </c>
      <c r="C67" s="4102"/>
      <c r="D67" s="4116">
        <f>+P67+Q67+R67+S67</f>
        <v>8400</v>
      </c>
      <c r="E67" s="4104"/>
      <c r="F67" s="4104"/>
      <c r="G67" s="4104"/>
      <c r="H67" s="4104"/>
      <c r="I67" s="4104"/>
      <c r="J67" s="4104"/>
      <c r="K67" s="4104"/>
      <c r="L67" s="4104"/>
      <c r="M67" s="4104"/>
      <c r="N67" s="4104"/>
      <c r="O67" s="4104"/>
      <c r="P67" s="4105">
        <v>4200</v>
      </c>
      <c r="Q67" s="4105">
        <v>4200</v>
      </c>
      <c r="R67" s="4105"/>
      <c r="S67" s="4105"/>
      <c r="T67" s="4105"/>
      <c r="U67" s="4105"/>
      <c r="V67" s="4105"/>
      <c r="W67" s="4105"/>
      <c r="X67" s="4098">
        <f>+Q67+P67</f>
        <v>8400</v>
      </c>
      <c r="Y67" s="4137"/>
    </row>
    <row r="68" spans="1:119" ht="15" customHeight="1">
      <c r="A68" s="4084"/>
      <c r="B68" s="4141" t="s">
        <v>34</v>
      </c>
      <c r="C68" s="4142"/>
      <c r="D68" s="4146">
        <f>+D69</f>
        <v>8400</v>
      </c>
      <c r="E68" s="4087"/>
      <c r="F68" s="4087"/>
      <c r="G68" s="4087"/>
      <c r="H68" s="4087"/>
      <c r="I68" s="4087"/>
      <c r="J68" s="4087"/>
      <c r="K68" s="4087"/>
      <c r="L68" s="4087"/>
      <c r="M68" s="4087"/>
      <c r="N68" s="4087"/>
      <c r="O68" s="4087"/>
      <c r="P68" s="4087">
        <f>+P69</f>
        <v>4200</v>
      </c>
      <c r="Q68" s="4087">
        <f>+Q69</f>
        <v>4200</v>
      </c>
      <c r="R68" s="4087"/>
      <c r="S68" s="4087"/>
      <c r="T68" s="4087"/>
      <c r="U68" s="4087"/>
      <c r="V68" s="4087"/>
      <c r="W68" s="4087"/>
      <c r="X68" s="4110"/>
      <c r="Y68" s="4137"/>
    </row>
    <row r="69" spans="1:119" ht="12">
      <c r="A69" s="4084"/>
      <c r="B69" s="4138" t="s">
        <v>30</v>
      </c>
      <c r="C69" s="4139" t="s">
        <v>168</v>
      </c>
      <c r="D69" s="4100">
        <f>+D70</f>
        <v>8400</v>
      </c>
      <c r="E69" s="4100"/>
      <c r="F69" s="4100"/>
      <c r="G69" s="4100"/>
      <c r="H69" s="4100"/>
      <c r="I69" s="4100"/>
      <c r="J69" s="4100"/>
      <c r="K69" s="4100"/>
      <c r="L69" s="4100"/>
      <c r="M69" s="4100"/>
      <c r="N69" s="4100"/>
      <c r="O69" s="4100"/>
      <c r="P69" s="4100">
        <f>+P70</f>
        <v>4200</v>
      </c>
      <c r="Q69" s="4100">
        <f>+Q70</f>
        <v>4200</v>
      </c>
      <c r="R69" s="4100"/>
      <c r="S69" s="4100"/>
      <c r="T69" s="4100"/>
      <c r="U69" s="4100"/>
      <c r="V69" s="4100"/>
      <c r="W69" s="4100"/>
      <c r="X69" s="4114"/>
      <c r="Y69" s="4137"/>
    </row>
    <row r="70" spans="1:119" ht="12.75" thickBot="1">
      <c r="A70" s="4121"/>
      <c r="B70" s="4143" t="s">
        <v>32</v>
      </c>
      <c r="C70" s="4123"/>
      <c r="D70" s="4145">
        <f>+M70+O70+P70+Q70+R70</f>
        <v>8400</v>
      </c>
      <c r="E70" s="4125"/>
      <c r="F70" s="4125"/>
      <c r="G70" s="4125"/>
      <c r="H70" s="4125"/>
      <c r="I70" s="4125"/>
      <c r="J70" s="4125"/>
      <c r="K70" s="4125"/>
      <c r="L70" s="4125"/>
      <c r="M70" s="4145"/>
      <c r="N70" s="4125"/>
      <c r="O70" s="4125"/>
      <c r="P70" s="4125">
        <v>4200</v>
      </c>
      <c r="Q70" s="4125">
        <v>4200</v>
      </c>
      <c r="R70" s="4125"/>
      <c r="S70" s="4125"/>
      <c r="T70" s="4125"/>
      <c r="U70" s="4125"/>
      <c r="V70" s="4125"/>
      <c r="W70" s="4125"/>
      <c r="X70" s="4127"/>
      <c r="Y70" s="4144"/>
    </row>
    <row r="71" spans="1:119" ht="9" customHeight="1">
      <c r="A71" s="4147"/>
      <c r="B71" s="4148"/>
      <c r="C71" s="4149"/>
      <c r="D71" s="4150"/>
      <c r="E71" s="4151"/>
      <c r="F71" s="4151"/>
      <c r="G71" s="4151"/>
      <c r="H71" s="4151"/>
      <c r="I71" s="4151"/>
      <c r="J71" s="4151"/>
      <c r="K71" s="4151"/>
      <c r="L71" s="4151"/>
      <c r="M71" s="4151"/>
      <c r="N71" s="4151"/>
      <c r="O71" s="4151"/>
      <c r="P71" s="4151"/>
      <c r="Q71" s="4151"/>
      <c r="R71" s="4151"/>
      <c r="S71" s="4151"/>
      <c r="T71" s="4152"/>
      <c r="U71" s="4152"/>
      <c r="V71" s="4152"/>
      <c r="W71" s="4152"/>
      <c r="X71" s="4153"/>
      <c r="Y71" s="4149"/>
    </row>
    <row r="72" spans="1:119" s="4157" customFormat="1" ht="26.25" hidden="1" customHeight="1" thickBot="1">
      <c r="A72" s="3974" t="s">
        <v>171</v>
      </c>
      <c r="B72" s="3974"/>
      <c r="C72" s="3974"/>
      <c r="D72" s="3974"/>
      <c r="E72" s="3974"/>
      <c r="F72" s="3974"/>
      <c r="G72" s="3974"/>
      <c r="H72" s="3974"/>
      <c r="I72" s="3974"/>
      <c r="J72" s="3974"/>
      <c r="K72" s="3974"/>
      <c r="L72" s="3974"/>
      <c r="M72" s="3974"/>
      <c r="N72" s="3974"/>
      <c r="O72" s="3974"/>
      <c r="P72" s="3974"/>
      <c r="Q72" s="3974"/>
      <c r="R72" s="3974"/>
      <c r="S72" s="3974"/>
      <c r="T72" s="3974"/>
      <c r="U72" s="3974"/>
      <c r="V72" s="3974"/>
      <c r="W72" s="3974"/>
      <c r="X72" s="4154"/>
      <c r="Y72" s="4155"/>
      <c r="Z72" s="4156"/>
      <c r="AA72" s="4156"/>
      <c r="AB72" s="4156"/>
      <c r="AC72" s="4156"/>
      <c r="AD72" s="4156"/>
      <c r="AE72" s="4156"/>
      <c r="AF72" s="4156"/>
      <c r="AG72" s="4156"/>
      <c r="AH72" s="4156"/>
      <c r="AI72" s="4156"/>
      <c r="AJ72" s="4156"/>
      <c r="AK72" s="4156"/>
      <c r="AL72" s="4156"/>
      <c r="AM72" s="4156"/>
      <c r="AN72" s="4156"/>
      <c r="AO72" s="4156"/>
      <c r="AP72" s="4156"/>
      <c r="AQ72" s="4156"/>
      <c r="AR72" s="4156"/>
      <c r="AS72" s="4156"/>
      <c r="AT72" s="4156"/>
      <c r="AU72" s="4156"/>
      <c r="AV72" s="4156"/>
      <c r="AW72" s="4156"/>
      <c r="AX72" s="4156"/>
      <c r="AY72" s="4156"/>
      <c r="AZ72" s="4156"/>
      <c r="BA72" s="4156"/>
      <c r="BB72" s="4156"/>
      <c r="BC72" s="4156"/>
      <c r="BD72" s="4156"/>
      <c r="BE72" s="4156"/>
      <c r="BF72" s="4156"/>
      <c r="BG72" s="4156"/>
      <c r="BH72" s="4156"/>
      <c r="BI72" s="4156"/>
      <c r="BJ72" s="4156"/>
      <c r="BK72" s="4156"/>
      <c r="BL72" s="4156"/>
      <c r="BM72" s="4156"/>
      <c r="BN72" s="4156"/>
      <c r="BO72" s="4156"/>
      <c r="BP72" s="4156"/>
      <c r="BQ72" s="4156"/>
      <c r="BR72" s="4156"/>
      <c r="BS72" s="4156"/>
      <c r="BT72" s="4156"/>
      <c r="BU72" s="4156"/>
      <c r="BV72" s="4156"/>
      <c r="BW72" s="4156"/>
      <c r="BX72" s="4156"/>
      <c r="BY72" s="4156"/>
      <c r="BZ72" s="4156"/>
      <c r="CA72" s="4156"/>
      <c r="CB72" s="4156"/>
      <c r="CC72" s="4156"/>
      <c r="CD72" s="4156"/>
      <c r="CE72" s="4156"/>
      <c r="CF72" s="4156"/>
      <c r="CG72" s="4156"/>
      <c r="CH72" s="4156"/>
      <c r="CI72" s="4156"/>
      <c r="CJ72" s="4156"/>
      <c r="CK72" s="4156"/>
      <c r="CL72" s="4156"/>
      <c r="CM72" s="4156"/>
      <c r="CN72" s="4156"/>
      <c r="CO72" s="4156"/>
      <c r="CP72" s="4156"/>
      <c r="CQ72" s="4156"/>
      <c r="CR72" s="4156"/>
      <c r="CS72" s="4156"/>
      <c r="CT72" s="4156"/>
      <c r="CU72" s="4156"/>
      <c r="CV72" s="4156"/>
      <c r="CW72" s="4156"/>
      <c r="CX72" s="4156"/>
      <c r="CY72" s="4156"/>
      <c r="CZ72" s="4156"/>
      <c r="DA72" s="4156"/>
      <c r="DB72" s="4156"/>
      <c r="DC72" s="4156"/>
      <c r="DD72" s="4156"/>
      <c r="DE72" s="4156"/>
      <c r="DF72" s="4156"/>
      <c r="DG72" s="4156"/>
      <c r="DH72" s="4156"/>
      <c r="DI72" s="4156"/>
      <c r="DJ72" s="4156"/>
      <c r="DK72" s="4156"/>
      <c r="DL72" s="4156"/>
      <c r="DM72" s="4156"/>
      <c r="DN72" s="4156"/>
      <c r="DO72" s="4156"/>
    </row>
    <row r="73" spans="1:119" s="3990" customFormat="1" ht="14.25" hidden="1" customHeight="1">
      <c r="A73" s="4055"/>
      <c r="B73" s="4158" t="s">
        <v>92</v>
      </c>
      <c r="C73" s="4159"/>
      <c r="D73" s="4160">
        <f>+D74+D75</f>
        <v>0</v>
      </c>
      <c r="E73" s="4160">
        <f t="shared" ref="E73:W73" si="48">+E74+E75</f>
        <v>0</v>
      </c>
      <c r="F73" s="4160">
        <f t="shared" si="48"/>
        <v>0</v>
      </c>
      <c r="G73" s="4160">
        <f t="shared" si="48"/>
        <v>0</v>
      </c>
      <c r="H73" s="4160">
        <f t="shared" si="48"/>
        <v>0</v>
      </c>
      <c r="I73" s="4160">
        <f t="shared" si="48"/>
        <v>0</v>
      </c>
      <c r="J73" s="4160">
        <f t="shared" si="48"/>
        <v>0</v>
      </c>
      <c r="K73" s="4160">
        <f t="shared" si="48"/>
        <v>0</v>
      </c>
      <c r="L73" s="4160">
        <f t="shared" si="48"/>
        <v>0</v>
      </c>
      <c r="M73" s="4160">
        <f t="shared" si="48"/>
        <v>0</v>
      </c>
      <c r="N73" s="4160">
        <f t="shared" si="48"/>
        <v>117496</v>
      </c>
      <c r="O73" s="4160">
        <f t="shared" si="48"/>
        <v>0</v>
      </c>
      <c r="P73" s="4160">
        <f t="shared" si="48"/>
        <v>0</v>
      </c>
      <c r="Q73" s="4160">
        <f t="shared" si="48"/>
        <v>0</v>
      </c>
      <c r="R73" s="4160">
        <f t="shared" si="48"/>
        <v>0</v>
      </c>
      <c r="S73" s="4160">
        <f t="shared" si="48"/>
        <v>0</v>
      </c>
      <c r="T73" s="4160">
        <f t="shared" si="48"/>
        <v>0</v>
      </c>
      <c r="U73" s="4160">
        <f t="shared" si="48"/>
        <v>0</v>
      </c>
      <c r="V73" s="4160">
        <f t="shared" si="48"/>
        <v>0</v>
      </c>
      <c r="W73" s="4160">
        <f t="shared" si="48"/>
        <v>0</v>
      </c>
      <c r="X73" s="4030">
        <f>+X74+X75</f>
        <v>0</v>
      </c>
      <c r="Y73" s="4161"/>
    </row>
    <row r="74" spans="1:119" s="3990" customFormat="1" ht="13.5" hidden="1" customHeight="1">
      <c r="A74" s="4055"/>
      <c r="B74" s="4032" t="s">
        <v>93</v>
      </c>
      <c r="C74" s="4033"/>
      <c r="D74" s="4034">
        <v>0</v>
      </c>
      <c r="E74" s="4034">
        <v>0</v>
      </c>
      <c r="F74" s="4034">
        <v>0</v>
      </c>
      <c r="G74" s="4034">
        <v>0</v>
      </c>
      <c r="H74" s="4034">
        <v>0</v>
      </c>
      <c r="I74" s="4034">
        <v>0</v>
      </c>
      <c r="J74" s="4034">
        <v>0</v>
      </c>
      <c r="K74" s="4034">
        <v>0</v>
      </c>
      <c r="L74" s="4034">
        <v>0</v>
      </c>
      <c r="M74" s="4034">
        <v>0</v>
      </c>
      <c r="N74" s="4034">
        <v>0</v>
      </c>
      <c r="O74" s="4034">
        <v>0</v>
      </c>
      <c r="P74" s="4034">
        <v>0</v>
      </c>
      <c r="Q74" s="4034">
        <v>0</v>
      </c>
      <c r="R74" s="4034">
        <v>0</v>
      </c>
      <c r="S74" s="4034">
        <v>0</v>
      </c>
      <c r="T74" s="4034">
        <v>0</v>
      </c>
      <c r="U74" s="4034">
        <v>0</v>
      </c>
      <c r="V74" s="4034">
        <v>0</v>
      </c>
      <c r="W74" s="4034">
        <v>0</v>
      </c>
      <c r="X74" s="4035">
        <f>SUM(O74:S74)</f>
        <v>0</v>
      </c>
      <c r="Y74" s="4162"/>
    </row>
    <row r="75" spans="1:119" s="3990" customFormat="1" ht="13.5" hidden="1" customHeight="1" thickBot="1">
      <c r="A75" s="4055"/>
      <c r="B75" s="4163" t="s">
        <v>21</v>
      </c>
      <c r="C75" s="4164"/>
      <c r="D75" s="4165">
        <f>+D92+D96+D101+D113</f>
        <v>0</v>
      </c>
      <c r="E75" s="4165">
        <f>+E92+E96+E101+E113</f>
        <v>0</v>
      </c>
      <c r="F75" s="4165">
        <f t="shared" ref="F75:Q75" si="49">+F92+F96+F101+F113</f>
        <v>0</v>
      </c>
      <c r="G75" s="4165">
        <f t="shared" si="49"/>
        <v>0</v>
      </c>
      <c r="H75" s="4165">
        <f t="shared" si="49"/>
        <v>0</v>
      </c>
      <c r="I75" s="4165">
        <f t="shared" si="49"/>
        <v>0</v>
      </c>
      <c r="J75" s="4165">
        <f t="shared" si="49"/>
        <v>0</v>
      </c>
      <c r="K75" s="4165">
        <f t="shared" si="49"/>
        <v>0</v>
      </c>
      <c r="L75" s="4165">
        <f t="shared" si="49"/>
        <v>0</v>
      </c>
      <c r="M75" s="4165">
        <f t="shared" si="49"/>
        <v>0</v>
      </c>
      <c r="N75" s="4165">
        <f t="shared" si="49"/>
        <v>117496</v>
      </c>
      <c r="O75" s="4165">
        <f t="shared" si="49"/>
        <v>0</v>
      </c>
      <c r="P75" s="4165">
        <f t="shared" si="49"/>
        <v>0</v>
      </c>
      <c r="Q75" s="4165">
        <f t="shared" si="49"/>
        <v>0</v>
      </c>
      <c r="R75" s="4165">
        <f>+R92+R96+R101+R113</f>
        <v>0</v>
      </c>
      <c r="S75" s="4165">
        <f t="shared" ref="S75:W75" si="50">+S92+S96+S101+S113</f>
        <v>0</v>
      </c>
      <c r="T75" s="4165">
        <f t="shared" si="50"/>
        <v>0</v>
      </c>
      <c r="U75" s="4165">
        <f t="shared" si="50"/>
        <v>0</v>
      </c>
      <c r="V75" s="4165">
        <f t="shared" si="50"/>
        <v>0</v>
      </c>
      <c r="W75" s="4165">
        <f t="shared" si="50"/>
        <v>0</v>
      </c>
      <c r="X75" s="4035">
        <f>SUM(P75:S75)</f>
        <v>0</v>
      </c>
      <c r="Y75" s="4162"/>
    </row>
    <row r="76" spans="1:119" s="4157" customFormat="1" ht="13.5" hidden="1" customHeight="1">
      <c r="A76" s="4055"/>
      <c r="B76" s="4166" t="s">
        <v>22</v>
      </c>
      <c r="C76" s="4167"/>
      <c r="D76" s="4168">
        <f>D77+D81</f>
        <v>0</v>
      </c>
      <c r="E76" s="4168">
        <f>+E77+E81</f>
        <v>0</v>
      </c>
      <c r="F76" s="4168">
        <f t="shared" ref="F76:W76" si="51">+F77+F81</f>
        <v>0</v>
      </c>
      <c r="G76" s="4168">
        <f t="shared" si="51"/>
        <v>0</v>
      </c>
      <c r="H76" s="4168">
        <f t="shared" si="51"/>
        <v>0</v>
      </c>
      <c r="I76" s="4168">
        <f t="shared" si="51"/>
        <v>0</v>
      </c>
      <c r="J76" s="4168">
        <f t="shared" si="51"/>
        <v>0</v>
      </c>
      <c r="K76" s="4168">
        <f t="shared" si="51"/>
        <v>0</v>
      </c>
      <c r="L76" s="4168">
        <f t="shared" si="51"/>
        <v>0</v>
      </c>
      <c r="M76" s="4168">
        <f>+M77+M81</f>
        <v>0</v>
      </c>
      <c r="N76" s="4168">
        <f>+N77+N81</f>
        <v>117496</v>
      </c>
      <c r="O76" s="4168">
        <f>+O77+O81</f>
        <v>0</v>
      </c>
      <c r="P76" s="4168">
        <f t="shared" si="51"/>
        <v>0</v>
      </c>
      <c r="Q76" s="4168">
        <f t="shared" si="51"/>
        <v>0</v>
      </c>
      <c r="R76" s="4168">
        <f t="shared" si="51"/>
        <v>0</v>
      </c>
      <c r="S76" s="4168">
        <f t="shared" si="51"/>
        <v>0</v>
      </c>
      <c r="T76" s="4168">
        <f t="shared" si="51"/>
        <v>0</v>
      </c>
      <c r="U76" s="4168">
        <f t="shared" si="51"/>
        <v>0</v>
      </c>
      <c r="V76" s="4168">
        <f t="shared" si="51"/>
        <v>0</v>
      </c>
      <c r="W76" s="4168">
        <f t="shared" si="51"/>
        <v>0</v>
      </c>
      <c r="X76" s="4169">
        <f>+X77</f>
        <v>0</v>
      </c>
      <c r="Y76" s="4161"/>
      <c r="Z76" s="4156"/>
      <c r="AA76" s="4156"/>
      <c r="AB76" s="4156"/>
      <c r="AC76" s="4156"/>
      <c r="AD76" s="4156"/>
      <c r="AE76" s="4156"/>
      <c r="AF76" s="4156"/>
      <c r="AG76" s="4156"/>
      <c r="AH76" s="4156"/>
      <c r="AI76" s="4156"/>
      <c r="AJ76" s="4156"/>
      <c r="AK76" s="4156"/>
      <c r="AL76" s="4156"/>
      <c r="AM76" s="4156"/>
      <c r="AN76" s="4156"/>
      <c r="AO76" s="4156"/>
      <c r="AP76" s="4156"/>
      <c r="AQ76" s="4156"/>
      <c r="AR76" s="4156"/>
      <c r="AS76" s="4156"/>
      <c r="AT76" s="4156"/>
      <c r="AU76" s="4156"/>
      <c r="AV76" s="4156"/>
      <c r="AW76" s="4156"/>
      <c r="AX76" s="4156"/>
      <c r="AY76" s="4156"/>
      <c r="AZ76" s="4156"/>
      <c r="BA76" s="4156"/>
      <c r="BB76" s="4156"/>
      <c r="BC76" s="4156"/>
      <c r="BD76" s="4156"/>
      <c r="BE76" s="4156"/>
      <c r="BF76" s="4156"/>
      <c r="BG76" s="4156"/>
      <c r="BH76" s="4156"/>
      <c r="BI76" s="4156"/>
      <c r="BJ76" s="4156"/>
      <c r="BK76" s="4156"/>
      <c r="BL76" s="4156"/>
      <c r="BM76" s="4156"/>
      <c r="BN76" s="4156"/>
      <c r="BO76" s="4156"/>
      <c r="BP76" s="4156"/>
      <c r="BQ76" s="4156"/>
      <c r="BR76" s="4156"/>
      <c r="BS76" s="4156"/>
      <c r="BT76" s="4156"/>
      <c r="BU76" s="4156"/>
      <c r="BV76" s="4156"/>
      <c r="BW76" s="4156"/>
      <c r="BX76" s="4156"/>
      <c r="BY76" s="4156"/>
      <c r="BZ76" s="4156"/>
      <c r="CA76" s="4156"/>
      <c r="CB76" s="4156"/>
      <c r="CC76" s="4156"/>
      <c r="CD76" s="4156"/>
      <c r="CE76" s="4156"/>
      <c r="CF76" s="4156"/>
      <c r="CG76" s="4156"/>
      <c r="CH76" s="4156"/>
      <c r="CI76" s="4156"/>
      <c r="CJ76" s="4156"/>
      <c r="CK76" s="4156"/>
      <c r="CL76" s="4156"/>
      <c r="CM76" s="4156"/>
      <c r="CN76" s="4156"/>
      <c r="CO76" s="4156"/>
      <c r="CP76" s="4156"/>
      <c r="CQ76" s="4156"/>
      <c r="CR76" s="4156"/>
      <c r="CS76" s="4156"/>
      <c r="CT76" s="4156"/>
      <c r="CU76" s="4156"/>
      <c r="CV76" s="4156"/>
      <c r="CW76" s="4156"/>
      <c r="CX76" s="4156"/>
      <c r="CY76" s="4156"/>
      <c r="CZ76" s="4156"/>
      <c r="DA76" s="4156"/>
      <c r="DB76" s="4156"/>
      <c r="DC76" s="4156"/>
      <c r="DD76" s="4156"/>
      <c r="DE76" s="4156"/>
      <c r="DF76" s="4156"/>
      <c r="DG76" s="4156"/>
      <c r="DH76" s="4156"/>
      <c r="DI76" s="4156"/>
      <c r="DJ76" s="4156"/>
      <c r="DK76" s="4156"/>
      <c r="DL76" s="4156"/>
      <c r="DM76" s="4156"/>
      <c r="DN76" s="4156"/>
      <c r="DO76" s="4156"/>
    </row>
    <row r="77" spans="1:119" s="4157" customFormat="1" ht="13.5" hidden="1" customHeight="1">
      <c r="A77" s="4055"/>
      <c r="B77" s="4170" t="s">
        <v>23</v>
      </c>
      <c r="C77" s="4171"/>
      <c r="D77" s="4171">
        <f>+D78+D79+D80</f>
        <v>0</v>
      </c>
      <c r="E77" s="4171">
        <f t="shared" ref="E77:W77" si="52">+E78+E79+E80</f>
        <v>0</v>
      </c>
      <c r="F77" s="4171">
        <f t="shared" si="52"/>
        <v>0</v>
      </c>
      <c r="G77" s="4171">
        <f t="shared" si="52"/>
        <v>0</v>
      </c>
      <c r="H77" s="4171">
        <f t="shared" si="52"/>
        <v>0</v>
      </c>
      <c r="I77" s="4171">
        <f t="shared" si="52"/>
        <v>0</v>
      </c>
      <c r="J77" s="4171">
        <f t="shared" si="52"/>
        <v>0</v>
      </c>
      <c r="K77" s="4171">
        <f t="shared" si="52"/>
        <v>0</v>
      </c>
      <c r="L77" s="4171">
        <f t="shared" si="52"/>
        <v>0</v>
      </c>
      <c r="M77" s="4171">
        <f t="shared" si="52"/>
        <v>0</v>
      </c>
      <c r="N77" s="4171">
        <f>+N78+N79+N80</f>
        <v>117496</v>
      </c>
      <c r="O77" s="4171">
        <f t="shared" si="52"/>
        <v>0</v>
      </c>
      <c r="P77" s="4171">
        <f t="shared" si="52"/>
        <v>0</v>
      </c>
      <c r="Q77" s="4171">
        <f t="shared" si="52"/>
        <v>0</v>
      </c>
      <c r="R77" s="4171">
        <f t="shared" si="52"/>
        <v>0</v>
      </c>
      <c r="S77" s="4171">
        <f t="shared" si="52"/>
        <v>0</v>
      </c>
      <c r="T77" s="4171">
        <f t="shared" si="52"/>
        <v>0</v>
      </c>
      <c r="U77" s="4171">
        <f t="shared" si="52"/>
        <v>0</v>
      </c>
      <c r="V77" s="4171">
        <f t="shared" si="52"/>
        <v>0</v>
      </c>
      <c r="W77" s="4171">
        <f t="shared" si="52"/>
        <v>0</v>
      </c>
      <c r="X77" s="4172">
        <f>+X80+X79</f>
        <v>0</v>
      </c>
      <c r="Y77" s="4162"/>
      <c r="Z77" s="4173"/>
      <c r="AA77" s="4156"/>
      <c r="AB77" s="4156"/>
      <c r="AC77" s="4156"/>
      <c r="AD77" s="4156"/>
      <c r="AE77" s="4156"/>
      <c r="AF77" s="4156"/>
      <c r="AG77" s="4156"/>
      <c r="AH77" s="4156"/>
      <c r="AI77" s="4156"/>
      <c r="AJ77" s="4156"/>
      <c r="AK77" s="4156"/>
      <c r="AL77" s="4156"/>
      <c r="AM77" s="4156"/>
      <c r="AN77" s="4156"/>
      <c r="AO77" s="4156"/>
      <c r="AP77" s="4156"/>
      <c r="AQ77" s="4156"/>
      <c r="AR77" s="4156"/>
      <c r="AS77" s="4156"/>
      <c r="AT77" s="4156"/>
      <c r="AU77" s="4156"/>
      <c r="AV77" s="4156"/>
      <c r="AW77" s="4156"/>
      <c r="AX77" s="4156"/>
      <c r="AY77" s="4156"/>
      <c r="AZ77" s="4156"/>
      <c r="BA77" s="4156"/>
      <c r="BB77" s="4156"/>
      <c r="BC77" s="4156"/>
      <c r="BD77" s="4156"/>
      <c r="BE77" s="4156"/>
      <c r="BF77" s="4156"/>
      <c r="BG77" s="4156"/>
      <c r="BH77" s="4156"/>
      <c r="BI77" s="4156"/>
      <c r="BJ77" s="4156"/>
      <c r="BK77" s="4156"/>
      <c r="BL77" s="4156"/>
      <c r="BM77" s="4156"/>
      <c r="BN77" s="4156"/>
      <c r="BO77" s="4156"/>
      <c r="BP77" s="4156"/>
      <c r="BQ77" s="4156"/>
      <c r="BR77" s="4156"/>
      <c r="BS77" s="4156"/>
      <c r="BT77" s="4156"/>
      <c r="BU77" s="4156"/>
      <c r="BV77" s="4156"/>
      <c r="BW77" s="4156"/>
      <c r="BX77" s="4156"/>
      <c r="BY77" s="4156"/>
      <c r="BZ77" s="4156"/>
      <c r="CA77" s="4156"/>
      <c r="CB77" s="4156"/>
      <c r="CC77" s="4156"/>
      <c r="CD77" s="4156"/>
      <c r="CE77" s="4156"/>
      <c r="CF77" s="4156"/>
      <c r="CG77" s="4156"/>
      <c r="CH77" s="4156"/>
      <c r="CI77" s="4156"/>
      <c r="CJ77" s="4156"/>
      <c r="CK77" s="4156"/>
      <c r="CL77" s="4156"/>
      <c r="CM77" s="4156"/>
      <c r="CN77" s="4156"/>
      <c r="CO77" s="4156"/>
      <c r="CP77" s="4156"/>
      <c r="CQ77" s="4156"/>
      <c r="CR77" s="4156"/>
      <c r="CS77" s="4156"/>
      <c r="CT77" s="4156"/>
      <c r="CU77" s="4156"/>
      <c r="CV77" s="4156"/>
      <c r="CW77" s="4156"/>
      <c r="CX77" s="4156"/>
      <c r="CY77" s="4156"/>
      <c r="CZ77" s="4156"/>
      <c r="DA77" s="4156"/>
      <c r="DB77" s="4156"/>
      <c r="DC77" s="4156"/>
      <c r="DD77" s="4156"/>
      <c r="DE77" s="4156"/>
      <c r="DF77" s="4156"/>
      <c r="DG77" s="4156"/>
      <c r="DH77" s="4156"/>
      <c r="DI77" s="4156"/>
      <c r="DJ77" s="4156"/>
      <c r="DK77" s="4156"/>
      <c r="DL77" s="4156"/>
      <c r="DM77" s="4156"/>
      <c r="DN77" s="4156"/>
      <c r="DO77" s="4156"/>
    </row>
    <row r="78" spans="1:119" s="4157" customFormat="1" ht="13.5" hidden="1" customHeight="1">
      <c r="A78" s="4055"/>
      <c r="B78" s="4174" t="s">
        <v>172</v>
      </c>
      <c r="C78" s="4175"/>
      <c r="D78" s="4175">
        <f>+D100</f>
        <v>0</v>
      </c>
      <c r="E78" s="4175">
        <f t="shared" ref="E78:Q78" si="53">+E100</f>
        <v>0</v>
      </c>
      <c r="F78" s="4175">
        <f t="shared" si="53"/>
        <v>0</v>
      </c>
      <c r="G78" s="4175">
        <f t="shared" si="53"/>
        <v>0</v>
      </c>
      <c r="H78" s="4175">
        <f t="shared" si="53"/>
        <v>0</v>
      </c>
      <c r="I78" s="4175">
        <f t="shared" si="53"/>
        <v>0</v>
      </c>
      <c r="J78" s="4175">
        <f t="shared" si="53"/>
        <v>0</v>
      </c>
      <c r="K78" s="4175">
        <f t="shared" si="53"/>
        <v>0</v>
      </c>
      <c r="L78" s="4175">
        <f t="shared" si="53"/>
        <v>0</v>
      </c>
      <c r="M78" s="4175">
        <f t="shared" si="53"/>
        <v>0</v>
      </c>
      <c r="N78" s="4175">
        <f t="shared" si="53"/>
        <v>0</v>
      </c>
      <c r="O78" s="4175">
        <f t="shared" si="53"/>
        <v>0</v>
      </c>
      <c r="P78" s="4175">
        <f t="shared" si="53"/>
        <v>0</v>
      </c>
      <c r="Q78" s="4175">
        <f t="shared" si="53"/>
        <v>0</v>
      </c>
      <c r="R78" s="4175">
        <v>0</v>
      </c>
      <c r="S78" s="4175">
        <v>0</v>
      </c>
      <c r="T78" s="4175">
        <v>0</v>
      </c>
      <c r="U78" s="4175">
        <v>0</v>
      </c>
      <c r="V78" s="4175">
        <v>0</v>
      </c>
      <c r="W78" s="4175">
        <v>0</v>
      </c>
      <c r="X78" s="4176" t="s">
        <v>77</v>
      </c>
      <c r="Y78" s="4162"/>
      <c r="Z78" s="4173"/>
      <c r="AA78" s="4156"/>
      <c r="AB78" s="4156"/>
      <c r="AC78" s="4156"/>
      <c r="AD78" s="4156"/>
      <c r="AE78" s="4156"/>
      <c r="AF78" s="4156"/>
      <c r="AG78" s="4156"/>
      <c r="AH78" s="4156"/>
      <c r="AI78" s="4156"/>
      <c r="AJ78" s="4156"/>
      <c r="AK78" s="4156"/>
      <c r="AL78" s="4156"/>
      <c r="AM78" s="4156"/>
      <c r="AN78" s="4156"/>
      <c r="AO78" s="4156"/>
      <c r="AP78" s="4156"/>
      <c r="AQ78" s="4156"/>
      <c r="AR78" s="4156"/>
      <c r="AS78" s="4156"/>
      <c r="AT78" s="4156"/>
      <c r="AU78" s="4156"/>
      <c r="AV78" s="4156"/>
      <c r="AW78" s="4156"/>
      <c r="AX78" s="4156"/>
      <c r="AY78" s="4156"/>
      <c r="AZ78" s="4156"/>
      <c r="BA78" s="4156"/>
      <c r="BB78" s="4156"/>
      <c r="BC78" s="4156"/>
      <c r="BD78" s="4156"/>
      <c r="BE78" s="4156"/>
      <c r="BF78" s="4156"/>
      <c r="BG78" s="4156"/>
      <c r="BH78" s="4156"/>
      <c r="BI78" s="4156"/>
      <c r="BJ78" s="4156"/>
      <c r="BK78" s="4156"/>
      <c r="BL78" s="4156"/>
      <c r="BM78" s="4156"/>
      <c r="BN78" s="4156"/>
      <c r="BO78" s="4156"/>
      <c r="BP78" s="4156"/>
      <c r="BQ78" s="4156"/>
      <c r="BR78" s="4156"/>
      <c r="BS78" s="4156"/>
      <c r="BT78" s="4156"/>
      <c r="BU78" s="4156"/>
      <c r="BV78" s="4156"/>
      <c r="BW78" s="4156"/>
      <c r="BX78" s="4156"/>
      <c r="BY78" s="4156"/>
      <c r="BZ78" s="4156"/>
      <c r="CA78" s="4156"/>
      <c r="CB78" s="4156"/>
      <c r="CC78" s="4156"/>
      <c r="CD78" s="4156"/>
      <c r="CE78" s="4156"/>
      <c r="CF78" s="4156"/>
      <c r="CG78" s="4156"/>
      <c r="CH78" s="4156"/>
      <c r="CI78" s="4156"/>
      <c r="CJ78" s="4156"/>
      <c r="CK78" s="4156"/>
      <c r="CL78" s="4156"/>
      <c r="CM78" s="4156"/>
      <c r="CN78" s="4156"/>
      <c r="CO78" s="4156"/>
      <c r="CP78" s="4156"/>
      <c r="CQ78" s="4156"/>
      <c r="CR78" s="4156"/>
      <c r="CS78" s="4156"/>
      <c r="CT78" s="4156"/>
      <c r="CU78" s="4156"/>
      <c r="CV78" s="4156"/>
      <c r="CW78" s="4156"/>
      <c r="CX78" s="4156"/>
      <c r="CY78" s="4156"/>
      <c r="CZ78" s="4156"/>
      <c r="DA78" s="4156"/>
      <c r="DB78" s="4156"/>
      <c r="DC78" s="4156"/>
      <c r="DD78" s="4156"/>
      <c r="DE78" s="4156"/>
      <c r="DF78" s="4156"/>
      <c r="DG78" s="4156"/>
      <c r="DH78" s="4156"/>
      <c r="DI78" s="4156"/>
      <c r="DJ78" s="4156"/>
      <c r="DK78" s="4156"/>
      <c r="DL78" s="4156"/>
      <c r="DM78" s="4156"/>
      <c r="DN78" s="4156"/>
      <c r="DO78" s="4156"/>
    </row>
    <row r="79" spans="1:119" s="4157" customFormat="1" ht="13.5" hidden="1" customHeight="1">
      <c r="A79" s="4055"/>
      <c r="B79" s="4174" t="s">
        <v>173</v>
      </c>
      <c r="C79" s="4175"/>
      <c r="D79" s="4175">
        <f>+D101+D113</f>
        <v>0</v>
      </c>
      <c r="E79" s="4175">
        <f t="shared" ref="E79:T79" si="54">+E101+E113</f>
        <v>0</v>
      </c>
      <c r="F79" s="4175">
        <f t="shared" si="54"/>
        <v>0</v>
      </c>
      <c r="G79" s="4175">
        <f t="shared" si="54"/>
        <v>0</v>
      </c>
      <c r="H79" s="4175">
        <f t="shared" si="54"/>
        <v>0</v>
      </c>
      <c r="I79" s="4175">
        <f t="shared" si="54"/>
        <v>0</v>
      </c>
      <c r="J79" s="4175">
        <f t="shared" si="54"/>
        <v>0</v>
      </c>
      <c r="K79" s="4175">
        <f>+K101+K113</f>
        <v>0</v>
      </c>
      <c r="L79" s="4175">
        <f t="shared" si="54"/>
        <v>0</v>
      </c>
      <c r="M79" s="4175">
        <f t="shared" si="54"/>
        <v>0</v>
      </c>
      <c r="N79" s="4175">
        <f t="shared" si="54"/>
        <v>117496</v>
      </c>
      <c r="O79" s="4175">
        <f t="shared" si="54"/>
        <v>0</v>
      </c>
      <c r="P79" s="4175">
        <f t="shared" si="54"/>
        <v>0</v>
      </c>
      <c r="Q79" s="4175">
        <f t="shared" si="54"/>
        <v>0</v>
      </c>
      <c r="R79" s="4175">
        <f t="shared" si="54"/>
        <v>0</v>
      </c>
      <c r="S79" s="4175">
        <f t="shared" si="54"/>
        <v>0</v>
      </c>
      <c r="T79" s="4175">
        <f t="shared" si="54"/>
        <v>0</v>
      </c>
      <c r="U79" s="4175">
        <v>0</v>
      </c>
      <c r="V79" s="4175">
        <v>0</v>
      </c>
      <c r="W79" s="4175">
        <v>0</v>
      </c>
      <c r="X79" s="4058">
        <f>+T79+S79+R79+Q79+P79</f>
        <v>0</v>
      </c>
      <c r="Y79" s="4162"/>
      <c r="Z79" s="4173"/>
      <c r="AA79" s="4156"/>
      <c r="AB79" s="4156"/>
      <c r="AC79" s="4156"/>
      <c r="AD79" s="4156"/>
      <c r="AE79" s="4156"/>
      <c r="AF79" s="4156"/>
      <c r="AG79" s="4156"/>
      <c r="AH79" s="4156"/>
      <c r="AI79" s="4156"/>
      <c r="AJ79" s="4156"/>
      <c r="AK79" s="4156"/>
      <c r="AL79" s="4156"/>
      <c r="AM79" s="4156"/>
      <c r="AN79" s="4156"/>
      <c r="AO79" s="4156"/>
      <c r="AP79" s="4156"/>
      <c r="AQ79" s="4156"/>
      <c r="AR79" s="4156"/>
      <c r="AS79" s="4156"/>
      <c r="AT79" s="4156"/>
      <c r="AU79" s="4156"/>
      <c r="AV79" s="4156"/>
      <c r="AW79" s="4156"/>
      <c r="AX79" s="4156"/>
      <c r="AY79" s="4156"/>
      <c r="AZ79" s="4156"/>
      <c r="BA79" s="4156"/>
      <c r="BB79" s="4156"/>
      <c r="BC79" s="4156"/>
      <c r="BD79" s="4156"/>
      <c r="BE79" s="4156"/>
      <c r="BF79" s="4156"/>
      <c r="BG79" s="4156"/>
      <c r="BH79" s="4156"/>
      <c r="BI79" s="4156"/>
      <c r="BJ79" s="4156"/>
      <c r="BK79" s="4156"/>
      <c r="BL79" s="4156"/>
      <c r="BM79" s="4156"/>
      <c r="BN79" s="4156"/>
      <c r="BO79" s="4156"/>
      <c r="BP79" s="4156"/>
      <c r="BQ79" s="4156"/>
      <c r="BR79" s="4156"/>
      <c r="BS79" s="4156"/>
      <c r="BT79" s="4156"/>
      <c r="BU79" s="4156"/>
      <c r="BV79" s="4156"/>
      <c r="BW79" s="4156"/>
      <c r="BX79" s="4156"/>
      <c r="BY79" s="4156"/>
      <c r="BZ79" s="4156"/>
      <c r="CA79" s="4156"/>
      <c r="CB79" s="4156"/>
      <c r="CC79" s="4156"/>
      <c r="CD79" s="4156"/>
      <c r="CE79" s="4156"/>
      <c r="CF79" s="4156"/>
      <c r="CG79" s="4156"/>
      <c r="CH79" s="4156"/>
      <c r="CI79" s="4156"/>
      <c r="CJ79" s="4156"/>
      <c r="CK79" s="4156"/>
      <c r="CL79" s="4156"/>
      <c r="CM79" s="4156"/>
      <c r="CN79" s="4156"/>
      <c r="CO79" s="4156"/>
      <c r="CP79" s="4156"/>
      <c r="CQ79" s="4156"/>
      <c r="CR79" s="4156"/>
      <c r="CS79" s="4156"/>
      <c r="CT79" s="4156"/>
      <c r="CU79" s="4156"/>
      <c r="CV79" s="4156"/>
      <c r="CW79" s="4156"/>
      <c r="CX79" s="4156"/>
      <c r="CY79" s="4156"/>
      <c r="CZ79" s="4156"/>
      <c r="DA79" s="4156"/>
      <c r="DB79" s="4156"/>
      <c r="DC79" s="4156"/>
      <c r="DD79" s="4156"/>
      <c r="DE79" s="4156"/>
      <c r="DF79" s="4156"/>
      <c r="DG79" s="4156"/>
      <c r="DH79" s="4156"/>
      <c r="DI79" s="4156"/>
      <c r="DJ79" s="4156"/>
      <c r="DK79" s="4156"/>
      <c r="DL79" s="4156"/>
      <c r="DM79" s="4156"/>
      <c r="DN79" s="4156"/>
      <c r="DO79" s="4156"/>
    </row>
    <row r="80" spans="1:119" s="4181" customFormat="1" ht="13.5" hidden="1" customHeight="1">
      <c r="A80" s="4026"/>
      <c r="B80" s="4177" t="s">
        <v>24</v>
      </c>
      <c r="C80" s="4178"/>
      <c r="D80" s="4178">
        <f>+D92+D96</f>
        <v>0</v>
      </c>
      <c r="E80" s="4178">
        <f t="shared" ref="E80:Q80" si="55">+E92+E96</f>
        <v>0</v>
      </c>
      <c r="F80" s="4178">
        <f t="shared" si="55"/>
        <v>0</v>
      </c>
      <c r="G80" s="4178">
        <f t="shared" si="55"/>
        <v>0</v>
      </c>
      <c r="H80" s="4178">
        <f t="shared" si="55"/>
        <v>0</v>
      </c>
      <c r="I80" s="4178">
        <f t="shared" si="55"/>
        <v>0</v>
      </c>
      <c r="J80" s="4178">
        <f t="shared" si="55"/>
        <v>0</v>
      </c>
      <c r="K80" s="4178">
        <f t="shared" si="55"/>
        <v>0</v>
      </c>
      <c r="L80" s="4178">
        <f t="shared" si="55"/>
        <v>0</v>
      </c>
      <c r="M80" s="4178">
        <f t="shared" si="55"/>
        <v>0</v>
      </c>
      <c r="N80" s="4178">
        <f t="shared" si="55"/>
        <v>0</v>
      </c>
      <c r="O80" s="4178">
        <f t="shared" si="55"/>
        <v>0</v>
      </c>
      <c r="P80" s="4178">
        <f t="shared" si="55"/>
        <v>0</v>
      </c>
      <c r="Q80" s="4178">
        <f t="shared" si="55"/>
        <v>0</v>
      </c>
      <c r="R80" s="4178">
        <v>0</v>
      </c>
      <c r="S80" s="4178">
        <v>0</v>
      </c>
      <c r="T80" s="4178">
        <v>0</v>
      </c>
      <c r="U80" s="4178"/>
      <c r="V80" s="4178"/>
      <c r="W80" s="4178"/>
      <c r="X80" s="4179">
        <f>SUM(O80:R80)</f>
        <v>0</v>
      </c>
      <c r="Y80" s="4162"/>
      <c r="Z80" s="4180"/>
      <c r="AA80" s="4180"/>
      <c r="AB80" s="4180"/>
      <c r="AC80" s="4180"/>
      <c r="AD80" s="4180"/>
      <c r="AE80" s="4180"/>
      <c r="AF80" s="4180"/>
      <c r="AG80" s="4180"/>
      <c r="AH80" s="4180"/>
      <c r="AI80" s="4180"/>
      <c r="AJ80" s="4180"/>
      <c r="AK80" s="4180"/>
      <c r="AL80" s="4180"/>
      <c r="AM80" s="4180"/>
      <c r="AN80" s="4180"/>
      <c r="AO80" s="4180"/>
      <c r="AP80" s="4180"/>
      <c r="AQ80" s="4180"/>
      <c r="AR80" s="4180"/>
      <c r="AS80" s="4180"/>
      <c r="AT80" s="4180"/>
      <c r="AU80" s="4180"/>
      <c r="AV80" s="4180"/>
      <c r="AW80" s="4180"/>
      <c r="AX80" s="4180"/>
      <c r="AY80" s="4180"/>
      <c r="AZ80" s="4180"/>
      <c r="BA80" s="4180"/>
      <c r="BB80" s="4180"/>
      <c r="BC80" s="4180"/>
      <c r="BD80" s="4180"/>
      <c r="BE80" s="4180"/>
      <c r="BF80" s="4180"/>
      <c r="BG80" s="4180"/>
      <c r="BH80" s="4180"/>
      <c r="BI80" s="4180"/>
      <c r="BJ80" s="4180"/>
      <c r="BK80" s="4180"/>
      <c r="BL80" s="4180"/>
      <c r="BM80" s="4180"/>
      <c r="BN80" s="4180"/>
      <c r="BO80" s="4180"/>
      <c r="BP80" s="4180"/>
      <c r="BQ80" s="4180"/>
      <c r="BR80" s="4180"/>
      <c r="BS80" s="4180"/>
      <c r="BT80" s="4180"/>
      <c r="BU80" s="4180"/>
      <c r="BV80" s="4180"/>
      <c r="BW80" s="4180"/>
      <c r="BX80" s="4180"/>
      <c r="BY80" s="4180"/>
      <c r="BZ80" s="4180"/>
      <c r="CA80" s="4180"/>
      <c r="CB80" s="4180"/>
      <c r="CC80" s="4180"/>
      <c r="CD80" s="4180"/>
      <c r="CE80" s="4180"/>
      <c r="CF80" s="4180"/>
      <c r="CG80" s="4180"/>
      <c r="CH80" s="4180"/>
      <c r="CI80" s="4180"/>
      <c r="CJ80" s="4180"/>
      <c r="CK80" s="4180"/>
      <c r="CL80" s="4180"/>
      <c r="CM80" s="4180"/>
      <c r="CN80" s="4180"/>
      <c r="CO80" s="4180"/>
      <c r="CP80" s="4180"/>
      <c r="CQ80" s="4180"/>
      <c r="CR80" s="4180"/>
      <c r="CS80" s="4180"/>
      <c r="CT80" s="4180"/>
      <c r="CU80" s="4180"/>
      <c r="CV80" s="4180"/>
      <c r="CW80" s="4180"/>
      <c r="CX80" s="4180"/>
      <c r="CY80" s="4180"/>
      <c r="CZ80" s="4180"/>
      <c r="DA80" s="4180"/>
      <c r="DB80" s="4180"/>
      <c r="DC80" s="4180"/>
      <c r="DD80" s="4180"/>
      <c r="DE80" s="4180"/>
      <c r="DF80" s="4180"/>
      <c r="DG80" s="4180"/>
      <c r="DH80" s="4180"/>
      <c r="DI80" s="4180"/>
      <c r="DJ80" s="4180"/>
      <c r="DK80" s="4180"/>
      <c r="DL80" s="4180"/>
      <c r="DM80" s="4180"/>
      <c r="DN80" s="4180"/>
      <c r="DO80" s="4180"/>
    </row>
    <row r="81" spans="1:119" s="4157" customFormat="1" ht="13.5" hidden="1" customHeight="1">
      <c r="A81" s="4055"/>
      <c r="B81" s="4170" t="s">
        <v>30</v>
      </c>
      <c r="C81" s="4182"/>
      <c r="D81" s="4183">
        <f t="shared" ref="D81" si="56">D82</f>
        <v>0</v>
      </c>
      <c r="E81" s="4183"/>
      <c r="F81" s="4183"/>
      <c r="G81" s="4183"/>
      <c r="H81" s="4183"/>
      <c r="I81" s="4183"/>
      <c r="J81" s="4183"/>
      <c r="K81" s="4183">
        <f t="shared" ref="K81:W81" si="57">K82</f>
        <v>0</v>
      </c>
      <c r="L81" s="4183">
        <f t="shared" si="57"/>
        <v>0</v>
      </c>
      <c r="M81" s="4183">
        <f t="shared" si="57"/>
        <v>0</v>
      </c>
      <c r="N81" s="4183">
        <f t="shared" si="57"/>
        <v>0</v>
      </c>
      <c r="O81" s="4183">
        <f t="shared" si="57"/>
        <v>0</v>
      </c>
      <c r="P81" s="4183">
        <f t="shared" si="57"/>
        <v>0</v>
      </c>
      <c r="Q81" s="4183">
        <f t="shared" si="57"/>
        <v>0</v>
      </c>
      <c r="R81" s="4182">
        <f t="shared" si="57"/>
        <v>0</v>
      </c>
      <c r="S81" s="4182">
        <f t="shared" si="57"/>
        <v>0</v>
      </c>
      <c r="T81" s="4182">
        <f t="shared" si="57"/>
        <v>0</v>
      </c>
      <c r="U81" s="4182">
        <f t="shared" si="57"/>
        <v>0</v>
      </c>
      <c r="V81" s="4182">
        <f t="shared" si="57"/>
        <v>0</v>
      </c>
      <c r="W81" s="4182">
        <f t="shared" si="57"/>
        <v>0</v>
      </c>
      <c r="X81" s="4184" t="s">
        <v>77</v>
      </c>
      <c r="Y81" s="4185"/>
      <c r="Z81" s="4156"/>
      <c r="AA81" s="4156"/>
      <c r="AB81" s="4156"/>
      <c r="AC81" s="4156"/>
      <c r="AD81" s="4156"/>
      <c r="AE81" s="4156"/>
      <c r="AF81" s="4156"/>
      <c r="AG81" s="4156"/>
      <c r="AH81" s="4156"/>
      <c r="AI81" s="4156"/>
      <c r="AJ81" s="4156"/>
      <c r="AK81" s="4156"/>
      <c r="AL81" s="4156"/>
      <c r="AM81" s="4156"/>
      <c r="AN81" s="4156"/>
      <c r="AO81" s="4156"/>
      <c r="AP81" s="4156"/>
      <c r="AQ81" s="4156"/>
      <c r="AR81" s="4156"/>
      <c r="AS81" s="4156"/>
      <c r="AT81" s="4156"/>
      <c r="AU81" s="4156"/>
      <c r="AV81" s="4156"/>
      <c r="AW81" s="4156"/>
      <c r="AX81" s="4156"/>
      <c r="AY81" s="4156"/>
      <c r="AZ81" s="4156"/>
      <c r="BA81" s="4156"/>
      <c r="BB81" s="4156"/>
      <c r="BC81" s="4156"/>
      <c r="BD81" s="4156"/>
      <c r="BE81" s="4156"/>
      <c r="BF81" s="4156"/>
      <c r="BG81" s="4156"/>
      <c r="BH81" s="4156"/>
      <c r="BI81" s="4156"/>
      <c r="BJ81" s="4156"/>
      <c r="BK81" s="4156"/>
      <c r="BL81" s="4156"/>
      <c r="BM81" s="4156"/>
      <c r="BN81" s="4156"/>
      <c r="BO81" s="4156"/>
      <c r="BP81" s="4156"/>
      <c r="BQ81" s="4156"/>
      <c r="BR81" s="4156"/>
      <c r="BS81" s="4156"/>
      <c r="BT81" s="4156"/>
      <c r="BU81" s="4156"/>
      <c r="BV81" s="4156"/>
      <c r="BW81" s="4156"/>
      <c r="BX81" s="4156"/>
      <c r="BY81" s="4156"/>
      <c r="BZ81" s="4156"/>
      <c r="CA81" s="4156"/>
      <c r="CB81" s="4156"/>
      <c r="CC81" s="4156"/>
      <c r="CD81" s="4156"/>
      <c r="CE81" s="4156"/>
      <c r="CF81" s="4156"/>
      <c r="CG81" s="4156"/>
      <c r="CH81" s="4156"/>
      <c r="CI81" s="4156"/>
      <c r="CJ81" s="4156"/>
      <c r="CK81" s="4156"/>
      <c r="CL81" s="4156"/>
      <c r="CM81" s="4156"/>
      <c r="CN81" s="4156"/>
      <c r="CO81" s="4156"/>
      <c r="CP81" s="4156"/>
      <c r="CQ81" s="4156"/>
      <c r="CR81" s="4156"/>
      <c r="CS81" s="4156"/>
      <c r="CT81" s="4156"/>
      <c r="CU81" s="4156"/>
      <c r="CV81" s="4156"/>
      <c r="CW81" s="4156"/>
      <c r="CX81" s="4156"/>
      <c r="CY81" s="4156"/>
      <c r="CZ81" s="4156"/>
      <c r="DA81" s="4156"/>
      <c r="DB81" s="4156"/>
      <c r="DC81" s="4156"/>
      <c r="DD81" s="4156"/>
      <c r="DE81" s="4156"/>
      <c r="DF81" s="4156"/>
      <c r="DG81" s="4156"/>
      <c r="DH81" s="4156"/>
      <c r="DI81" s="4156"/>
      <c r="DJ81" s="4156"/>
      <c r="DK81" s="4156"/>
      <c r="DL81" s="4156"/>
      <c r="DM81" s="4156"/>
      <c r="DN81" s="4156"/>
      <c r="DO81" s="4156"/>
    </row>
    <row r="82" spans="1:119" s="4157" customFormat="1" ht="13.5" hidden="1" customHeight="1">
      <c r="A82" s="4055"/>
      <c r="B82" s="4174" t="s">
        <v>48</v>
      </c>
      <c r="C82" s="4175"/>
      <c r="D82" s="4186">
        <f>D103</f>
        <v>0</v>
      </c>
      <c r="E82" s="4186"/>
      <c r="F82" s="4186"/>
      <c r="G82" s="4186"/>
      <c r="H82" s="4186"/>
      <c r="I82" s="4186"/>
      <c r="J82" s="4186"/>
      <c r="K82" s="4186">
        <f t="shared" ref="K82:P82" si="58">K103</f>
        <v>0</v>
      </c>
      <c r="L82" s="4186">
        <f t="shared" si="58"/>
        <v>0</v>
      </c>
      <c r="M82" s="4186">
        <f>M103</f>
        <v>0</v>
      </c>
      <c r="N82" s="4186">
        <f>N103</f>
        <v>0</v>
      </c>
      <c r="O82" s="4186">
        <f t="shared" si="58"/>
        <v>0</v>
      </c>
      <c r="P82" s="4186">
        <f t="shared" si="58"/>
        <v>0</v>
      </c>
      <c r="Q82" s="4186">
        <v>0</v>
      </c>
      <c r="R82" s="4175">
        <v>0</v>
      </c>
      <c r="S82" s="4175">
        <v>0</v>
      </c>
      <c r="T82" s="4175">
        <v>0</v>
      </c>
      <c r="U82" s="4175">
        <v>0</v>
      </c>
      <c r="V82" s="4175">
        <v>0</v>
      </c>
      <c r="W82" s="4175">
        <v>0</v>
      </c>
      <c r="X82" s="4187" t="s">
        <v>77</v>
      </c>
      <c r="Y82" s="4185"/>
      <c r="Z82" s="4156"/>
      <c r="AA82" s="4156"/>
      <c r="AB82" s="4156"/>
      <c r="AC82" s="4156"/>
      <c r="AD82" s="4156"/>
      <c r="AE82" s="4156"/>
      <c r="AF82" s="4156"/>
      <c r="AG82" s="4156"/>
      <c r="AH82" s="4156"/>
      <c r="AI82" s="4156"/>
      <c r="AJ82" s="4156"/>
      <c r="AK82" s="4156"/>
      <c r="AL82" s="4156"/>
      <c r="AM82" s="4156"/>
      <c r="AN82" s="4156"/>
      <c r="AO82" s="4156"/>
      <c r="AP82" s="4156"/>
      <c r="AQ82" s="4156"/>
      <c r="AR82" s="4156"/>
      <c r="AS82" s="4156"/>
      <c r="AT82" s="4156"/>
      <c r="AU82" s="4156"/>
      <c r="AV82" s="4156"/>
      <c r="AW82" s="4156"/>
      <c r="AX82" s="4156"/>
      <c r="AY82" s="4156"/>
      <c r="AZ82" s="4156"/>
      <c r="BA82" s="4156"/>
      <c r="BB82" s="4156"/>
      <c r="BC82" s="4156"/>
      <c r="BD82" s="4156"/>
      <c r="BE82" s="4156"/>
      <c r="BF82" s="4156"/>
      <c r="BG82" s="4156"/>
      <c r="BH82" s="4156"/>
      <c r="BI82" s="4156"/>
      <c r="BJ82" s="4156"/>
      <c r="BK82" s="4156"/>
      <c r="BL82" s="4156"/>
      <c r="BM82" s="4156"/>
      <c r="BN82" s="4156"/>
      <c r="BO82" s="4156"/>
      <c r="BP82" s="4156"/>
      <c r="BQ82" s="4156"/>
      <c r="BR82" s="4156"/>
      <c r="BS82" s="4156"/>
      <c r="BT82" s="4156"/>
      <c r="BU82" s="4156"/>
      <c r="BV82" s="4156"/>
      <c r="BW82" s="4156"/>
      <c r="BX82" s="4156"/>
      <c r="BY82" s="4156"/>
      <c r="BZ82" s="4156"/>
      <c r="CA82" s="4156"/>
      <c r="CB82" s="4156"/>
      <c r="CC82" s="4156"/>
      <c r="CD82" s="4156"/>
      <c r="CE82" s="4156"/>
      <c r="CF82" s="4156"/>
      <c r="CG82" s="4156"/>
      <c r="CH82" s="4156"/>
      <c r="CI82" s="4156"/>
      <c r="CJ82" s="4156"/>
      <c r="CK82" s="4156"/>
      <c r="CL82" s="4156"/>
      <c r="CM82" s="4156"/>
      <c r="CN82" s="4156"/>
      <c r="CO82" s="4156"/>
      <c r="CP82" s="4156"/>
      <c r="CQ82" s="4156"/>
      <c r="CR82" s="4156"/>
      <c r="CS82" s="4156"/>
      <c r="CT82" s="4156"/>
      <c r="CU82" s="4156"/>
      <c r="CV82" s="4156"/>
      <c r="CW82" s="4156"/>
      <c r="CX82" s="4156"/>
      <c r="CY82" s="4156"/>
      <c r="CZ82" s="4156"/>
      <c r="DA82" s="4156"/>
      <c r="DB82" s="4156"/>
      <c r="DC82" s="4156"/>
      <c r="DD82" s="4156"/>
      <c r="DE82" s="4156"/>
      <c r="DF82" s="4156"/>
      <c r="DG82" s="4156"/>
      <c r="DH82" s="4156"/>
      <c r="DI82" s="4156"/>
      <c r="DJ82" s="4156"/>
      <c r="DK82" s="4156"/>
      <c r="DL82" s="4156"/>
      <c r="DM82" s="4156"/>
      <c r="DN82" s="4156"/>
      <c r="DO82" s="4156"/>
    </row>
    <row r="83" spans="1:119" s="4157" customFormat="1" ht="13.5" hidden="1" customHeight="1">
      <c r="A83" s="4055"/>
      <c r="B83" s="4188" t="s">
        <v>34</v>
      </c>
      <c r="C83" s="4189"/>
      <c r="D83" s="4190">
        <f>D84+D87</f>
        <v>0</v>
      </c>
      <c r="E83" s="4191"/>
      <c r="F83" s="4191"/>
      <c r="G83" s="4191"/>
      <c r="H83" s="4191"/>
      <c r="I83" s="4191"/>
      <c r="J83" s="4191"/>
      <c r="K83" s="4190">
        <f t="shared" ref="K83:W83" si="59">K84+K87</f>
        <v>0</v>
      </c>
      <c r="L83" s="4190">
        <f t="shared" si="59"/>
        <v>0</v>
      </c>
      <c r="M83" s="4190">
        <f t="shared" si="59"/>
        <v>0</v>
      </c>
      <c r="N83" s="4190">
        <f t="shared" si="59"/>
        <v>0</v>
      </c>
      <c r="O83" s="4190">
        <f t="shared" si="59"/>
        <v>0</v>
      </c>
      <c r="P83" s="4190">
        <f t="shared" si="59"/>
        <v>0</v>
      </c>
      <c r="Q83" s="4190">
        <f t="shared" si="59"/>
        <v>0</v>
      </c>
      <c r="R83" s="4190">
        <f t="shared" si="59"/>
        <v>0</v>
      </c>
      <c r="S83" s="4190">
        <f t="shared" si="59"/>
        <v>0</v>
      </c>
      <c r="T83" s="4190">
        <f t="shared" si="59"/>
        <v>0</v>
      </c>
      <c r="U83" s="4190">
        <f t="shared" si="59"/>
        <v>0</v>
      </c>
      <c r="V83" s="4190">
        <f t="shared" si="59"/>
        <v>0</v>
      </c>
      <c r="W83" s="4190">
        <f t="shared" si="59"/>
        <v>0</v>
      </c>
      <c r="X83" s="4192"/>
      <c r="Y83" s="4185"/>
      <c r="Z83" s="4156"/>
      <c r="AA83" s="4156"/>
      <c r="AB83" s="4156"/>
      <c r="AC83" s="4156"/>
      <c r="AD83" s="4156"/>
      <c r="AE83" s="4156"/>
      <c r="AF83" s="4156"/>
      <c r="AG83" s="4156"/>
      <c r="AH83" s="4156"/>
      <c r="AI83" s="4156"/>
      <c r="AJ83" s="4156"/>
      <c r="AK83" s="4156"/>
      <c r="AL83" s="4156"/>
      <c r="AM83" s="4156"/>
      <c r="AN83" s="4156"/>
      <c r="AO83" s="4156"/>
      <c r="AP83" s="4156"/>
      <c r="AQ83" s="4156"/>
      <c r="AR83" s="4156"/>
      <c r="AS83" s="4156"/>
      <c r="AT83" s="4156"/>
      <c r="AU83" s="4156"/>
      <c r="AV83" s="4156"/>
      <c r="AW83" s="4156"/>
      <c r="AX83" s="4156"/>
      <c r="AY83" s="4156"/>
      <c r="AZ83" s="4156"/>
      <c r="BA83" s="4156"/>
      <c r="BB83" s="4156"/>
      <c r="BC83" s="4156"/>
      <c r="BD83" s="4156"/>
      <c r="BE83" s="4156"/>
      <c r="BF83" s="4156"/>
      <c r="BG83" s="4156"/>
      <c r="BH83" s="4156"/>
      <c r="BI83" s="4156"/>
      <c r="BJ83" s="4156"/>
      <c r="BK83" s="4156"/>
      <c r="BL83" s="4156"/>
      <c r="BM83" s="4156"/>
      <c r="BN83" s="4156"/>
      <c r="BO83" s="4156"/>
      <c r="BP83" s="4156"/>
      <c r="BQ83" s="4156"/>
      <c r="BR83" s="4156"/>
      <c r="BS83" s="4156"/>
      <c r="BT83" s="4156"/>
      <c r="BU83" s="4156"/>
      <c r="BV83" s="4156"/>
      <c r="BW83" s="4156"/>
      <c r="BX83" s="4156"/>
      <c r="BY83" s="4156"/>
      <c r="BZ83" s="4156"/>
      <c r="CA83" s="4156"/>
      <c r="CB83" s="4156"/>
      <c r="CC83" s="4156"/>
      <c r="CD83" s="4156"/>
      <c r="CE83" s="4156"/>
      <c r="CF83" s="4156"/>
      <c r="CG83" s="4156"/>
      <c r="CH83" s="4156"/>
      <c r="CI83" s="4156"/>
      <c r="CJ83" s="4156"/>
      <c r="CK83" s="4156"/>
      <c r="CL83" s="4156"/>
      <c r="CM83" s="4156"/>
      <c r="CN83" s="4156"/>
      <c r="CO83" s="4156"/>
      <c r="CP83" s="4156"/>
      <c r="CQ83" s="4156"/>
      <c r="CR83" s="4156"/>
      <c r="CS83" s="4156"/>
      <c r="CT83" s="4156"/>
      <c r="CU83" s="4156"/>
      <c r="CV83" s="4156"/>
      <c r="CW83" s="4156"/>
      <c r="CX83" s="4156"/>
      <c r="CY83" s="4156"/>
      <c r="CZ83" s="4156"/>
      <c r="DA83" s="4156"/>
      <c r="DB83" s="4156"/>
      <c r="DC83" s="4156"/>
      <c r="DD83" s="4156"/>
      <c r="DE83" s="4156"/>
      <c r="DF83" s="4156"/>
      <c r="DG83" s="4156"/>
      <c r="DH83" s="4156"/>
      <c r="DI83" s="4156"/>
      <c r="DJ83" s="4156"/>
      <c r="DK83" s="4156"/>
      <c r="DL83" s="4156"/>
      <c r="DM83" s="4156"/>
      <c r="DN83" s="4156"/>
      <c r="DO83" s="4156"/>
    </row>
    <row r="84" spans="1:119" s="4157" customFormat="1" ht="13.5" hidden="1" customHeight="1">
      <c r="A84" s="4055"/>
      <c r="B84" s="4193" t="s">
        <v>36</v>
      </c>
      <c r="C84" s="4194"/>
      <c r="D84" s="4195">
        <f>+D85+D86</f>
        <v>0</v>
      </c>
      <c r="E84" s="4195">
        <f t="shared" ref="E84:T84" si="60">+E85+E86</f>
        <v>0</v>
      </c>
      <c r="F84" s="4195">
        <f t="shared" si="60"/>
        <v>0</v>
      </c>
      <c r="G84" s="4195">
        <f t="shared" si="60"/>
        <v>0</v>
      </c>
      <c r="H84" s="4195">
        <f t="shared" si="60"/>
        <v>0</v>
      </c>
      <c r="I84" s="4195">
        <f t="shared" si="60"/>
        <v>0</v>
      </c>
      <c r="J84" s="4195">
        <f t="shared" si="60"/>
        <v>0</v>
      </c>
      <c r="K84" s="4195">
        <f t="shared" si="60"/>
        <v>0</v>
      </c>
      <c r="L84" s="4195">
        <f t="shared" si="60"/>
        <v>0</v>
      </c>
      <c r="M84" s="4195">
        <f t="shared" si="60"/>
        <v>0</v>
      </c>
      <c r="N84" s="4195">
        <f t="shared" si="60"/>
        <v>0</v>
      </c>
      <c r="O84" s="4195">
        <f t="shared" si="60"/>
        <v>0</v>
      </c>
      <c r="P84" s="4178">
        <f t="shared" si="60"/>
        <v>0</v>
      </c>
      <c r="Q84" s="4178">
        <f t="shared" si="60"/>
        <v>0</v>
      </c>
      <c r="R84" s="4178">
        <f t="shared" si="60"/>
        <v>0</v>
      </c>
      <c r="S84" s="4178">
        <f t="shared" si="60"/>
        <v>0</v>
      </c>
      <c r="T84" s="4178">
        <f t="shared" si="60"/>
        <v>0</v>
      </c>
      <c r="U84" s="4178">
        <v>0</v>
      </c>
      <c r="V84" s="4178">
        <v>0</v>
      </c>
      <c r="W84" s="4178">
        <v>0</v>
      </c>
      <c r="X84" s="4110" t="s">
        <v>77</v>
      </c>
      <c r="Y84" s="4185"/>
      <c r="Z84" s="4156"/>
      <c r="AA84" s="4156"/>
      <c r="AB84" s="4156"/>
      <c r="AC84" s="4156"/>
      <c r="AD84" s="4156"/>
      <c r="AE84" s="4156"/>
      <c r="AF84" s="4156"/>
      <c r="AG84" s="4156"/>
      <c r="AH84" s="4156"/>
      <c r="AI84" s="4156"/>
      <c r="AJ84" s="4156"/>
      <c r="AK84" s="4156"/>
      <c r="AL84" s="4156"/>
      <c r="AM84" s="4156"/>
      <c r="AN84" s="4156"/>
      <c r="AO84" s="4156"/>
      <c r="AP84" s="4156"/>
      <c r="AQ84" s="4156"/>
      <c r="AR84" s="4156"/>
      <c r="AS84" s="4156"/>
      <c r="AT84" s="4156"/>
      <c r="AU84" s="4156"/>
      <c r="AV84" s="4156"/>
      <c r="AW84" s="4156"/>
      <c r="AX84" s="4156"/>
      <c r="AY84" s="4156"/>
      <c r="AZ84" s="4156"/>
      <c r="BA84" s="4156"/>
      <c r="BB84" s="4156"/>
      <c r="BC84" s="4156"/>
      <c r="BD84" s="4156"/>
      <c r="BE84" s="4156"/>
      <c r="BF84" s="4156"/>
      <c r="BG84" s="4156"/>
      <c r="BH84" s="4156"/>
      <c r="BI84" s="4156"/>
      <c r="BJ84" s="4156"/>
      <c r="BK84" s="4156"/>
      <c r="BL84" s="4156"/>
      <c r="BM84" s="4156"/>
      <c r="BN84" s="4156"/>
      <c r="BO84" s="4156"/>
      <c r="BP84" s="4156"/>
      <c r="BQ84" s="4156"/>
      <c r="BR84" s="4156"/>
      <c r="BS84" s="4156"/>
      <c r="BT84" s="4156"/>
      <c r="BU84" s="4156"/>
      <c r="BV84" s="4156"/>
      <c r="BW84" s="4156"/>
      <c r="BX84" s="4156"/>
      <c r="BY84" s="4156"/>
      <c r="BZ84" s="4156"/>
      <c r="CA84" s="4156"/>
      <c r="CB84" s="4156"/>
      <c r="CC84" s="4156"/>
      <c r="CD84" s="4156"/>
      <c r="CE84" s="4156"/>
      <c r="CF84" s="4156"/>
      <c r="CG84" s="4156"/>
      <c r="CH84" s="4156"/>
      <c r="CI84" s="4156"/>
      <c r="CJ84" s="4156"/>
      <c r="CK84" s="4156"/>
      <c r="CL84" s="4156"/>
      <c r="CM84" s="4156"/>
      <c r="CN84" s="4156"/>
      <c r="CO84" s="4156"/>
      <c r="CP84" s="4156"/>
      <c r="CQ84" s="4156"/>
      <c r="CR84" s="4156"/>
      <c r="CS84" s="4156"/>
      <c r="CT84" s="4156"/>
      <c r="CU84" s="4156"/>
      <c r="CV84" s="4156"/>
      <c r="CW84" s="4156"/>
      <c r="CX84" s="4156"/>
      <c r="CY84" s="4156"/>
      <c r="CZ84" s="4156"/>
      <c r="DA84" s="4156"/>
      <c r="DB84" s="4156"/>
      <c r="DC84" s="4156"/>
      <c r="DD84" s="4156"/>
      <c r="DE84" s="4156"/>
      <c r="DF84" s="4156"/>
      <c r="DG84" s="4156"/>
      <c r="DH84" s="4156"/>
      <c r="DI84" s="4156"/>
      <c r="DJ84" s="4156"/>
      <c r="DK84" s="4156"/>
      <c r="DL84" s="4156"/>
      <c r="DM84" s="4156"/>
      <c r="DN84" s="4156"/>
      <c r="DO84" s="4156"/>
    </row>
    <row r="85" spans="1:119" s="4157" customFormat="1" ht="13.5" hidden="1" customHeight="1">
      <c r="A85" s="4055"/>
      <c r="B85" s="4177" t="s">
        <v>172</v>
      </c>
      <c r="C85" s="4178"/>
      <c r="D85" s="4178">
        <f>+D106</f>
        <v>0</v>
      </c>
      <c r="E85" s="4178">
        <f t="shared" ref="E85:Q86" si="61">+E106</f>
        <v>0</v>
      </c>
      <c r="F85" s="4178">
        <f t="shared" si="61"/>
        <v>0</v>
      </c>
      <c r="G85" s="4178">
        <f t="shared" si="61"/>
        <v>0</v>
      </c>
      <c r="H85" s="4178">
        <f t="shared" si="61"/>
        <v>0</v>
      </c>
      <c r="I85" s="4178">
        <f t="shared" si="61"/>
        <v>0</v>
      </c>
      <c r="J85" s="4178">
        <f t="shared" si="61"/>
        <v>0</v>
      </c>
      <c r="K85" s="4178">
        <f t="shared" si="61"/>
        <v>0</v>
      </c>
      <c r="L85" s="4178">
        <f t="shared" si="61"/>
        <v>0</v>
      </c>
      <c r="M85" s="4178">
        <f t="shared" si="61"/>
        <v>0</v>
      </c>
      <c r="N85" s="4178">
        <f t="shared" si="61"/>
        <v>0</v>
      </c>
      <c r="O85" s="4178">
        <f t="shared" si="61"/>
        <v>0</v>
      </c>
      <c r="P85" s="4178">
        <f t="shared" si="61"/>
        <v>0</v>
      </c>
      <c r="Q85" s="4178">
        <f t="shared" si="61"/>
        <v>0</v>
      </c>
      <c r="R85" s="4178">
        <v>0</v>
      </c>
      <c r="S85" s="4178">
        <v>0</v>
      </c>
      <c r="T85" s="4178">
        <v>0</v>
      </c>
      <c r="U85" s="4178">
        <v>0</v>
      </c>
      <c r="V85" s="4178">
        <v>0</v>
      </c>
      <c r="W85" s="4178">
        <v>0</v>
      </c>
      <c r="X85" s="4114"/>
      <c r="Y85" s="4185"/>
      <c r="Z85" s="4156"/>
      <c r="AA85" s="4156"/>
      <c r="AB85" s="4156"/>
      <c r="AC85" s="4156"/>
      <c r="AD85" s="4156"/>
      <c r="AE85" s="4156"/>
      <c r="AF85" s="4156"/>
      <c r="AG85" s="4156"/>
      <c r="AH85" s="4156"/>
      <c r="AI85" s="4156"/>
      <c r="AJ85" s="4156"/>
      <c r="AK85" s="4156"/>
      <c r="AL85" s="4156"/>
      <c r="AM85" s="4156"/>
      <c r="AN85" s="4156"/>
      <c r="AO85" s="4156"/>
      <c r="AP85" s="4156"/>
      <c r="AQ85" s="4156"/>
      <c r="AR85" s="4156"/>
      <c r="AS85" s="4156"/>
      <c r="AT85" s="4156"/>
      <c r="AU85" s="4156"/>
      <c r="AV85" s="4156"/>
      <c r="AW85" s="4156"/>
      <c r="AX85" s="4156"/>
      <c r="AY85" s="4156"/>
      <c r="AZ85" s="4156"/>
      <c r="BA85" s="4156"/>
      <c r="BB85" s="4156"/>
      <c r="BC85" s="4156"/>
      <c r="BD85" s="4156"/>
      <c r="BE85" s="4156"/>
      <c r="BF85" s="4156"/>
      <c r="BG85" s="4156"/>
      <c r="BH85" s="4156"/>
      <c r="BI85" s="4156"/>
      <c r="BJ85" s="4156"/>
      <c r="BK85" s="4156"/>
      <c r="BL85" s="4156"/>
      <c r="BM85" s="4156"/>
      <c r="BN85" s="4156"/>
      <c r="BO85" s="4156"/>
      <c r="BP85" s="4156"/>
      <c r="BQ85" s="4156"/>
      <c r="BR85" s="4156"/>
      <c r="BS85" s="4156"/>
      <c r="BT85" s="4156"/>
      <c r="BU85" s="4156"/>
      <c r="BV85" s="4156"/>
      <c r="BW85" s="4156"/>
      <c r="BX85" s="4156"/>
      <c r="BY85" s="4156"/>
      <c r="BZ85" s="4156"/>
      <c r="CA85" s="4156"/>
      <c r="CB85" s="4156"/>
      <c r="CC85" s="4156"/>
      <c r="CD85" s="4156"/>
      <c r="CE85" s="4156"/>
      <c r="CF85" s="4156"/>
      <c r="CG85" s="4156"/>
      <c r="CH85" s="4156"/>
      <c r="CI85" s="4156"/>
      <c r="CJ85" s="4156"/>
      <c r="CK85" s="4156"/>
      <c r="CL85" s="4156"/>
      <c r="CM85" s="4156"/>
      <c r="CN85" s="4156"/>
      <c r="CO85" s="4156"/>
      <c r="CP85" s="4156"/>
      <c r="CQ85" s="4156"/>
      <c r="CR85" s="4156"/>
      <c r="CS85" s="4156"/>
      <c r="CT85" s="4156"/>
      <c r="CU85" s="4156"/>
      <c r="CV85" s="4156"/>
      <c r="CW85" s="4156"/>
      <c r="CX85" s="4156"/>
      <c r="CY85" s="4156"/>
      <c r="CZ85" s="4156"/>
      <c r="DA85" s="4156"/>
      <c r="DB85" s="4156"/>
      <c r="DC85" s="4156"/>
      <c r="DD85" s="4156"/>
      <c r="DE85" s="4156"/>
      <c r="DF85" s="4156"/>
      <c r="DG85" s="4156"/>
      <c r="DH85" s="4156"/>
      <c r="DI85" s="4156"/>
      <c r="DJ85" s="4156"/>
      <c r="DK85" s="4156"/>
      <c r="DL85" s="4156"/>
      <c r="DM85" s="4156"/>
      <c r="DN85" s="4156"/>
      <c r="DO85" s="4156"/>
    </row>
    <row r="86" spans="1:119" s="4157" customFormat="1" ht="13.5" hidden="1" customHeight="1">
      <c r="A86" s="4055"/>
      <c r="B86" s="4177" t="s">
        <v>174</v>
      </c>
      <c r="C86" s="4178"/>
      <c r="D86" s="4178">
        <f>+D107</f>
        <v>0</v>
      </c>
      <c r="E86" s="4178">
        <f t="shared" si="61"/>
        <v>0</v>
      </c>
      <c r="F86" s="4178">
        <f t="shared" si="61"/>
        <v>0</v>
      </c>
      <c r="G86" s="4178">
        <f t="shared" si="61"/>
        <v>0</v>
      </c>
      <c r="H86" s="4178">
        <f t="shared" si="61"/>
        <v>0</v>
      </c>
      <c r="I86" s="4178">
        <f t="shared" si="61"/>
        <v>0</v>
      </c>
      <c r="J86" s="4178">
        <f t="shared" si="61"/>
        <v>0</v>
      </c>
      <c r="K86" s="4178">
        <f t="shared" si="61"/>
        <v>0</v>
      </c>
      <c r="L86" s="4178">
        <f t="shared" si="61"/>
        <v>0</v>
      </c>
      <c r="M86" s="4178">
        <f t="shared" si="61"/>
        <v>0</v>
      </c>
      <c r="N86" s="4178">
        <f t="shared" si="61"/>
        <v>0</v>
      </c>
      <c r="O86" s="4178">
        <f t="shared" si="61"/>
        <v>0</v>
      </c>
      <c r="P86" s="4178">
        <f t="shared" si="61"/>
        <v>0</v>
      </c>
      <c r="Q86" s="4178">
        <f t="shared" si="61"/>
        <v>0</v>
      </c>
      <c r="R86" s="4178">
        <v>0</v>
      </c>
      <c r="S86" s="4178">
        <v>0</v>
      </c>
      <c r="T86" s="4178">
        <v>0</v>
      </c>
      <c r="U86" s="4178"/>
      <c r="V86" s="4178"/>
      <c r="W86" s="4178"/>
      <c r="X86" s="4114"/>
      <c r="Y86" s="4185"/>
      <c r="Z86" s="4156"/>
      <c r="AA86" s="4156"/>
      <c r="AB86" s="4156"/>
      <c r="AC86" s="4156"/>
      <c r="AD86" s="4156"/>
      <c r="AE86" s="4156"/>
      <c r="AF86" s="4156"/>
      <c r="AG86" s="4156"/>
      <c r="AH86" s="4156"/>
      <c r="AI86" s="4156"/>
      <c r="AJ86" s="4156"/>
      <c r="AK86" s="4156"/>
      <c r="AL86" s="4156"/>
      <c r="AM86" s="4156"/>
      <c r="AN86" s="4156"/>
      <c r="AO86" s="4156"/>
      <c r="AP86" s="4156"/>
      <c r="AQ86" s="4156"/>
      <c r="AR86" s="4156"/>
      <c r="AS86" s="4156"/>
      <c r="AT86" s="4156"/>
      <c r="AU86" s="4156"/>
      <c r="AV86" s="4156"/>
      <c r="AW86" s="4156"/>
      <c r="AX86" s="4156"/>
      <c r="AY86" s="4156"/>
      <c r="AZ86" s="4156"/>
      <c r="BA86" s="4156"/>
      <c r="BB86" s="4156"/>
      <c r="BC86" s="4156"/>
      <c r="BD86" s="4156"/>
      <c r="BE86" s="4156"/>
      <c r="BF86" s="4156"/>
      <c r="BG86" s="4156"/>
      <c r="BH86" s="4156"/>
      <c r="BI86" s="4156"/>
      <c r="BJ86" s="4156"/>
      <c r="BK86" s="4156"/>
      <c r="BL86" s="4156"/>
      <c r="BM86" s="4156"/>
      <c r="BN86" s="4156"/>
      <c r="BO86" s="4156"/>
      <c r="BP86" s="4156"/>
      <c r="BQ86" s="4156"/>
      <c r="BR86" s="4156"/>
      <c r="BS86" s="4156"/>
      <c r="BT86" s="4156"/>
      <c r="BU86" s="4156"/>
      <c r="BV86" s="4156"/>
      <c r="BW86" s="4156"/>
      <c r="BX86" s="4156"/>
      <c r="BY86" s="4156"/>
      <c r="BZ86" s="4156"/>
      <c r="CA86" s="4156"/>
      <c r="CB86" s="4156"/>
      <c r="CC86" s="4156"/>
      <c r="CD86" s="4156"/>
      <c r="CE86" s="4156"/>
      <c r="CF86" s="4156"/>
      <c r="CG86" s="4156"/>
      <c r="CH86" s="4156"/>
      <c r="CI86" s="4156"/>
      <c r="CJ86" s="4156"/>
      <c r="CK86" s="4156"/>
      <c r="CL86" s="4156"/>
      <c r="CM86" s="4156"/>
      <c r="CN86" s="4156"/>
      <c r="CO86" s="4156"/>
      <c r="CP86" s="4156"/>
      <c r="CQ86" s="4156"/>
      <c r="CR86" s="4156"/>
      <c r="CS86" s="4156"/>
      <c r="CT86" s="4156"/>
      <c r="CU86" s="4156"/>
      <c r="CV86" s="4156"/>
      <c r="CW86" s="4156"/>
      <c r="CX86" s="4156"/>
      <c r="CY86" s="4156"/>
      <c r="CZ86" s="4156"/>
      <c r="DA86" s="4156"/>
      <c r="DB86" s="4156"/>
      <c r="DC86" s="4156"/>
      <c r="DD86" s="4156"/>
      <c r="DE86" s="4156"/>
      <c r="DF86" s="4156"/>
      <c r="DG86" s="4156"/>
      <c r="DH86" s="4156"/>
      <c r="DI86" s="4156"/>
      <c r="DJ86" s="4156"/>
      <c r="DK86" s="4156"/>
      <c r="DL86" s="4156"/>
      <c r="DM86" s="4156"/>
      <c r="DN86" s="4156"/>
      <c r="DO86" s="4156"/>
    </row>
    <row r="87" spans="1:119" s="4200" customFormat="1" ht="13.5" hidden="1" customHeight="1">
      <c r="A87" s="4196"/>
      <c r="B87" s="4193" t="s">
        <v>30</v>
      </c>
      <c r="C87" s="4197"/>
      <c r="D87" s="4197">
        <f>+D88</f>
        <v>0</v>
      </c>
      <c r="E87" s="4197">
        <f t="shared" ref="E87:W87" si="62">+E88</f>
        <v>0</v>
      </c>
      <c r="F87" s="4197">
        <f t="shared" si="62"/>
        <v>0</v>
      </c>
      <c r="G87" s="4197">
        <f t="shared" si="62"/>
        <v>0</v>
      </c>
      <c r="H87" s="4197">
        <f t="shared" si="62"/>
        <v>0</v>
      </c>
      <c r="I87" s="4197">
        <f t="shared" si="62"/>
        <v>0</v>
      </c>
      <c r="J87" s="4197">
        <f t="shared" si="62"/>
        <v>0</v>
      </c>
      <c r="K87" s="4197">
        <f t="shared" si="62"/>
        <v>0</v>
      </c>
      <c r="L87" s="4197">
        <f t="shared" si="62"/>
        <v>0</v>
      </c>
      <c r="M87" s="4197">
        <f t="shared" si="62"/>
        <v>0</v>
      </c>
      <c r="N87" s="4197">
        <f t="shared" si="62"/>
        <v>0</v>
      </c>
      <c r="O87" s="4197">
        <f t="shared" si="62"/>
        <v>0</v>
      </c>
      <c r="P87" s="4197">
        <f t="shared" si="62"/>
        <v>0</v>
      </c>
      <c r="Q87" s="4197">
        <f t="shared" si="62"/>
        <v>0</v>
      </c>
      <c r="R87" s="4197">
        <f t="shared" si="62"/>
        <v>0</v>
      </c>
      <c r="S87" s="4197">
        <f t="shared" si="62"/>
        <v>0</v>
      </c>
      <c r="T87" s="4197">
        <f t="shared" si="62"/>
        <v>0</v>
      </c>
      <c r="U87" s="4197">
        <f t="shared" si="62"/>
        <v>0</v>
      </c>
      <c r="V87" s="4197">
        <f t="shared" si="62"/>
        <v>0</v>
      </c>
      <c r="W87" s="4197">
        <f t="shared" si="62"/>
        <v>0</v>
      </c>
      <c r="X87" s="4114"/>
      <c r="Y87" s="4198"/>
      <c r="Z87" s="4199"/>
      <c r="AA87" s="4199"/>
      <c r="AB87" s="4199"/>
      <c r="AC87" s="4199"/>
      <c r="AD87" s="4199"/>
      <c r="AE87" s="4199"/>
      <c r="AF87" s="4199"/>
      <c r="AG87" s="4199"/>
      <c r="AH87" s="4199"/>
      <c r="AI87" s="4199"/>
      <c r="AJ87" s="4199"/>
      <c r="AK87" s="4199"/>
      <c r="AL87" s="4199"/>
      <c r="AM87" s="4199"/>
      <c r="AN87" s="4199"/>
      <c r="AO87" s="4199"/>
      <c r="AP87" s="4199"/>
      <c r="AQ87" s="4199"/>
      <c r="AR87" s="4199"/>
      <c r="AS87" s="4199"/>
      <c r="AT87" s="4199"/>
      <c r="AU87" s="4199"/>
      <c r="AV87" s="4199"/>
      <c r="AW87" s="4199"/>
      <c r="AX87" s="4199"/>
      <c r="AY87" s="4199"/>
      <c r="AZ87" s="4199"/>
      <c r="BA87" s="4199"/>
      <c r="BB87" s="4199"/>
      <c r="BC87" s="4199"/>
      <c r="BD87" s="4199"/>
      <c r="BE87" s="4199"/>
      <c r="BF87" s="4199"/>
      <c r="BG87" s="4199"/>
      <c r="BH87" s="4199"/>
      <c r="BI87" s="4199"/>
      <c r="BJ87" s="4199"/>
      <c r="BK87" s="4199"/>
      <c r="BL87" s="4199"/>
      <c r="BM87" s="4199"/>
      <c r="BN87" s="4199"/>
      <c r="BO87" s="4199"/>
      <c r="BP87" s="4199"/>
      <c r="BQ87" s="4199"/>
      <c r="BR87" s="4199"/>
      <c r="BS87" s="4199"/>
      <c r="BT87" s="4199"/>
      <c r="BU87" s="4199"/>
      <c r="BV87" s="4199"/>
      <c r="BW87" s="4199"/>
      <c r="BX87" s="4199"/>
      <c r="BY87" s="4199"/>
      <c r="BZ87" s="4199"/>
      <c r="CA87" s="4199"/>
      <c r="CB87" s="4199"/>
      <c r="CC87" s="4199"/>
      <c r="CD87" s="4199"/>
      <c r="CE87" s="4199"/>
      <c r="CF87" s="4199"/>
      <c r="CG87" s="4199"/>
      <c r="CH87" s="4199"/>
      <c r="CI87" s="4199"/>
      <c r="CJ87" s="4199"/>
      <c r="CK87" s="4199"/>
      <c r="CL87" s="4199"/>
      <c r="CM87" s="4199"/>
      <c r="CN87" s="4199"/>
      <c r="CO87" s="4199"/>
      <c r="CP87" s="4199"/>
      <c r="CQ87" s="4199"/>
      <c r="CR87" s="4199"/>
      <c r="CS87" s="4199"/>
      <c r="CT87" s="4199"/>
      <c r="CU87" s="4199"/>
      <c r="CV87" s="4199"/>
      <c r="CW87" s="4199"/>
      <c r="CX87" s="4199"/>
      <c r="CY87" s="4199"/>
      <c r="CZ87" s="4199"/>
      <c r="DA87" s="4199"/>
      <c r="DB87" s="4199"/>
      <c r="DC87" s="4199"/>
      <c r="DD87" s="4199"/>
      <c r="DE87" s="4199"/>
      <c r="DF87" s="4199"/>
      <c r="DG87" s="4199"/>
      <c r="DH87" s="4199"/>
      <c r="DI87" s="4199"/>
      <c r="DJ87" s="4199"/>
      <c r="DK87" s="4199"/>
      <c r="DL87" s="4199"/>
      <c r="DM87" s="4199"/>
      <c r="DN87" s="4199"/>
      <c r="DO87" s="4199"/>
    </row>
    <row r="88" spans="1:119" s="4157" customFormat="1" ht="13.5" hidden="1" customHeight="1" thickBot="1">
      <c r="A88" s="4055"/>
      <c r="B88" s="4177" t="s">
        <v>48</v>
      </c>
      <c r="C88" s="4178"/>
      <c r="D88" s="4178">
        <f>+D109</f>
        <v>0</v>
      </c>
      <c r="E88" s="4178">
        <f t="shared" ref="E88:Q88" si="63">+E109</f>
        <v>0</v>
      </c>
      <c r="F88" s="4178">
        <f t="shared" si="63"/>
        <v>0</v>
      </c>
      <c r="G88" s="4178">
        <f t="shared" si="63"/>
        <v>0</v>
      </c>
      <c r="H88" s="4178">
        <f t="shared" si="63"/>
        <v>0</v>
      </c>
      <c r="I88" s="4178">
        <f t="shared" si="63"/>
        <v>0</v>
      </c>
      <c r="J88" s="4178">
        <f t="shared" si="63"/>
        <v>0</v>
      </c>
      <c r="K88" s="4178">
        <f t="shared" si="63"/>
        <v>0</v>
      </c>
      <c r="L88" s="4178">
        <f t="shared" si="63"/>
        <v>0</v>
      </c>
      <c r="M88" s="4178">
        <f t="shared" si="63"/>
        <v>0</v>
      </c>
      <c r="N88" s="4178">
        <f t="shared" si="63"/>
        <v>0</v>
      </c>
      <c r="O88" s="4178">
        <f t="shared" si="63"/>
        <v>0</v>
      </c>
      <c r="P88" s="4178">
        <f t="shared" si="63"/>
        <v>0</v>
      </c>
      <c r="Q88" s="4178">
        <f t="shared" si="63"/>
        <v>0</v>
      </c>
      <c r="R88" s="4178">
        <v>0</v>
      </c>
      <c r="S88" s="4178">
        <v>0</v>
      </c>
      <c r="T88" s="4178">
        <v>0</v>
      </c>
      <c r="U88" s="4178">
        <v>0</v>
      </c>
      <c r="V88" s="4178">
        <v>0</v>
      </c>
      <c r="W88" s="4178">
        <v>0</v>
      </c>
      <c r="X88" s="4127"/>
      <c r="Y88" s="4185"/>
      <c r="Z88" s="4156"/>
      <c r="AA88" s="4156"/>
      <c r="AB88" s="4156"/>
      <c r="AC88" s="4156"/>
      <c r="AD88" s="4156"/>
      <c r="AE88" s="4156"/>
      <c r="AF88" s="4156"/>
      <c r="AG88" s="4156"/>
      <c r="AH88" s="4156"/>
      <c r="AI88" s="4156"/>
      <c r="AJ88" s="4156"/>
      <c r="AK88" s="4156"/>
      <c r="AL88" s="4156"/>
      <c r="AM88" s="4156"/>
      <c r="AN88" s="4156"/>
      <c r="AO88" s="4156"/>
      <c r="AP88" s="4156"/>
      <c r="AQ88" s="4156"/>
      <c r="AR88" s="4156"/>
      <c r="AS88" s="4156"/>
      <c r="AT88" s="4156"/>
      <c r="AU88" s="4156"/>
      <c r="AV88" s="4156"/>
      <c r="AW88" s="4156"/>
      <c r="AX88" s="4156"/>
      <c r="AY88" s="4156"/>
      <c r="AZ88" s="4156"/>
      <c r="BA88" s="4156"/>
      <c r="BB88" s="4156"/>
      <c r="BC88" s="4156"/>
      <c r="BD88" s="4156"/>
      <c r="BE88" s="4156"/>
      <c r="BF88" s="4156"/>
      <c r="BG88" s="4156"/>
      <c r="BH88" s="4156"/>
      <c r="BI88" s="4156"/>
      <c r="BJ88" s="4156"/>
      <c r="BK88" s="4156"/>
      <c r="BL88" s="4156"/>
      <c r="BM88" s="4156"/>
      <c r="BN88" s="4156"/>
      <c r="BO88" s="4156"/>
      <c r="BP88" s="4156"/>
      <c r="BQ88" s="4156"/>
      <c r="BR88" s="4156"/>
      <c r="BS88" s="4156"/>
      <c r="BT88" s="4156"/>
      <c r="BU88" s="4156"/>
      <c r="BV88" s="4156"/>
      <c r="BW88" s="4156"/>
      <c r="BX88" s="4156"/>
      <c r="BY88" s="4156"/>
      <c r="BZ88" s="4156"/>
      <c r="CA88" s="4156"/>
      <c r="CB88" s="4156"/>
      <c r="CC88" s="4156"/>
      <c r="CD88" s="4156"/>
      <c r="CE88" s="4156"/>
      <c r="CF88" s="4156"/>
      <c r="CG88" s="4156"/>
      <c r="CH88" s="4156"/>
      <c r="CI88" s="4156"/>
      <c r="CJ88" s="4156"/>
      <c r="CK88" s="4156"/>
      <c r="CL88" s="4156"/>
      <c r="CM88" s="4156"/>
      <c r="CN88" s="4156"/>
      <c r="CO88" s="4156"/>
      <c r="CP88" s="4156"/>
      <c r="CQ88" s="4156"/>
      <c r="CR88" s="4156"/>
      <c r="CS88" s="4156"/>
      <c r="CT88" s="4156"/>
      <c r="CU88" s="4156"/>
      <c r="CV88" s="4156"/>
      <c r="CW88" s="4156"/>
      <c r="CX88" s="4156"/>
      <c r="CY88" s="4156"/>
      <c r="CZ88" s="4156"/>
      <c r="DA88" s="4156"/>
      <c r="DB88" s="4156"/>
      <c r="DC88" s="4156"/>
      <c r="DD88" s="4156"/>
      <c r="DE88" s="4156"/>
      <c r="DF88" s="4156"/>
      <c r="DG88" s="4156"/>
      <c r="DH88" s="4156"/>
      <c r="DI88" s="4156"/>
      <c r="DJ88" s="4156"/>
      <c r="DK88" s="4156"/>
      <c r="DL88" s="4156"/>
      <c r="DM88" s="4156"/>
      <c r="DN88" s="4156"/>
      <c r="DO88" s="4156"/>
    </row>
    <row r="89" spans="1:119" s="4157" customFormat="1" ht="39.75" hidden="1" customHeight="1">
      <c r="A89" s="4201" t="s">
        <v>79</v>
      </c>
      <c r="B89" s="4202" t="s">
        <v>175</v>
      </c>
      <c r="C89" s="4203" t="s">
        <v>98</v>
      </c>
      <c r="D89" s="4204"/>
      <c r="E89" s="4080"/>
      <c r="F89" s="4080"/>
      <c r="G89" s="4080"/>
      <c r="H89" s="4080"/>
      <c r="I89" s="4080"/>
      <c r="J89" s="4080"/>
      <c r="K89" s="4080"/>
      <c r="L89" s="4205"/>
      <c r="M89" s="4205"/>
      <c r="N89" s="4205"/>
      <c r="O89" s="4205"/>
      <c r="P89" s="4206"/>
      <c r="Q89" s="4206"/>
      <c r="R89" s="4206"/>
      <c r="S89" s="4206"/>
      <c r="T89" s="4206"/>
      <c r="U89" s="4206"/>
      <c r="V89" s="4206"/>
      <c r="W89" s="4206"/>
      <c r="X89" s="4207"/>
      <c r="Y89" s="4208" t="s">
        <v>176</v>
      </c>
      <c r="Z89" s="4156"/>
      <c r="AA89" s="4156"/>
      <c r="AB89" s="4156"/>
      <c r="AC89" s="4156"/>
      <c r="AD89" s="4156"/>
      <c r="AE89" s="4156"/>
      <c r="AF89" s="4156"/>
      <c r="AG89" s="4156"/>
      <c r="AH89" s="4156"/>
      <c r="AI89" s="4156"/>
      <c r="AJ89" s="4156"/>
      <c r="AK89" s="4156"/>
      <c r="AL89" s="4156"/>
      <c r="AM89" s="4156"/>
      <c r="AN89" s="4156"/>
      <c r="AO89" s="4156"/>
      <c r="AP89" s="4156"/>
      <c r="AQ89" s="4156"/>
      <c r="AR89" s="4156"/>
      <c r="AS89" s="4156"/>
      <c r="AT89" s="4156"/>
      <c r="AU89" s="4156"/>
      <c r="AV89" s="4156"/>
      <c r="AW89" s="4156"/>
      <c r="AX89" s="4156"/>
      <c r="AY89" s="4156"/>
      <c r="AZ89" s="4156"/>
      <c r="BA89" s="4156"/>
      <c r="BB89" s="4156"/>
      <c r="BC89" s="4156"/>
      <c r="BD89" s="4156"/>
      <c r="BE89" s="4156"/>
      <c r="BF89" s="4156"/>
      <c r="BG89" s="4156"/>
      <c r="BH89" s="4156"/>
      <c r="BI89" s="4156"/>
      <c r="BJ89" s="4156"/>
      <c r="BK89" s="4156"/>
      <c r="BL89" s="4156"/>
      <c r="BM89" s="4156"/>
      <c r="BN89" s="4156"/>
      <c r="BO89" s="4156"/>
      <c r="BP89" s="4156"/>
      <c r="BQ89" s="4156"/>
      <c r="BR89" s="4156"/>
      <c r="BS89" s="4156"/>
      <c r="BT89" s="4156"/>
      <c r="BU89" s="4156"/>
      <c r="BV89" s="4156"/>
      <c r="BW89" s="4156"/>
      <c r="BX89" s="4156"/>
      <c r="BY89" s="4156"/>
      <c r="BZ89" s="4156"/>
      <c r="CA89" s="4156"/>
      <c r="CB89" s="4156"/>
      <c r="CC89" s="4156"/>
      <c r="CD89" s="4156"/>
      <c r="CE89" s="4156"/>
      <c r="CF89" s="4156"/>
      <c r="CG89" s="4156"/>
      <c r="CH89" s="4156"/>
      <c r="CI89" s="4156"/>
      <c r="CJ89" s="4156"/>
      <c r="CK89" s="4156"/>
      <c r="CL89" s="4156"/>
      <c r="CM89" s="4156"/>
      <c r="CN89" s="4156"/>
      <c r="CO89" s="4156"/>
      <c r="CP89" s="4156"/>
      <c r="CQ89" s="4156"/>
      <c r="CR89" s="4156"/>
      <c r="CS89" s="4156"/>
      <c r="CT89" s="4156"/>
      <c r="CU89" s="4156"/>
      <c r="CV89" s="4156"/>
      <c r="CW89" s="4156"/>
      <c r="CX89" s="4156"/>
      <c r="CY89" s="4156"/>
      <c r="CZ89" s="4156"/>
      <c r="DA89" s="4156"/>
      <c r="DB89" s="4156"/>
      <c r="DC89" s="4156"/>
      <c r="DD89" s="4156"/>
      <c r="DE89" s="4156"/>
      <c r="DF89" s="4156"/>
      <c r="DG89" s="4156"/>
      <c r="DH89" s="4156"/>
      <c r="DI89" s="4156"/>
      <c r="DJ89" s="4156"/>
      <c r="DK89" s="4156"/>
      <c r="DL89" s="4156"/>
      <c r="DM89" s="4156"/>
      <c r="DN89" s="4156"/>
      <c r="DO89" s="4156"/>
    </row>
    <row r="90" spans="1:119" s="4157" customFormat="1" ht="18.75" hidden="1" customHeight="1">
      <c r="A90" s="4209"/>
      <c r="B90" s="4210" t="s">
        <v>22</v>
      </c>
      <c r="C90" s="4211"/>
      <c r="D90" s="4146">
        <f>SUM(E90:P90)</f>
        <v>0</v>
      </c>
      <c r="E90" s="4146">
        <f t="shared" ref="E90:R91" si="64">E91</f>
        <v>0</v>
      </c>
      <c r="F90" s="4146">
        <f t="shared" si="64"/>
        <v>0</v>
      </c>
      <c r="G90" s="4146">
        <f t="shared" si="64"/>
        <v>0</v>
      </c>
      <c r="H90" s="4146">
        <f t="shared" si="64"/>
        <v>0</v>
      </c>
      <c r="I90" s="4146">
        <f t="shared" si="64"/>
        <v>0</v>
      </c>
      <c r="J90" s="4146">
        <f t="shared" si="64"/>
        <v>0</v>
      </c>
      <c r="K90" s="4146">
        <f t="shared" si="64"/>
        <v>0</v>
      </c>
      <c r="L90" s="4146">
        <f t="shared" si="64"/>
        <v>0</v>
      </c>
      <c r="M90" s="4146"/>
      <c r="N90" s="4146">
        <f t="shared" si="64"/>
        <v>0</v>
      </c>
      <c r="O90" s="4146">
        <f t="shared" si="64"/>
        <v>0</v>
      </c>
      <c r="P90" s="4146">
        <f t="shared" si="64"/>
        <v>0</v>
      </c>
      <c r="Q90" s="4146">
        <f t="shared" si="64"/>
        <v>0</v>
      </c>
      <c r="R90" s="4146">
        <f t="shared" si="64"/>
        <v>0</v>
      </c>
      <c r="S90" s="4146"/>
      <c r="T90" s="4146"/>
      <c r="U90" s="4146"/>
      <c r="V90" s="4146"/>
      <c r="W90" s="4146"/>
      <c r="X90" s="4192">
        <f>+X91</f>
        <v>0</v>
      </c>
      <c r="Y90" s="4212"/>
      <c r="Z90" s="4156"/>
      <c r="AA90" s="4156"/>
      <c r="AB90" s="4156"/>
      <c r="AC90" s="4156"/>
      <c r="AD90" s="4156"/>
      <c r="AE90" s="4156"/>
      <c r="AF90" s="4156"/>
      <c r="AG90" s="4156"/>
      <c r="AH90" s="4156"/>
      <c r="AI90" s="4156"/>
      <c r="AJ90" s="4156"/>
      <c r="AK90" s="4156"/>
      <c r="AL90" s="4156"/>
      <c r="AM90" s="4156"/>
      <c r="AN90" s="4156"/>
      <c r="AO90" s="4156"/>
      <c r="AP90" s="4156"/>
      <c r="AQ90" s="4156"/>
      <c r="AR90" s="4156"/>
      <c r="AS90" s="4156"/>
      <c r="AT90" s="4156"/>
      <c r="AU90" s="4156"/>
      <c r="AV90" s="4156"/>
      <c r="AW90" s="4156"/>
      <c r="AX90" s="4156"/>
      <c r="AY90" s="4156"/>
      <c r="AZ90" s="4156"/>
      <c r="BA90" s="4156"/>
      <c r="BB90" s="4156"/>
      <c r="BC90" s="4156"/>
      <c r="BD90" s="4156"/>
      <c r="BE90" s="4156"/>
      <c r="BF90" s="4156"/>
      <c r="BG90" s="4156"/>
      <c r="BH90" s="4156"/>
      <c r="BI90" s="4156"/>
      <c r="BJ90" s="4156"/>
      <c r="BK90" s="4156"/>
      <c r="BL90" s="4156"/>
      <c r="BM90" s="4156"/>
      <c r="BN90" s="4156"/>
      <c r="BO90" s="4156"/>
      <c r="BP90" s="4156"/>
      <c r="BQ90" s="4156"/>
      <c r="BR90" s="4156"/>
      <c r="BS90" s="4156"/>
      <c r="BT90" s="4156"/>
      <c r="BU90" s="4156"/>
      <c r="BV90" s="4156"/>
      <c r="BW90" s="4156"/>
      <c r="BX90" s="4156"/>
      <c r="BY90" s="4156"/>
      <c r="BZ90" s="4156"/>
      <c r="CA90" s="4156"/>
      <c r="CB90" s="4156"/>
      <c r="CC90" s="4156"/>
      <c r="CD90" s="4156"/>
      <c r="CE90" s="4156"/>
      <c r="CF90" s="4156"/>
      <c r="CG90" s="4156"/>
      <c r="CH90" s="4156"/>
      <c r="CI90" s="4156"/>
      <c r="CJ90" s="4156"/>
      <c r="CK90" s="4156"/>
      <c r="CL90" s="4156"/>
      <c r="CM90" s="4156"/>
      <c r="CN90" s="4156"/>
      <c r="CO90" s="4156"/>
      <c r="CP90" s="4156"/>
      <c r="CQ90" s="4156"/>
      <c r="CR90" s="4156"/>
      <c r="CS90" s="4156"/>
      <c r="CT90" s="4156"/>
      <c r="CU90" s="4156"/>
      <c r="CV90" s="4156"/>
      <c r="CW90" s="4156"/>
      <c r="CX90" s="4156"/>
      <c r="CY90" s="4156"/>
      <c r="CZ90" s="4156"/>
      <c r="DA90" s="4156"/>
      <c r="DB90" s="4156"/>
      <c r="DC90" s="4156"/>
      <c r="DD90" s="4156"/>
      <c r="DE90" s="4156"/>
      <c r="DF90" s="4156"/>
      <c r="DG90" s="4156"/>
      <c r="DH90" s="4156"/>
      <c r="DI90" s="4156"/>
      <c r="DJ90" s="4156"/>
      <c r="DK90" s="4156"/>
      <c r="DL90" s="4156"/>
      <c r="DM90" s="4156"/>
      <c r="DN90" s="4156"/>
      <c r="DO90" s="4156"/>
    </row>
    <row r="91" spans="1:119" s="4180" customFormat="1" ht="18.75" hidden="1" customHeight="1">
      <c r="A91" s="4209"/>
      <c r="B91" s="4213" t="s">
        <v>36</v>
      </c>
      <c r="C91" s="4139" t="s">
        <v>177</v>
      </c>
      <c r="D91" s="4214">
        <f>SUM(E91:P91)</f>
        <v>0</v>
      </c>
      <c r="E91" s="4214">
        <f t="shared" si="64"/>
        <v>0</v>
      </c>
      <c r="F91" s="4214">
        <f t="shared" si="64"/>
        <v>0</v>
      </c>
      <c r="G91" s="4214">
        <f t="shared" si="64"/>
        <v>0</v>
      </c>
      <c r="H91" s="4214">
        <f t="shared" si="64"/>
        <v>0</v>
      </c>
      <c r="I91" s="4214">
        <f t="shared" si="64"/>
        <v>0</v>
      </c>
      <c r="J91" s="4214">
        <f t="shared" si="64"/>
        <v>0</v>
      </c>
      <c r="K91" s="4214">
        <f t="shared" si="64"/>
        <v>0</v>
      </c>
      <c r="L91" s="4214">
        <f t="shared" si="64"/>
        <v>0</v>
      </c>
      <c r="M91" s="4214"/>
      <c r="N91" s="4214">
        <f t="shared" si="64"/>
        <v>0</v>
      </c>
      <c r="O91" s="4214">
        <f t="shared" si="64"/>
        <v>0</v>
      </c>
      <c r="P91" s="4214">
        <f t="shared" si="64"/>
        <v>0</v>
      </c>
      <c r="Q91" s="4214">
        <f t="shared" si="64"/>
        <v>0</v>
      </c>
      <c r="R91" s="4214">
        <f t="shared" si="64"/>
        <v>0</v>
      </c>
      <c r="S91" s="4214"/>
      <c r="T91" s="4214"/>
      <c r="U91" s="4214"/>
      <c r="V91" s="4214"/>
      <c r="W91" s="4214"/>
      <c r="X91" s="4215">
        <f>+X92</f>
        <v>0</v>
      </c>
      <c r="Y91" s="4212"/>
    </row>
    <row r="92" spans="1:119" s="4157" customFormat="1" ht="18.75" hidden="1" customHeight="1" thickBot="1">
      <c r="A92" s="4216"/>
      <c r="B92" s="4217" t="s">
        <v>24</v>
      </c>
      <c r="C92" s="4123"/>
      <c r="D92" s="4218">
        <f>SUM(E92:P92)</f>
        <v>0</v>
      </c>
      <c r="E92" s="4218">
        <f>256114-256114</f>
        <v>0</v>
      </c>
      <c r="F92" s="4218"/>
      <c r="G92" s="4218"/>
      <c r="H92" s="4218"/>
      <c r="I92" s="4218">
        <f>5990843-2500000-3490843</f>
        <v>0</v>
      </c>
      <c r="J92" s="4218">
        <f>7154456-7154456</f>
        <v>0</v>
      </c>
      <c r="K92" s="4218">
        <v>0</v>
      </c>
      <c r="L92" s="4218">
        <v>0</v>
      </c>
      <c r="M92" s="4218"/>
      <c r="N92" s="4218">
        <v>0</v>
      </c>
      <c r="O92" s="4218">
        <v>0</v>
      </c>
      <c r="P92" s="4218">
        <v>0</v>
      </c>
      <c r="Q92" s="4218">
        <v>0</v>
      </c>
      <c r="R92" s="4218">
        <v>0</v>
      </c>
      <c r="S92" s="4218"/>
      <c r="T92" s="4218"/>
      <c r="U92" s="4218"/>
      <c r="V92" s="4218"/>
      <c r="W92" s="4218"/>
      <c r="X92" s="4179">
        <f>SUM(P92:S92)</f>
        <v>0</v>
      </c>
      <c r="Y92" s="4219"/>
      <c r="Z92" s="4156"/>
      <c r="AA92" s="4156"/>
      <c r="AB92" s="4156"/>
      <c r="AC92" s="4156"/>
      <c r="AD92" s="4156"/>
      <c r="AE92" s="4156"/>
      <c r="AF92" s="4156"/>
      <c r="AG92" s="4156"/>
      <c r="AH92" s="4156"/>
      <c r="AI92" s="4156"/>
      <c r="AJ92" s="4156"/>
      <c r="AK92" s="4156"/>
      <c r="AL92" s="4156"/>
      <c r="AM92" s="4156"/>
      <c r="AN92" s="4156"/>
      <c r="AO92" s="4156"/>
      <c r="AP92" s="4156"/>
      <c r="AQ92" s="4156"/>
      <c r="AR92" s="4156"/>
      <c r="AS92" s="4156"/>
      <c r="AT92" s="4156"/>
      <c r="AU92" s="4156"/>
      <c r="AV92" s="4156"/>
      <c r="AW92" s="4156"/>
      <c r="AX92" s="4156"/>
      <c r="AY92" s="4156"/>
      <c r="AZ92" s="4156"/>
      <c r="BA92" s="4156"/>
      <c r="BB92" s="4156"/>
      <c r="BC92" s="4156"/>
      <c r="BD92" s="4156"/>
      <c r="BE92" s="4156"/>
      <c r="BF92" s="4156"/>
      <c r="BG92" s="4156"/>
      <c r="BH92" s="4156"/>
      <c r="BI92" s="4156"/>
      <c r="BJ92" s="4156"/>
      <c r="BK92" s="4156"/>
      <c r="BL92" s="4156"/>
      <c r="BM92" s="4156"/>
      <c r="BN92" s="4156"/>
      <c r="BO92" s="4156"/>
      <c r="BP92" s="4156"/>
      <c r="BQ92" s="4156"/>
      <c r="BR92" s="4156"/>
      <c r="BS92" s="4156"/>
      <c r="BT92" s="4156"/>
      <c r="BU92" s="4156"/>
      <c r="BV92" s="4156"/>
      <c r="BW92" s="4156"/>
      <c r="BX92" s="4156"/>
      <c r="BY92" s="4156"/>
      <c r="BZ92" s="4156"/>
      <c r="CA92" s="4156"/>
      <c r="CB92" s="4156"/>
      <c r="CC92" s="4156"/>
      <c r="CD92" s="4156"/>
      <c r="CE92" s="4156"/>
      <c r="CF92" s="4156"/>
      <c r="CG92" s="4156"/>
      <c r="CH92" s="4156"/>
      <c r="CI92" s="4156"/>
      <c r="CJ92" s="4156"/>
      <c r="CK92" s="4156"/>
      <c r="CL92" s="4156"/>
      <c r="CM92" s="4156"/>
      <c r="CN92" s="4156"/>
      <c r="CO92" s="4156"/>
      <c r="CP92" s="4156"/>
      <c r="CQ92" s="4156"/>
      <c r="CR92" s="4156"/>
      <c r="CS92" s="4156"/>
      <c r="CT92" s="4156"/>
      <c r="CU92" s="4156"/>
      <c r="CV92" s="4156"/>
      <c r="CW92" s="4156"/>
      <c r="CX92" s="4156"/>
      <c r="CY92" s="4156"/>
      <c r="CZ92" s="4156"/>
      <c r="DA92" s="4156"/>
      <c r="DB92" s="4156"/>
      <c r="DC92" s="4156"/>
      <c r="DD92" s="4156"/>
      <c r="DE92" s="4156"/>
      <c r="DF92" s="4156"/>
      <c r="DG92" s="4156"/>
      <c r="DH92" s="4156"/>
      <c r="DI92" s="4156"/>
      <c r="DJ92" s="4156"/>
      <c r="DK92" s="4156"/>
      <c r="DL92" s="4156"/>
      <c r="DM92" s="4156"/>
      <c r="DN92" s="4156"/>
      <c r="DO92" s="4156"/>
    </row>
    <row r="93" spans="1:119" ht="12.75" hidden="1" customHeight="1">
      <c r="A93" s="4220" t="s">
        <v>80</v>
      </c>
      <c r="B93" s="4221" t="s">
        <v>178</v>
      </c>
      <c r="C93" s="3990" t="s">
        <v>98</v>
      </c>
      <c r="D93" s="3990"/>
      <c r="E93" s="3990"/>
      <c r="F93" s="3990"/>
      <c r="G93" s="3990"/>
      <c r="H93" s="3990"/>
      <c r="I93" s="3990"/>
      <c r="J93" s="3990"/>
      <c r="K93" s="3990"/>
      <c r="L93" s="3990"/>
      <c r="M93" s="3990"/>
      <c r="N93" s="3990"/>
      <c r="O93" s="3990"/>
      <c r="P93" s="3990"/>
      <c r="Q93" s="3990"/>
      <c r="R93" s="3990"/>
      <c r="S93" s="3990"/>
      <c r="T93" s="3990"/>
      <c r="U93" s="3990"/>
      <c r="V93" s="3990"/>
      <c r="W93" s="3990"/>
      <c r="X93" s="4222"/>
      <c r="Y93" s="4223" t="s">
        <v>179</v>
      </c>
    </row>
    <row r="94" spans="1:119" ht="13.5" hidden="1" customHeight="1">
      <c r="A94" s="4224"/>
      <c r="B94" s="4085" t="s">
        <v>22</v>
      </c>
      <c r="C94" s="4225"/>
      <c r="D94" s="3990">
        <f>SUM(E94:P94)</f>
        <v>0</v>
      </c>
      <c r="E94" s="4226">
        <v>0</v>
      </c>
      <c r="F94" s="4226"/>
      <c r="G94" s="4226"/>
      <c r="H94" s="4226"/>
      <c r="I94" s="4226">
        <v>0</v>
      </c>
      <c r="J94" s="4226">
        <f>J95</f>
        <v>0</v>
      </c>
      <c r="K94" s="4226">
        <f>K95</f>
        <v>0</v>
      </c>
      <c r="L94" s="3990">
        <v>0</v>
      </c>
      <c r="M94" s="3990"/>
      <c r="N94" s="3990">
        <v>0</v>
      </c>
      <c r="O94" s="3990">
        <v>0</v>
      </c>
      <c r="P94" s="3990">
        <v>0</v>
      </c>
      <c r="Q94" s="3990">
        <v>0</v>
      </c>
      <c r="R94" s="3990">
        <v>0</v>
      </c>
      <c r="S94" s="3990"/>
      <c r="T94" s="3990"/>
      <c r="U94" s="3990"/>
      <c r="V94" s="3990"/>
      <c r="W94" s="3990"/>
      <c r="X94" s="4222"/>
      <c r="Y94" s="4223"/>
    </row>
    <row r="95" spans="1:119" ht="14.25" hidden="1" customHeight="1">
      <c r="A95" s="4224"/>
      <c r="B95" s="4221" t="s">
        <v>36</v>
      </c>
      <c r="C95" s="4227" t="s">
        <v>180</v>
      </c>
      <c r="D95" s="3990">
        <f>SUM(E95:P95)</f>
        <v>0</v>
      </c>
      <c r="E95" s="3990">
        <v>0</v>
      </c>
      <c r="F95" s="3990"/>
      <c r="G95" s="3990"/>
      <c r="H95" s="3990"/>
      <c r="I95" s="3990">
        <v>0</v>
      </c>
      <c r="J95" s="3990">
        <f>J96</f>
        <v>0</v>
      </c>
      <c r="K95" s="3990">
        <f>K96</f>
        <v>0</v>
      </c>
      <c r="L95" s="3990">
        <v>0</v>
      </c>
      <c r="M95" s="3990"/>
      <c r="N95" s="3990">
        <v>0</v>
      </c>
      <c r="O95" s="3990">
        <v>0</v>
      </c>
      <c r="P95" s="3990">
        <v>0</v>
      </c>
      <c r="Q95" s="3990">
        <v>0</v>
      </c>
      <c r="R95" s="3990">
        <v>0</v>
      </c>
      <c r="S95" s="3990"/>
      <c r="T95" s="3990"/>
      <c r="U95" s="3990"/>
      <c r="V95" s="3990"/>
      <c r="W95" s="3990"/>
      <c r="X95" s="4222"/>
      <c r="Y95" s="4228"/>
    </row>
    <row r="96" spans="1:119" ht="15" hidden="1" customHeight="1" thickBot="1">
      <c r="A96" s="4224"/>
      <c r="B96" s="4221" t="s">
        <v>24</v>
      </c>
      <c r="C96" s="4227"/>
      <c r="D96" s="3990">
        <f>SUM(E96:P96)</f>
        <v>0</v>
      </c>
      <c r="E96" s="3990">
        <v>0</v>
      </c>
      <c r="F96" s="3990"/>
      <c r="G96" s="3990"/>
      <c r="H96" s="3990"/>
      <c r="I96" s="3990">
        <v>0</v>
      </c>
      <c r="J96" s="3990">
        <v>0</v>
      </c>
      <c r="K96" s="3990">
        <v>0</v>
      </c>
      <c r="L96" s="3990">
        <v>0</v>
      </c>
      <c r="M96" s="3990"/>
      <c r="N96" s="3990">
        <v>0</v>
      </c>
      <c r="O96" s="3990">
        <v>0</v>
      </c>
      <c r="P96" s="3990">
        <v>0</v>
      </c>
      <c r="Q96" s="3990">
        <v>0</v>
      </c>
      <c r="R96" s="3990">
        <v>0</v>
      </c>
      <c r="S96" s="3990"/>
      <c r="T96" s="3990"/>
      <c r="U96" s="3990"/>
      <c r="V96" s="3990"/>
      <c r="W96" s="3990"/>
      <c r="X96" s="4222"/>
      <c r="Y96" s="4228"/>
    </row>
    <row r="97" spans="1:25" ht="36.75" hidden="1" customHeight="1">
      <c r="A97" s="4229" t="s">
        <v>79</v>
      </c>
      <c r="B97" s="4202" t="s">
        <v>334</v>
      </c>
      <c r="C97" s="4230" t="s">
        <v>98</v>
      </c>
      <c r="D97" s="4231"/>
      <c r="E97" s="4080"/>
      <c r="F97" s="4080"/>
      <c r="G97" s="4080"/>
      <c r="H97" s="4080"/>
      <c r="I97" s="4080"/>
      <c r="J97" s="4080"/>
      <c r="K97" s="4080"/>
      <c r="L97" s="4205"/>
      <c r="M97" s="4205"/>
      <c r="N97" s="4205"/>
      <c r="O97" s="4205"/>
      <c r="P97" s="4206"/>
      <c r="Q97" s="4206"/>
      <c r="R97" s="4206"/>
      <c r="S97" s="4206"/>
      <c r="T97" s="4206"/>
      <c r="U97" s="4206"/>
      <c r="V97" s="4206"/>
      <c r="W97" s="4206"/>
      <c r="X97" s="4232"/>
      <c r="Y97" s="4233" t="s">
        <v>275</v>
      </c>
    </row>
    <row r="98" spans="1:25" ht="14.25" hidden="1" customHeight="1">
      <c r="A98" s="4220"/>
      <c r="B98" s="4060" t="s">
        <v>22</v>
      </c>
      <c r="C98" s="4225"/>
      <c r="D98" s="4234">
        <f>+D99+D102</f>
        <v>0</v>
      </c>
      <c r="E98" s="4234">
        <f>+E99+E102</f>
        <v>0</v>
      </c>
      <c r="F98" s="4234"/>
      <c r="G98" s="4234"/>
      <c r="H98" s="4234"/>
      <c r="I98" s="4234">
        <f>I99</f>
        <v>0</v>
      </c>
      <c r="J98" s="4234">
        <f>+J99+J102</f>
        <v>0</v>
      </c>
      <c r="K98" s="4234">
        <f>+K99+K102</f>
        <v>0</v>
      </c>
      <c r="L98" s="4234">
        <f>+L99+L102</f>
        <v>0</v>
      </c>
      <c r="M98" s="4234">
        <f>+M99+M102</f>
        <v>0</v>
      </c>
      <c r="N98" s="4234">
        <f>+N99+N102</f>
        <v>0</v>
      </c>
      <c r="O98" s="4234">
        <v>0</v>
      </c>
      <c r="P98" s="4234">
        <v>0</v>
      </c>
      <c r="Q98" s="4234">
        <v>0</v>
      </c>
      <c r="R98" s="4234">
        <v>0</v>
      </c>
      <c r="S98" s="4234">
        <v>0</v>
      </c>
      <c r="T98" s="4234">
        <v>0</v>
      </c>
      <c r="U98" s="4234">
        <v>0</v>
      </c>
      <c r="V98" s="4234">
        <v>0</v>
      </c>
      <c r="W98" s="4234">
        <v>0</v>
      </c>
      <c r="X98" s="4192">
        <f>+X99</f>
        <v>0</v>
      </c>
      <c r="Y98" s="4233"/>
    </row>
    <row r="99" spans="1:25" ht="15.75" hidden="1" customHeight="1">
      <c r="A99" s="4220"/>
      <c r="B99" s="4235" t="s">
        <v>36</v>
      </c>
      <c r="C99" s="4139" t="s">
        <v>181</v>
      </c>
      <c r="D99" s="4236">
        <f>D100+D101</f>
        <v>0</v>
      </c>
      <c r="E99" s="4236">
        <f t="shared" ref="E99:P99" si="65">E100+E101</f>
        <v>0</v>
      </c>
      <c r="F99" s="4236">
        <f t="shared" si="65"/>
        <v>0</v>
      </c>
      <c r="G99" s="4236">
        <f t="shared" si="65"/>
        <v>0</v>
      </c>
      <c r="H99" s="4236">
        <f t="shared" si="65"/>
        <v>0</v>
      </c>
      <c r="I99" s="4236">
        <f t="shared" si="65"/>
        <v>0</v>
      </c>
      <c r="J99" s="4236">
        <f t="shared" si="65"/>
        <v>0</v>
      </c>
      <c r="K99" s="4236">
        <f t="shared" si="65"/>
        <v>0</v>
      </c>
      <c r="L99" s="4236">
        <f t="shared" si="65"/>
        <v>0</v>
      </c>
      <c r="M99" s="4236">
        <f t="shared" si="65"/>
        <v>0</v>
      </c>
      <c r="N99" s="4236">
        <f t="shared" si="65"/>
        <v>0</v>
      </c>
      <c r="O99" s="4236">
        <f t="shared" si="65"/>
        <v>0</v>
      </c>
      <c r="P99" s="4236">
        <f t="shared" si="65"/>
        <v>0</v>
      </c>
      <c r="Q99" s="4236">
        <f>Q100+Q101</f>
        <v>0</v>
      </c>
      <c r="R99" s="4236">
        <f>R100+R101</f>
        <v>0</v>
      </c>
      <c r="S99" s="4236">
        <f t="shared" ref="S99:W99" si="66">S100+S101</f>
        <v>0</v>
      </c>
      <c r="T99" s="4236">
        <f t="shared" si="66"/>
        <v>0</v>
      </c>
      <c r="U99" s="4236">
        <f t="shared" si="66"/>
        <v>0</v>
      </c>
      <c r="V99" s="4236">
        <f t="shared" si="66"/>
        <v>0</v>
      </c>
      <c r="W99" s="4236">
        <f t="shared" si="66"/>
        <v>0</v>
      </c>
      <c r="X99" s="4058">
        <f>+X101</f>
        <v>0</v>
      </c>
      <c r="Y99" s="4233"/>
    </row>
    <row r="100" spans="1:25" ht="13.5" hidden="1" customHeight="1">
      <c r="A100" s="4220"/>
      <c r="B100" s="4237" t="s">
        <v>172</v>
      </c>
      <c r="C100" s="4095"/>
      <c r="D100" s="4096">
        <f>M100+O100+P100+Q100+R100+S100+T100+U100+V100+W100</f>
        <v>0</v>
      </c>
      <c r="E100" s="4116">
        <v>0</v>
      </c>
      <c r="F100" s="4116"/>
      <c r="G100" s="4116"/>
      <c r="H100" s="4116"/>
      <c r="I100" s="4116">
        <v>0</v>
      </c>
      <c r="J100" s="4116">
        <v>0</v>
      </c>
      <c r="K100" s="4116">
        <f>2079+2921-5000</f>
        <v>0</v>
      </c>
      <c r="L100" s="4116">
        <v>0</v>
      </c>
      <c r="M100" s="4096">
        <f>+L100+N100</f>
        <v>0</v>
      </c>
      <c r="N100" s="4116">
        <v>0</v>
      </c>
      <c r="O100" s="4116">
        <v>0</v>
      </c>
      <c r="P100" s="4116">
        <v>0</v>
      </c>
      <c r="Q100" s="4116">
        <v>0</v>
      </c>
      <c r="R100" s="4116">
        <v>0</v>
      </c>
      <c r="S100" s="4116">
        <v>0</v>
      </c>
      <c r="T100" s="4116">
        <v>0</v>
      </c>
      <c r="U100" s="4116">
        <v>0</v>
      </c>
      <c r="V100" s="4116">
        <v>0</v>
      </c>
      <c r="W100" s="4116">
        <v>0</v>
      </c>
      <c r="X100" s="4184" t="s">
        <v>77</v>
      </c>
      <c r="Y100" s="4233"/>
    </row>
    <row r="101" spans="1:25" ht="13.5" hidden="1" customHeight="1">
      <c r="A101" s="4220"/>
      <c r="B101" s="4238" t="s">
        <v>173</v>
      </c>
      <c r="C101" s="4095"/>
      <c r="D101" s="4096">
        <f>M101+O101+P101+Q101+R101+S101+T101+U101+V101+W101</f>
        <v>0</v>
      </c>
      <c r="E101" s="4239">
        <v>0</v>
      </c>
      <c r="F101" s="4239"/>
      <c r="G101" s="4239"/>
      <c r="H101" s="4239"/>
      <c r="I101" s="4239">
        <v>0</v>
      </c>
      <c r="J101" s="4239">
        <v>0</v>
      </c>
      <c r="K101" s="4239">
        <v>0</v>
      </c>
      <c r="L101" s="4239">
        <v>0</v>
      </c>
      <c r="M101" s="4096">
        <f>+L101+N101</f>
        <v>0</v>
      </c>
      <c r="N101" s="4239">
        <v>0</v>
      </c>
      <c r="O101" s="4239">
        <v>0</v>
      </c>
      <c r="P101" s="4239">
        <v>0</v>
      </c>
      <c r="Q101" s="4239">
        <v>0</v>
      </c>
      <c r="R101" s="4239">
        <v>0</v>
      </c>
      <c r="S101" s="4239">
        <v>0</v>
      </c>
      <c r="T101" s="4239">
        <v>0</v>
      </c>
      <c r="U101" s="4239">
        <v>0</v>
      </c>
      <c r="V101" s="4239">
        <v>0</v>
      </c>
      <c r="W101" s="4239">
        <v>0</v>
      </c>
      <c r="X101" s="4058">
        <f>+P101+Q101+R101</f>
        <v>0</v>
      </c>
      <c r="Y101" s="4233"/>
    </row>
    <row r="102" spans="1:25" ht="12" hidden="1" customHeight="1">
      <c r="A102" s="4220"/>
      <c r="B102" s="4235" t="s">
        <v>30</v>
      </c>
      <c r="C102" s="4095"/>
      <c r="D102" s="4236">
        <f>+D103</f>
        <v>0</v>
      </c>
      <c r="E102" s="4236">
        <f>+E103</f>
        <v>0</v>
      </c>
      <c r="F102" s="4236"/>
      <c r="G102" s="4236"/>
      <c r="H102" s="4236"/>
      <c r="I102" s="4236">
        <f t="shared" ref="I102:X102" si="67">+I103</f>
        <v>0</v>
      </c>
      <c r="J102" s="4236">
        <f t="shared" si="67"/>
        <v>0</v>
      </c>
      <c r="K102" s="4236">
        <f t="shared" si="67"/>
        <v>0</v>
      </c>
      <c r="L102" s="4236">
        <f t="shared" si="67"/>
        <v>0</v>
      </c>
      <c r="M102" s="4236">
        <f t="shared" si="67"/>
        <v>0</v>
      </c>
      <c r="N102" s="4236">
        <f t="shared" si="67"/>
        <v>0</v>
      </c>
      <c r="O102" s="4236">
        <v>0</v>
      </c>
      <c r="P102" s="4236">
        <v>0</v>
      </c>
      <c r="Q102" s="4236">
        <v>0</v>
      </c>
      <c r="R102" s="4236">
        <v>0</v>
      </c>
      <c r="S102" s="4236">
        <v>0</v>
      </c>
      <c r="T102" s="4236">
        <v>0</v>
      </c>
      <c r="U102" s="4236">
        <v>0</v>
      </c>
      <c r="V102" s="4236">
        <v>0</v>
      </c>
      <c r="W102" s="4236">
        <v>0</v>
      </c>
      <c r="X102" s="4184" t="str">
        <f t="shared" si="67"/>
        <v>x</v>
      </c>
      <c r="Y102" s="4233"/>
    </row>
    <row r="103" spans="1:25" ht="14.25" hidden="1" customHeight="1">
      <c r="A103" s="4220"/>
      <c r="B103" s="4240" t="s">
        <v>48</v>
      </c>
      <c r="C103" s="4102"/>
      <c r="D103" s="4096">
        <f>M103+O103+P103+Q103+R103+S103+T103+U103+V103+W103</f>
        <v>0</v>
      </c>
      <c r="E103" s="4239">
        <v>0</v>
      </c>
      <c r="F103" s="4239"/>
      <c r="G103" s="4239"/>
      <c r="H103" s="4239"/>
      <c r="I103" s="4239">
        <v>0</v>
      </c>
      <c r="J103" s="4239">
        <v>0</v>
      </c>
      <c r="K103" s="4239">
        <f>6237+8763-15000</f>
        <v>0</v>
      </c>
      <c r="L103" s="4239">
        <v>0</v>
      </c>
      <c r="M103" s="4096">
        <f>+L103+N103</f>
        <v>0</v>
      </c>
      <c r="N103" s="4239">
        <v>0</v>
      </c>
      <c r="O103" s="4241">
        <v>0</v>
      </c>
      <c r="P103" s="4241">
        <v>0</v>
      </c>
      <c r="Q103" s="4241">
        <v>0</v>
      </c>
      <c r="R103" s="4241">
        <v>0</v>
      </c>
      <c r="S103" s="4241">
        <v>0</v>
      </c>
      <c r="T103" s="4241">
        <v>0</v>
      </c>
      <c r="U103" s="4241">
        <v>0</v>
      </c>
      <c r="V103" s="4241">
        <v>0</v>
      </c>
      <c r="W103" s="4241">
        <v>0</v>
      </c>
      <c r="X103" s="4242" t="s">
        <v>77</v>
      </c>
      <c r="Y103" s="4233"/>
    </row>
    <row r="104" spans="1:25" ht="13.5" hidden="1" customHeight="1">
      <c r="A104" s="4220"/>
      <c r="B104" s="4085" t="s">
        <v>34</v>
      </c>
      <c r="C104" s="4225"/>
      <c r="D104" s="4234">
        <f>D108+D105</f>
        <v>0</v>
      </c>
      <c r="E104" s="4234">
        <f t="shared" ref="E104:J104" si="68">E108</f>
        <v>0</v>
      </c>
      <c r="F104" s="4234"/>
      <c r="G104" s="4234"/>
      <c r="H104" s="4234"/>
      <c r="I104" s="4234">
        <f t="shared" si="68"/>
        <v>0</v>
      </c>
      <c r="J104" s="4234">
        <f t="shared" si="68"/>
        <v>0</v>
      </c>
      <c r="K104" s="4234">
        <f>K108+K105</f>
        <v>0</v>
      </c>
      <c r="L104" s="4234">
        <f>L108+L105</f>
        <v>0</v>
      </c>
      <c r="M104" s="4234">
        <f>M108+M105</f>
        <v>0</v>
      </c>
      <c r="N104" s="4234">
        <f>N108+N105</f>
        <v>0</v>
      </c>
      <c r="O104" s="4234">
        <f>O108+O105</f>
        <v>0</v>
      </c>
      <c r="P104" s="4234">
        <v>0</v>
      </c>
      <c r="Q104" s="4234">
        <v>0</v>
      </c>
      <c r="R104" s="4234">
        <v>0</v>
      </c>
      <c r="S104" s="4234">
        <v>0</v>
      </c>
      <c r="T104" s="4234">
        <v>0</v>
      </c>
      <c r="U104" s="4234">
        <v>0</v>
      </c>
      <c r="V104" s="4234">
        <v>0</v>
      </c>
      <c r="W104" s="4234">
        <v>0</v>
      </c>
      <c r="X104" s="4192"/>
      <c r="Y104" s="4233"/>
    </row>
    <row r="105" spans="1:25" ht="14.25" hidden="1" customHeight="1">
      <c r="A105" s="4220"/>
      <c r="B105" s="4090" t="s">
        <v>36</v>
      </c>
      <c r="C105" s="4243" t="s">
        <v>35</v>
      </c>
      <c r="D105" s="4244">
        <f>+D107+D106</f>
        <v>0</v>
      </c>
      <c r="E105" s="4244">
        <f t="shared" ref="E105:P105" si="69">+E107+E106</f>
        <v>0</v>
      </c>
      <c r="F105" s="4244">
        <f t="shared" si="69"/>
        <v>0</v>
      </c>
      <c r="G105" s="4244">
        <f t="shared" si="69"/>
        <v>0</v>
      </c>
      <c r="H105" s="4244">
        <f t="shared" si="69"/>
        <v>0</v>
      </c>
      <c r="I105" s="4244">
        <f t="shared" si="69"/>
        <v>0</v>
      </c>
      <c r="J105" s="4244">
        <f t="shared" si="69"/>
        <v>0</v>
      </c>
      <c r="K105" s="4244">
        <f t="shared" si="69"/>
        <v>0</v>
      </c>
      <c r="L105" s="4244">
        <f t="shared" si="69"/>
        <v>0</v>
      </c>
      <c r="M105" s="4244">
        <f t="shared" si="69"/>
        <v>0</v>
      </c>
      <c r="N105" s="4244">
        <f t="shared" si="69"/>
        <v>0</v>
      </c>
      <c r="O105" s="4244">
        <f t="shared" si="69"/>
        <v>0</v>
      </c>
      <c r="P105" s="4236">
        <f t="shared" si="69"/>
        <v>0</v>
      </c>
      <c r="Q105" s="4236">
        <f>+Q107+Q106</f>
        <v>0</v>
      </c>
      <c r="R105" s="4236">
        <f>+R107+R106</f>
        <v>0</v>
      </c>
      <c r="S105" s="4236">
        <f t="shared" ref="S105:W105" si="70">+S107+S106</f>
        <v>0</v>
      </c>
      <c r="T105" s="4236">
        <f t="shared" si="70"/>
        <v>0</v>
      </c>
      <c r="U105" s="4236">
        <f t="shared" si="70"/>
        <v>0</v>
      </c>
      <c r="V105" s="4236">
        <f t="shared" si="70"/>
        <v>0</v>
      </c>
      <c r="W105" s="4236">
        <f t="shared" si="70"/>
        <v>0</v>
      </c>
      <c r="X105" s="4110" t="s">
        <v>77</v>
      </c>
      <c r="Y105" s="4233"/>
    </row>
    <row r="106" spans="1:25" ht="13.5" hidden="1" customHeight="1">
      <c r="A106" s="4220"/>
      <c r="B106" s="4237" t="s">
        <v>172</v>
      </c>
      <c r="C106" s="4245"/>
      <c r="D106" s="4096">
        <f>M106+O106+P106+Q106+R106+S106+T106+U106+V106+W106</f>
        <v>0</v>
      </c>
      <c r="E106" s="4246">
        <v>0</v>
      </c>
      <c r="F106" s="4246"/>
      <c r="G106" s="4246"/>
      <c r="H106" s="4246"/>
      <c r="I106" s="4246">
        <v>0</v>
      </c>
      <c r="J106" s="4246">
        <v>0</v>
      </c>
      <c r="K106" s="4246">
        <f>2079+2921-5000</f>
        <v>0</v>
      </c>
      <c r="L106" s="4246">
        <v>0</v>
      </c>
      <c r="M106" s="4096">
        <f>+L106+N106</f>
        <v>0</v>
      </c>
      <c r="N106" s="4246">
        <v>0</v>
      </c>
      <c r="O106" s="4246">
        <v>0</v>
      </c>
      <c r="P106" s="4247">
        <v>0</v>
      </c>
      <c r="Q106" s="4247">
        <v>0</v>
      </c>
      <c r="R106" s="4247">
        <v>0</v>
      </c>
      <c r="S106" s="4247">
        <v>0</v>
      </c>
      <c r="T106" s="4247">
        <v>0</v>
      </c>
      <c r="U106" s="4247">
        <v>0</v>
      </c>
      <c r="V106" s="4247">
        <v>0</v>
      </c>
      <c r="W106" s="4247">
        <v>0</v>
      </c>
      <c r="X106" s="4114"/>
      <c r="Y106" s="4233"/>
    </row>
    <row r="107" spans="1:25" ht="13.5" hidden="1" customHeight="1">
      <c r="A107" s="4220"/>
      <c r="B107" s="4238" t="s">
        <v>182</v>
      </c>
      <c r="C107" s="4245"/>
      <c r="D107" s="4096">
        <f>M107+O107+P107+Q107+R107+S107+T107+U107+V107+W107</f>
        <v>0</v>
      </c>
      <c r="E107" s="4239">
        <v>0</v>
      </c>
      <c r="F107" s="4239"/>
      <c r="G107" s="4239"/>
      <c r="H107" s="4239"/>
      <c r="I107" s="4239">
        <v>0</v>
      </c>
      <c r="J107" s="4239">
        <v>0</v>
      </c>
      <c r="K107" s="4239">
        <v>0</v>
      </c>
      <c r="L107" s="4239">
        <f>2111463-51216-2060247</f>
        <v>0</v>
      </c>
      <c r="M107" s="4246">
        <f>+L107</f>
        <v>0</v>
      </c>
      <c r="N107" s="4239">
        <f>1489154-9350-1479804</f>
        <v>0</v>
      </c>
      <c r="O107" s="4239">
        <v>0</v>
      </c>
      <c r="P107" s="4239">
        <v>0</v>
      </c>
      <c r="Q107" s="4239">
        <v>0</v>
      </c>
      <c r="R107" s="4239">
        <v>0</v>
      </c>
      <c r="S107" s="4239">
        <v>0</v>
      </c>
      <c r="T107" s="4239">
        <v>0</v>
      </c>
      <c r="U107" s="4239">
        <v>0</v>
      </c>
      <c r="V107" s="4239">
        <v>0</v>
      </c>
      <c r="W107" s="4239">
        <v>0</v>
      </c>
      <c r="X107" s="4114"/>
      <c r="Y107" s="4233"/>
    </row>
    <row r="108" spans="1:25" ht="12.75" hidden="1" customHeight="1">
      <c r="A108" s="4220"/>
      <c r="B108" s="4235" t="s">
        <v>30</v>
      </c>
      <c r="C108" s="4245"/>
      <c r="D108" s="4244">
        <f>+D109</f>
        <v>0</v>
      </c>
      <c r="E108" s="4244">
        <f>+E109</f>
        <v>0</v>
      </c>
      <c r="F108" s="4244"/>
      <c r="G108" s="4244"/>
      <c r="H108" s="4244"/>
      <c r="I108" s="4244">
        <f t="shared" ref="I108:O108" si="71">+I109</f>
        <v>0</v>
      </c>
      <c r="J108" s="4244">
        <f t="shared" si="71"/>
        <v>0</v>
      </c>
      <c r="K108" s="4244">
        <f t="shared" si="71"/>
        <v>0</v>
      </c>
      <c r="L108" s="4244">
        <f t="shared" si="71"/>
        <v>0</v>
      </c>
      <c r="M108" s="4244">
        <f t="shared" si="71"/>
        <v>0</v>
      </c>
      <c r="N108" s="4244">
        <f t="shared" si="71"/>
        <v>0</v>
      </c>
      <c r="O108" s="4244">
        <f t="shared" si="71"/>
        <v>0</v>
      </c>
      <c r="P108" s="4236">
        <v>0</v>
      </c>
      <c r="Q108" s="4236">
        <v>0</v>
      </c>
      <c r="R108" s="4236">
        <v>0</v>
      </c>
      <c r="S108" s="4236">
        <v>0</v>
      </c>
      <c r="T108" s="4236">
        <v>0</v>
      </c>
      <c r="U108" s="4236"/>
      <c r="V108" s="4236"/>
      <c r="W108" s="4236"/>
      <c r="X108" s="4114"/>
      <c r="Y108" s="4233"/>
    </row>
    <row r="109" spans="1:25" ht="13.5" hidden="1" customHeight="1" thickBot="1">
      <c r="A109" s="4220"/>
      <c r="B109" s="4248" t="s">
        <v>48</v>
      </c>
      <c r="C109" s="4249"/>
      <c r="D109" s="4096">
        <f>M109+O109+P109+Q109+R109+S109+T109+U109+V109+W109</f>
        <v>0</v>
      </c>
      <c r="E109" s="4246">
        <v>0</v>
      </c>
      <c r="F109" s="4246"/>
      <c r="G109" s="4246"/>
      <c r="H109" s="4246"/>
      <c r="I109" s="4246">
        <v>0</v>
      </c>
      <c r="J109" s="4246">
        <v>0</v>
      </c>
      <c r="K109" s="4246">
        <f>6237+8763-15000</f>
        <v>0</v>
      </c>
      <c r="L109" s="4246">
        <v>0</v>
      </c>
      <c r="M109" s="4096">
        <v>0</v>
      </c>
      <c r="N109" s="4246">
        <v>0</v>
      </c>
      <c r="O109" s="4247">
        <v>0</v>
      </c>
      <c r="P109" s="4247">
        <v>0</v>
      </c>
      <c r="Q109" s="4247">
        <v>0</v>
      </c>
      <c r="R109" s="4247">
        <v>0</v>
      </c>
      <c r="S109" s="4247">
        <v>0</v>
      </c>
      <c r="T109" s="4247">
        <v>0</v>
      </c>
      <c r="U109" s="4247">
        <v>0</v>
      </c>
      <c r="V109" s="4247">
        <v>0</v>
      </c>
      <c r="W109" s="4247">
        <v>0</v>
      </c>
      <c r="X109" s="4127"/>
      <c r="Y109" s="4250"/>
    </row>
    <row r="110" spans="1:25" ht="26.25" hidden="1" customHeight="1">
      <c r="A110" s="4229" t="s">
        <v>79</v>
      </c>
      <c r="B110" s="4251" t="s">
        <v>283</v>
      </c>
      <c r="C110" s="4252" t="s">
        <v>98</v>
      </c>
      <c r="D110" s="4253"/>
      <c r="E110" s="4080"/>
      <c r="F110" s="4080"/>
      <c r="G110" s="4080"/>
      <c r="H110" s="4080"/>
      <c r="I110" s="4080"/>
      <c r="J110" s="4080"/>
      <c r="K110" s="4080"/>
      <c r="L110" s="4205"/>
      <c r="M110" s="4205"/>
      <c r="N110" s="4205"/>
      <c r="O110" s="4205"/>
      <c r="P110" s="4206"/>
      <c r="Q110" s="4206"/>
      <c r="R110" s="4206"/>
      <c r="S110" s="4206"/>
      <c r="T110" s="4206"/>
      <c r="U110" s="4206"/>
      <c r="V110" s="4206"/>
      <c r="W110" s="4206"/>
      <c r="X110" s="4082"/>
      <c r="Y110" s="4136" t="s">
        <v>296</v>
      </c>
    </row>
    <row r="111" spans="1:25" s="4066" customFormat="1" ht="17.25" hidden="1" customHeight="1">
      <c r="A111" s="4224"/>
      <c r="B111" s="4254" t="s">
        <v>22</v>
      </c>
      <c r="C111" s="4225"/>
      <c r="D111" s="4255">
        <f>+D112</f>
        <v>0</v>
      </c>
      <c r="E111" s="4255">
        <f t="shared" ref="E111:U112" si="72">E112</f>
        <v>0</v>
      </c>
      <c r="F111" s="4255">
        <f t="shared" si="72"/>
        <v>0</v>
      </c>
      <c r="G111" s="4255">
        <f t="shared" si="72"/>
        <v>0</v>
      </c>
      <c r="H111" s="4255">
        <f t="shared" si="72"/>
        <v>0</v>
      </c>
      <c r="I111" s="4255">
        <f t="shared" si="72"/>
        <v>0</v>
      </c>
      <c r="J111" s="4255">
        <f t="shared" si="72"/>
        <v>0</v>
      </c>
      <c r="K111" s="4255">
        <f t="shared" si="72"/>
        <v>0</v>
      </c>
      <c r="L111" s="4255">
        <f t="shared" si="72"/>
        <v>0</v>
      </c>
      <c r="M111" s="4255">
        <f t="shared" si="72"/>
        <v>0</v>
      </c>
      <c r="N111" s="4255">
        <f t="shared" si="72"/>
        <v>117496</v>
      </c>
      <c r="O111" s="4255">
        <f t="shared" si="72"/>
        <v>0</v>
      </c>
      <c r="P111" s="4255">
        <f t="shared" si="72"/>
        <v>0</v>
      </c>
      <c r="Q111" s="4255">
        <f t="shared" si="72"/>
        <v>0</v>
      </c>
      <c r="R111" s="4255">
        <f t="shared" si="72"/>
        <v>0</v>
      </c>
      <c r="S111" s="4255">
        <f t="shared" si="72"/>
        <v>0</v>
      </c>
      <c r="T111" s="4255">
        <f t="shared" si="72"/>
        <v>0</v>
      </c>
      <c r="U111" s="4255">
        <f t="shared" si="72"/>
        <v>0</v>
      </c>
      <c r="V111" s="4255">
        <f t="shared" ref="V111:W111" si="73">V112</f>
        <v>0</v>
      </c>
      <c r="W111" s="4255">
        <f t="shared" si="73"/>
        <v>0</v>
      </c>
      <c r="X111" s="4256">
        <f>+X112</f>
        <v>0</v>
      </c>
      <c r="Y111" s="4137"/>
    </row>
    <row r="112" spans="1:25" s="4260" customFormat="1" ht="15" hidden="1" customHeight="1">
      <c r="A112" s="4224"/>
      <c r="B112" s="4257" t="s">
        <v>36</v>
      </c>
      <c r="C112" s="4258" t="s">
        <v>181</v>
      </c>
      <c r="D112" s="4244">
        <f>D113</f>
        <v>0</v>
      </c>
      <c r="E112" s="4244">
        <f t="shared" si="72"/>
        <v>0</v>
      </c>
      <c r="F112" s="4244">
        <f t="shared" si="72"/>
        <v>0</v>
      </c>
      <c r="G112" s="4244">
        <f t="shared" si="72"/>
        <v>0</v>
      </c>
      <c r="H112" s="4244">
        <f t="shared" si="72"/>
        <v>0</v>
      </c>
      <c r="I112" s="4244">
        <f t="shared" si="72"/>
        <v>0</v>
      </c>
      <c r="J112" s="4244">
        <f t="shared" si="72"/>
        <v>0</v>
      </c>
      <c r="K112" s="4244">
        <f t="shared" si="72"/>
        <v>0</v>
      </c>
      <c r="L112" s="4244">
        <f t="shared" si="72"/>
        <v>0</v>
      </c>
      <c r="M112" s="4244">
        <f>M113</f>
        <v>0</v>
      </c>
      <c r="N112" s="4244">
        <f t="shared" si="72"/>
        <v>117496</v>
      </c>
      <c r="O112" s="4244">
        <f t="shared" si="72"/>
        <v>0</v>
      </c>
      <c r="P112" s="4244">
        <f t="shared" si="72"/>
        <v>0</v>
      </c>
      <c r="Q112" s="4244">
        <f t="shared" si="72"/>
        <v>0</v>
      </c>
      <c r="R112" s="4244">
        <f t="shared" si="72"/>
        <v>0</v>
      </c>
      <c r="S112" s="4244">
        <f t="shared" si="72"/>
        <v>0</v>
      </c>
      <c r="T112" s="4244">
        <f t="shared" si="72"/>
        <v>0</v>
      </c>
      <c r="U112" s="4244">
        <f t="shared" si="72"/>
        <v>0</v>
      </c>
      <c r="V112" s="4244">
        <f t="shared" ref="V112:W112" si="74">V113</f>
        <v>0</v>
      </c>
      <c r="W112" s="4244">
        <f t="shared" si="74"/>
        <v>0</v>
      </c>
      <c r="X112" s="4259">
        <f>+X113</f>
        <v>0</v>
      </c>
      <c r="Y112" s="4137"/>
    </row>
    <row r="113" spans="1:25" s="4066" customFormat="1" ht="15" hidden="1" customHeight="1" thickBot="1">
      <c r="A113" s="4261"/>
      <c r="B113" s="4262" t="s">
        <v>173</v>
      </c>
      <c r="C113" s="4263"/>
      <c r="D113" s="4264">
        <f>M113+O113+P113+Q113+R113+S113+T113+U113+V113+W113</f>
        <v>0</v>
      </c>
      <c r="E113" s="4265">
        <v>0</v>
      </c>
      <c r="F113" s="4265"/>
      <c r="G113" s="4265"/>
      <c r="H113" s="4265"/>
      <c r="I113" s="4265">
        <v>0</v>
      </c>
      <c r="J113" s="4265">
        <v>0</v>
      </c>
      <c r="K113" s="4265">
        <v>0</v>
      </c>
      <c r="L113" s="4265">
        <v>0</v>
      </c>
      <c r="M113" s="4264">
        <v>0</v>
      </c>
      <c r="N113" s="4265">
        <f>60000+83395-25617-282</f>
        <v>117496</v>
      </c>
      <c r="O113" s="4265">
        <v>0</v>
      </c>
      <c r="P113" s="4265">
        <v>0</v>
      </c>
      <c r="Q113" s="4265">
        <v>0</v>
      </c>
      <c r="R113" s="4265">
        <v>0</v>
      </c>
      <c r="S113" s="4265">
        <v>0</v>
      </c>
      <c r="T113" s="4265">
        <v>0</v>
      </c>
      <c r="U113" s="4265">
        <v>0</v>
      </c>
      <c r="V113" s="4265">
        <v>0</v>
      </c>
      <c r="W113" s="4265">
        <v>0</v>
      </c>
      <c r="X113" s="4266">
        <f>+T113+S113+R113+Q113+P113</f>
        <v>0</v>
      </c>
      <c r="Y113" s="4144"/>
    </row>
    <row r="114" spans="1:25" ht="12.75">
      <c r="A114" s="3990"/>
      <c r="B114" s="3990"/>
      <c r="C114" s="3990"/>
      <c r="D114" s="3990"/>
      <c r="E114" s="3990"/>
      <c r="F114" s="3990"/>
      <c r="G114" s="3990"/>
      <c r="H114" s="3990"/>
      <c r="I114" s="3990"/>
      <c r="J114" s="3990"/>
      <c r="K114" s="3990"/>
      <c r="L114" s="3990"/>
      <c r="M114" s="3990"/>
      <c r="N114" s="3990"/>
      <c r="O114" s="3990"/>
      <c r="P114" s="3990"/>
      <c r="Q114" s="3990"/>
      <c r="R114" s="3990"/>
      <c r="S114" s="3990"/>
      <c r="T114" s="3990"/>
      <c r="U114" s="3990"/>
      <c r="V114" s="3990"/>
      <c r="W114" s="3990"/>
      <c r="X114" s="3990"/>
    </row>
    <row r="115" spans="1:25" ht="12.75">
      <c r="A115" s="3990"/>
      <c r="B115" s="3990"/>
      <c r="C115" s="3990"/>
      <c r="D115" s="3990"/>
      <c r="E115" s="3990"/>
      <c r="F115" s="3990"/>
      <c r="G115" s="3990"/>
      <c r="H115" s="3990"/>
      <c r="I115" s="3990"/>
      <c r="J115" s="3990"/>
      <c r="K115" s="3990"/>
      <c r="L115" s="3990"/>
      <c r="M115" s="3990"/>
      <c r="N115" s="3990"/>
      <c r="O115" s="3990"/>
      <c r="P115" s="3990"/>
      <c r="Q115" s="3990"/>
      <c r="R115" s="3990"/>
      <c r="S115" s="3990"/>
      <c r="T115" s="3990"/>
      <c r="U115" s="3990"/>
      <c r="V115" s="3990"/>
      <c r="W115" s="3990"/>
      <c r="X115" s="3990"/>
    </row>
    <row r="116" spans="1:25" ht="12.75">
      <c r="A116" s="3990"/>
      <c r="B116" s="3990"/>
      <c r="C116" s="3990"/>
      <c r="D116" s="3990"/>
      <c r="E116" s="3990"/>
      <c r="F116" s="3990"/>
      <c r="G116" s="3990"/>
      <c r="H116" s="3990"/>
      <c r="I116" s="3990"/>
      <c r="J116" s="3990"/>
      <c r="K116" s="3990"/>
      <c r="L116" s="3990"/>
      <c r="M116" s="3990"/>
      <c r="N116" s="3990"/>
      <c r="O116" s="3990"/>
      <c r="P116" s="3990"/>
      <c r="Q116" s="3990"/>
      <c r="R116" s="3990"/>
      <c r="S116" s="3990"/>
      <c r="T116" s="3990"/>
      <c r="U116" s="3990"/>
      <c r="V116" s="3990"/>
      <c r="W116" s="3990"/>
      <c r="X116" s="3990"/>
    </row>
    <row r="117" spans="1:25" ht="12.75">
      <c r="A117" s="3990"/>
      <c r="B117" s="3990"/>
      <c r="C117" s="3990"/>
      <c r="D117" s="3990"/>
      <c r="E117" s="3990"/>
      <c r="F117" s="3990"/>
      <c r="G117" s="3990"/>
      <c r="H117" s="3990"/>
      <c r="I117" s="3990"/>
      <c r="J117" s="3990"/>
      <c r="K117" s="3990"/>
      <c r="L117" s="3990"/>
      <c r="M117" s="3990"/>
      <c r="N117" s="3990"/>
      <c r="O117" s="3990"/>
      <c r="P117" s="3990"/>
      <c r="Q117" s="3990"/>
      <c r="R117" s="3990"/>
      <c r="S117" s="3990"/>
      <c r="T117" s="3990"/>
      <c r="U117" s="3990"/>
      <c r="V117" s="3990"/>
      <c r="W117" s="3990"/>
      <c r="X117" s="3990"/>
    </row>
    <row r="118" spans="1:25" ht="12.75">
      <c r="A118" s="3990"/>
      <c r="B118" s="3990"/>
      <c r="C118" s="3990"/>
      <c r="D118" s="3990"/>
      <c r="E118" s="3990"/>
      <c r="F118" s="3990"/>
      <c r="G118" s="3990"/>
      <c r="H118" s="3990"/>
      <c r="I118" s="3990"/>
      <c r="J118" s="3990"/>
      <c r="K118" s="3990"/>
      <c r="L118" s="3990"/>
      <c r="M118" s="3990"/>
      <c r="N118" s="3990"/>
      <c r="O118" s="3990"/>
      <c r="P118" s="3990"/>
      <c r="Q118" s="3990"/>
      <c r="R118" s="3990"/>
      <c r="S118" s="3990"/>
      <c r="T118" s="3990"/>
      <c r="U118" s="3990"/>
      <c r="V118" s="3990"/>
      <c r="W118" s="3990"/>
      <c r="X118" s="3990"/>
    </row>
    <row r="119" spans="1:25">
      <c r="P119" s="3967"/>
    </row>
    <row r="120" spans="1:25">
      <c r="P120" s="3967"/>
    </row>
    <row r="121" spans="1:25">
      <c r="P121" s="3967"/>
    </row>
    <row r="122" spans="1:25">
      <c r="P122" s="3967"/>
    </row>
    <row r="123" spans="1:25">
      <c r="P123" s="3967"/>
    </row>
    <row r="124" spans="1:25">
      <c r="P124" s="3967"/>
    </row>
    <row r="125" spans="1:25">
      <c r="P125" s="3967"/>
    </row>
    <row r="126" spans="1:25">
      <c r="P126" s="3967"/>
    </row>
    <row r="127" spans="1:25">
      <c r="P127" s="3967"/>
    </row>
    <row r="128" spans="1:25">
      <c r="P128" s="3967"/>
    </row>
    <row r="129" spans="16:16">
      <c r="P129" s="3967"/>
    </row>
    <row r="130" spans="16:16">
      <c r="P130" s="3967"/>
    </row>
    <row r="131" spans="16:16">
      <c r="P131" s="3967"/>
    </row>
    <row r="132" spans="16:16">
      <c r="P132" s="3967"/>
    </row>
    <row r="133" spans="16:16">
      <c r="P133" s="3967"/>
    </row>
    <row r="134" spans="16:16">
      <c r="P134" s="3967"/>
    </row>
    <row r="135" spans="16:16">
      <c r="P135" s="3967"/>
    </row>
    <row r="136" spans="16:16">
      <c r="P136" s="3967"/>
    </row>
    <row r="137" spans="16:16">
      <c r="P137" s="3967"/>
    </row>
    <row r="138" spans="16:16">
      <c r="P138" s="3967"/>
    </row>
    <row r="139" spans="16:16">
      <c r="P139" s="3967"/>
    </row>
    <row r="140" spans="16:16">
      <c r="P140" s="3967"/>
    </row>
    <row r="141" spans="16:16">
      <c r="P141" s="3967"/>
    </row>
    <row r="142" spans="16:16">
      <c r="P142" s="3967"/>
    </row>
    <row r="143" spans="16:16">
      <c r="P143" s="3967"/>
    </row>
    <row r="144" spans="16:16">
      <c r="P144" s="3967"/>
    </row>
    <row r="145" spans="16:16">
      <c r="P145" s="3967"/>
    </row>
    <row r="146" spans="16:16">
      <c r="P146" s="3967"/>
    </row>
    <row r="147" spans="16:16">
      <c r="P147" s="3967"/>
    </row>
    <row r="148" spans="16:16">
      <c r="P148" s="3967"/>
    </row>
    <row r="149" spans="16:16">
      <c r="P149" s="3967"/>
    </row>
    <row r="150" spans="16:16">
      <c r="P150" s="3967"/>
    </row>
    <row r="151" spans="16:16">
      <c r="P151" s="3967"/>
    </row>
    <row r="152" spans="16:16">
      <c r="P152" s="3967"/>
    </row>
    <row r="153" spans="16:16">
      <c r="P153" s="3967"/>
    </row>
    <row r="154" spans="16:16">
      <c r="P154" s="3967"/>
    </row>
    <row r="155" spans="16:16">
      <c r="P155" s="3967"/>
    </row>
    <row r="156" spans="16:16">
      <c r="P156" s="3967"/>
    </row>
    <row r="157" spans="16:16">
      <c r="P157" s="3967"/>
    </row>
    <row r="158" spans="16:16">
      <c r="P158" s="3967"/>
    </row>
    <row r="159" spans="16:16">
      <c r="P159" s="3967"/>
    </row>
    <row r="160" spans="16:16">
      <c r="P160" s="3967"/>
    </row>
    <row r="161" spans="16:16">
      <c r="P161" s="3967"/>
    </row>
    <row r="162" spans="16:16">
      <c r="P162" s="3967"/>
    </row>
    <row r="163" spans="16:16">
      <c r="P163" s="3967"/>
    </row>
    <row r="164" spans="16:16">
      <c r="P164" s="3967"/>
    </row>
    <row r="165" spans="16:16">
      <c r="P165" s="3967"/>
    </row>
    <row r="166" spans="16:16">
      <c r="P166" s="3967"/>
    </row>
    <row r="167" spans="16:16">
      <c r="P167" s="3967"/>
    </row>
    <row r="168" spans="16:16">
      <c r="P168" s="3967"/>
    </row>
    <row r="169" spans="16:16">
      <c r="P169" s="3967"/>
    </row>
    <row r="170" spans="16:16">
      <c r="P170" s="3967"/>
    </row>
    <row r="171" spans="16:16">
      <c r="P171" s="3967"/>
    </row>
    <row r="172" spans="16:16">
      <c r="P172" s="3967"/>
    </row>
    <row r="173" spans="16:16">
      <c r="P173" s="3967"/>
    </row>
    <row r="174" spans="16:16">
      <c r="P174" s="3967"/>
    </row>
    <row r="175" spans="16:16">
      <c r="P175" s="3967"/>
    </row>
    <row r="176" spans="16:16">
      <c r="P176" s="3967"/>
    </row>
    <row r="177" spans="1:25">
      <c r="P177" s="3967"/>
    </row>
    <row r="178" spans="1:25">
      <c r="P178" s="3967"/>
    </row>
    <row r="179" spans="1:25">
      <c r="P179" s="3967"/>
    </row>
    <row r="180" spans="1:25">
      <c r="P180" s="3967"/>
    </row>
    <row r="181" spans="1:25">
      <c r="P181" s="3967"/>
    </row>
    <row r="182" spans="1:25">
      <c r="P182" s="3967"/>
    </row>
    <row r="183" spans="1:25" ht="12.75">
      <c r="A183" s="3990"/>
      <c r="B183" s="3990" t="s">
        <v>85</v>
      </c>
      <c r="C183" s="3990"/>
      <c r="D183" s="3990"/>
      <c r="E183" s="3990"/>
      <c r="F183" s="3990"/>
      <c r="G183" s="3990"/>
      <c r="H183" s="3990"/>
      <c r="I183" s="3990"/>
      <c r="J183" s="3990"/>
      <c r="K183" s="3990"/>
      <c r="L183" s="3990"/>
      <c r="M183" s="3990"/>
      <c r="N183" s="3990"/>
      <c r="O183" s="3990"/>
      <c r="P183" s="3990"/>
      <c r="Q183" s="3990"/>
      <c r="R183" s="3990"/>
      <c r="S183" s="3990"/>
      <c r="T183" s="3990"/>
      <c r="U183" s="3990"/>
      <c r="V183" s="3990"/>
      <c r="W183" s="3990"/>
      <c r="X183" s="3990"/>
      <c r="Y183" s="3990"/>
    </row>
    <row r="184" spans="1:25" ht="12.75">
      <c r="A184" s="3990"/>
      <c r="P184" s="3967"/>
      <c r="Y184" s="3990"/>
    </row>
    <row r="185" spans="1:25" ht="12.75">
      <c r="A185" s="3990"/>
      <c r="P185" s="3967"/>
      <c r="Y185" s="3990"/>
    </row>
    <row r="186" spans="1:25" ht="12.75">
      <c r="A186" s="3990"/>
      <c r="P186" s="3967"/>
      <c r="Y186" s="3990"/>
    </row>
    <row r="187" spans="1:25" ht="12.75">
      <c r="A187" s="3990"/>
      <c r="P187" s="3967"/>
      <c r="Y187" s="3990"/>
    </row>
    <row r="188" spans="1:25" ht="12.75">
      <c r="A188" s="3990"/>
      <c r="P188" s="3967"/>
      <c r="Y188" s="3990"/>
    </row>
    <row r="189" spans="1:25" ht="12.75">
      <c r="A189" s="3990"/>
      <c r="P189" s="3967"/>
      <c r="Y189" s="3990"/>
    </row>
    <row r="190" spans="1:25" ht="12.75">
      <c r="A190" s="3990"/>
      <c r="P190" s="3967"/>
      <c r="Y190" s="3990"/>
    </row>
    <row r="191" spans="1:25" ht="12.75">
      <c r="A191" s="3990"/>
      <c r="P191" s="3967"/>
      <c r="Y191" s="3990"/>
    </row>
    <row r="192" spans="1:25" ht="12.75">
      <c r="A192" s="3990"/>
      <c r="P192" s="3967"/>
      <c r="Y192" s="3990"/>
    </row>
    <row r="193" spans="1:25" ht="12.75">
      <c r="A193" s="3990"/>
      <c r="P193" s="3967"/>
      <c r="Y193" s="3990"/>
    </row>
    <row r="194" spans="1:25" ht="12.75">
      <c r="A194" s="3990"/>
      <c r="B194" s="3990"/>
      <c r="C194" s="3990"/>
      <c r="D194" s="3990"/>
      <c r="E194" s="3990"/>
      <c r="F194" s="3990"/>
      <c r="G194" s="3990"/>
      <c r="H194" s="3990"/>
      <c r="I194" s="3990"/>
      <c r="J194" s="3990"/>
      <c r="K194" s="3990"/>
      <c r="L194" s="3990"/>
      <c r="M194" s="3990"/>
      <c r="N194" s="3990"/>
      <c r="O194" s="3990"/>
      <c r="P194" s="3990"/>
      <c r="Q194" s="3990"/>
      <c r="R194" s="3990"/>
      <c r="S194" s="3990"/>
      <c r="T194" s="3990"/>
      <c r="U194" s="3990"/>
      <c r="V194" s="3990"/>
      <c r="W194" s="3990"/>
      <c r="X194" s="3990"/>
      <c r="Y194" s="3990"/>
    </row>
    <row r="195" spans="1:25">
      <c r="P195" s="3967"/>
    </row>
    <row r="196" spans="1:25">
      <c r="P196" s="3967"/>
    </row>
    <row r="197" spans="1:25">
      <c r="P197" s="3967"/>
    </row>
    <row r="198" spans="1:25">
      <c r="P198" s="3967"/>
    </row>
    <row r="199" spans="1:25">
      <c r="P199" s="3967"/>
    </row>
    <row r="200" spans="1:25">
      <c r="P200" s="3967"/>
    </row>
    <row r="201" spans="1:25">
      <c r="P201" s="3967"/>
    </row>
    <row r="202" spans="1:25">
      <c r="P202" s="3967"/>
    </row>
    <row r="203" spans="1:25">
      <c r="P203" s="3967"/>
    </row>
    <row r="204" spans="1:25">
      <c r="P204" s="3967"/>
    </row>
    <row r="205" spans="1:25">
      <c r="P205" s="3967"/>
    </row>
    <row r="206" spans="1:25">
      <c r="P206" s="3967"/>
    </row>
    <row r="207" spans="1:25">
      <c r="P207" s="3967"/>
    </row>
    <row r="208" spans="1:25">
      <c r="P208" s="3967"/>
    </row>
    <row r="209" spans="16:16">
      <c r="P209" s="3967"/>
    </row>
    <row r="210" spans="16:16">
      <c r="P210" s="3967"/>
    </row>
    <row r="211" spans="16:16">
      <c r="P211" s="3967"/>
    </row>
    <row r="212" spans="16:16">
      <c r="P212" s="3967"/>
    </row>
    <row r="213" spans="16:16">
      <c r="P213" s="3967"/>
    </row>
    <row r="214" spans="16:16">
      <c r="P214" s="3967"/>
    </row>
    <row r="215" spans="16:16">
      <c r="P215" s="3967"/>
    </row>
    <row r="216" spans="16:16">
      <c r="P216" s="3967"/>
    </row>
    <row r="217" spans="16:16">
      <c r="P217" s="3967"/>
    </row>
    <row r="218" spans="16:16">
      <c r="P218" s="3967"/>
    </row>
    <row r="219" spans="16:16">
      <c r="P219" s="3967"/>
    </row>
    <row r="220" spans="16:16">
      <c r="P220" s="3967"/>
    </row>
    <row r="221" spans="16:16">
      <c r="P221" s="3967"/>
    </row>
    <row r="222" spans="16:16">
      <c r="P222" s="3967"/>
    </row>
    <row r="223" spans="16:16">
      <c r="P223" s="3967"/>
    </row>
    <row r="224" spans="16:16">
      <c r="P224" s="3967"/>
    </row>
    <row r="225" spans="16:16">
      <c r="P225" s="3967"/>
    </row>
    <row r="226" spans="16:16">
      <c r="P226" s="3967"/>
    </row>
    <row r="227" spans="16:16">
      <c r="P227" s="3967"/>
    </row>
    <row r="228" spans="16:16">
      <c r="P228" s="3967"/>
    </row>
    <row r="229" spans="16:16">
      <c r="P229" s="3967"/>
    </row>
    <row r="230" spans="16:16">
      <c r="P230" s="3967"/>
    </row>
    <row r="231" spans="16:16">
      <c r="P231" s="3967"/>
    </row>
    <row r="232" spans="16:16">
      <c r="P232" s="3967"/>
    </row>
    <row r="233" spans="16:16">
      <c r="P233" s="3967"/>
    </row>
    <row r="234" spans="16:16">
      <c r="P234" s="3967"/>
    </row>
    <row r="235" spans="16:16">
      <c r="P235" s="3967"/>
    </row>
    <row r="236" spans="16:16">
      <c r="P236" s="3967"/>
    </row>
    <row r="237" spans="16:16">
      <c r="P237" s="3967"/>
    </row>
    <row r="238" spans="16:16">
      <c r="P238" s="3967"/>
    </row>
    <row r="239" spans="16:16">
      <c r="P239" s="3967"/>
    </row>
    <row r="240" spans="16:16">
      <c r="P240" s="3967"/>
    </row>
    <row r="241" spans="16:16">
      <c r="P241" s="3967"/>
    </row>
    <row r="242" spans="16:16">
      <c r="P242" s="3967"/>
    </row>
    <row r="243" spans="16:16">
      <c r="P243" s="3967"/>
    </row>
    <row r="244" spans="16:16">
      <c r="P244" s="3967"/>
    </row>
    <row r="245" spans="16:16">
      <c r="P245" s="3967"/>
    </row>
    <row r="246" spans="16:16">
      <c r="P246" s="3967"/>
    </row>
    <row r="247" spans="16:16">
      <c r="P247" s="3967"/>
    </row>
    <row r="248" spans="16:16">
      <c r="P248" s="3967"/>
    </row>
    <row r="249" spans="16:16">
      <c r="P249" s="3967"/>
    </row>
    <row r="250" spans="16:16">
      <c r="P250" s="3967"/>
    </row>
    <row r="251" spans="16:16">
      <c r="P251" s="3967"/>
    </row>
    <row r="252" spans="16:16">
      <c r="P252" s="3967"/>
    </row>
    <row r="253" spans="16:16">
      <c r="P253" s="3967"/>
    </row>
    <row r="254" spans="16:16">
      <c r="P254" s="3967"/>
    </row>
    <row r="255" spans="16:16">
      <c r="P255" s="3967"/>
    </row>
    <row r="256" spans="16:16">
      <c r="P256" s="3967"/>
    </row>
    <row r="257" spans="16:16">
      <c r="P257" s="3967"/>
    </row>
    <row r="258" spans="16:16">
      <c r="P258" s="3967"/>
    </row>
    <row r="259" spans="16:16">
      <c r="P259" s="3967"/>
    </row>
    <row r="260" spans="16:16">
      <c r="P260" s="3967"/>
    </row>
    <row r="261" spans="16:16">
      <c r="P261" s="3967"/>
    </row>
    <row r="262" spans="16:16">
      <c r="P262" s="3967"/>
    </row>
    <row r="263" spans="16:16">
      <c r="P263" s="3967"/>
    </row>
    <row r="264" spans="16:16">
      <c r="P264" s="3967"/>
    </row>
    <row r="265" spans="16:16">
      <c r="P265" s="3967"/>
    </row>
    <row r="266" spans="16:16">
      <c r="P266" s="3967"/>
    </row>
    <row r="267" spans="16:16">
      <c r="P267" s="3967"/>
    </row>
    <row r="268" spans="16:16">
      <c r="P268" s="3967"/>
    </row>
    <row r="269" spans="16:16">
      <c r="P269" s="3967"/>
    </row>
    <row r="270" spans="16:16">
      <c r="P270" s="3967"/>
    </row>
    <row r="271" spans="16:16">
      <c r="P271" s="3967"/>
    </row>
    <row r="272" spans="16:16">
      <c r="P272" s="3967"/>
    </row>
    <row r="273" spans="16:16">
      <c r="P273" s="3967"/>
    </row>
    <row r="274" spans="16:16">
      <c r="P274" s="3967"/>
    </row>
    <row r="275" spans="16:16">
      <c r="P275" s="3967"/>
    </row>
    <row r="276" spans="16:16">
      <c r="P276" s="3967"/>
    </row>
    <row r="277" spans="16:16">
      <c r="P277" s="3967"/>
    </row>
    <row r="278" spans="16:16">
      <c r="P278" s="3967"/>
    </row>
    <row r="279" spans="16:16">
      <c r="P279" s="3967"/>
    </row>
    <row r="280" spans="16:16">
      <c r="P280" s="3967"/>
    </row>
    <row r="281" spans="16:16">
      <c r="P281" s="3967"/>
    </row>
    <row r="282" spans="16:16">
      <c r="P282" s="3967"/>
    </row>
    <row r="283" spans="16:16">
      <c r="P283" s="3967"/>
    </row>
    <row r="284" spans="16:16">
      <c r="P284" s="3967"/>
    </row>
    <row r="285" spans="16:16">
      <c r="P285" s="3967"/>
    </row>
    <row r="286" spans="16:16">
      <c r="P286" s="3967"/>
    </row>
    <row r="287" spans="16:16">
      <c r="P287" s="3967"/>
    </row>
    <row r="288" spans="16:16">
      <c r="P288" s="3967"/>
    </row>
    <row r="289" spans="16:16">
      <c r="P289" s="3967"/>
    </row>
    <row r="290" spans="16:16">
      <c r="P290" s="3967"/>
    </row>
    <row r="291" spans="16:16">
      <c r="P291" s="3967"/>
    </row>
    <row r="292" spans="16:16">
      <c r="P292" s="3967"/>
    </row>
    <row r="293" spans="16:16">
      <c r="P293" s="3967"/>
    </row>
    <row r="294" spans="16:16">
      <c r="P294" s="3967"/>
    </row>
    <row r="295" spans="16:16">
      <c r="P295" s="3967"/>
    </row>
    <row r="296" spans="16:16">
      <c r="P296" s="3967"/>
    </row>
    <row r="297" spans="16:16">
      <c r="P297" s="3967"/>
    </row>
    <row r="298" spans="16:16">
      <c r="P298" s="3967"/>
    </row>
    <row r="299" spans="16:16">
      <c r="P299" s="3967"/>
    </row>
    <row r="300" spans="16:16">
      <c r="P300" s="3967"/>
    </row>
    <row r="301" spans="16:16">
      <c r="P301" s="3967"/>
    </row>
    <row r="302" spans="16:16">
      <c r="P302" s="3967"/>
    </row>
    <row r="303" spans="16:16">
      <c r="P303" s="3967"/>
    </row>
    <row r="304" spans="16:16">
      <c r="P304" s="3967"/>
    </row>
    <row r="305" spans="16:16">
      <c r="P305" s="3967"/>
    </row>
    <row r="306" spans="16:16">
      <c r="P306" s="3967"/>
    </row>
    <row r="307" spans="16:16">
      <c r="P307" s="3967"/>
    </row>
    <row r="308" spans="16:16">
      <c r="P308" s="3967"/>
    </row>
    <row r="309" spans="16:16">
      <c r="P309" s="3967"/>
    </row>
    <row r="310" spans="16:16">
      <c r="P310" s="3967"/>
    </row>
    <row r="311" spans="16:16">
      <c r="P311" s="3967"/>
    </row>
    <row r="312" spans="16:16">
      <c r="P312" s="3967"/>
    </row>
    <row r="313" spans="16:16">
      <c r="P313" s="3967"/>
    </row>
    <row r="314" spans="16:16">
      <c r="P314" s="3967"/>
    </row>
    <row r="315" spans="16:16">
      <c r="P315" s="3967"/>
    </row>
    <row r="316" spans="16:16">
      <c r="P316" s="3967"/>
    </row>
    <row r="317" spans="16:16">
      <c r="P317" s="3967"/>
    </row>
    <row r="318" spans="16:16">
      <c r="P318" s="3967"/>
    </row>
    <row r="319" spans="16:16">
      <c r="P319" s="3967"/>
    </row>
    <row r="320" spans="16:16">
      <c r="P320" s="3967"/>
    </row>
    <row r="321" spans="16:16">
      <c r="P321" s="3967"/>
    </row>
    <row r="322" spans="16:16">
      <c r="P322" s="3967"/>
    </row>
    <row r="323" spans="16:16">
      <c r="P323" s="3967"/>
    </row>
    <row r="324" spans="16:16">
      <c r="P324" s="3967"/>
    </row>
    <row r="325" spans="16:16">
      <c r="P325" s="3967"/>
    </row>
    <row r="326" spans="16:16">
      <c r="P326" s="3967"/>
    </row>
    <row r="327" spans="16:16">
      <c r="P327" s="3967"/>
    </row>
    <row r="328" spans="16:16">
      <c r="P328" s="3967"/>
    </row>
    <row r="329" spans="16:16">
      <c r="P329" s="3967"/>
    </row>
    <row r="330" spans="16:16">
      <c r="P330" s="3967"/>
    </row>
    <row r="331" spans="16:16">
      <c r="P331" s="3967"/>
    </row>
    <row r="332" spans="16:16">
      <c r="P332" s="3967"/>
    </row>
    <row r="333" spans="16:16">
      <c r="P333" s="3967"/>
    </row>
    <row r="334" spans="16:16">
      <c r="P334" s="3967"/>
    </row>
    <row r="335" spans="16:16">
      <c r="P335" s="3967"/>
    </row>
    <row r="336" spans="16:16">
      <c r="P336" s="3967"/>
    </row>
    <row r="337" spans="16:16">
      <c r="P337" s="3967"/>
    </row>
    <row r="338" spans="16:16">
      <c r="P338" s="3967"/>
    </row>
    <row r="339" spans="16:16">
      <c r="P339" s="3967"/>
    </row>
    <row r="340" spans="16:16">
      <c r="P340" s="3967"/>
    </row>
    <row r="341" spans="16:16">
      <c r="P341" s="3967"/>
    </row>
    <row r="342" spans="16:16">
      <c r="P342" s="3967"/>
    </row>
    <row r="343" spans="16:16">
      <c r="P343" s="3967"/>
    </row>
    <row r="344" spans="16:16">
      <c r="P344" s="3967"/>
    </row>
    <row r="345" spans="16:16">
      <c r="P345" s="3967"/>
    </row>
    <row r="346" spans="16:16">
      <c r="P346" s="3967"/>
    </row>
    <row r="347" spans="16:16">
      <c r="P347" s="3967"/>
    </row>
    <row r="348" spans="16:16">
      <c r="P348" s="3967"/>
    </row>
    <row r="349" spans="16:16">
      <c r="P349" s="3967"/>
    </row>
    <row r="350" spans="16:16">
      <c r="P350" s="3967"/>
    </row>
    <row r="351" spans="16:16">
      <c r="P351" s="3967"/>
    </row>
    <row r="352" spans="16:16">
      <c r="P352" s="3967"/>
    </row>
    <row r="353" spans="16:16">
      <c r="P353" s="3967"/>
    </row>
    <row r="354" spans="16:16">
      <c r="P354" s="3967"/>
    </row>
    <row r="355" spans="16:16">
      <c r="P355" s="3967"/>
    </row>
    <row r="356" spans="16:16">
      <c r="P356" s="3967"/>
    </row>
    <row r="357" spans="16:16">
      <c r="P357" s="3967"/>
    </row>
    <row r="358" spans="16:16">
      <c r="P358" s="3967"/>
    </row>
    <row r="359" spans="16:16">
      <c r="P359" s="3967"/>
    </row>
    <row r="360" spans="16:16">
      <c r="P360" s="3967"/>
    </row>
    <row r="361" spans="16:16">
      <c r="P361" s="3967"/>
    </row>
    <row r="362" spans="16:16">
      <c r="P362" s="3967"/>
    </row>
    <row r="363" spans="16:16">
      <c r="P363" s="3967"/>
    </row>
    <row r="364" spans="16:16">
      <c r="P364" s="3967"/>
    </row>
    <row r="365" spans="16:16">
      <c r="P365" s="3967"/>
    </row>
    <row r="366" spans="16:16">
      <c r="P366" s="3967"/>
    </row>
    <row r="367" spans="16:16">
      <c r="P367" s="3967"/>
    </row>
    <row r="368" spans="16:16">
      <c r="P368" s="3967"/>
    </row>
    <row r="369" spans="16:16">
      <c r="P369" s="3967"/>
    </row>
    <row r="370" spans="16:16">
      <c r="P370" s="3967"/>
    </row>
    <row r="371" spans="16:16">
      <c r="P371" s="3967"/>
    </row>
    <row r="372" spans="16:16">
      <c r="P372" s="3967"/>
    </row>
    <row r="373" spans="16:16">
      <c r="P373" s="3967"/>
    </row>
    <row r="374" spans="16:16">
      <c r="P374" s="3967"/>
    </row>
    <row r="375" spans="16:16">
      <c r="P375" s="3967"/>
    </row>
    <row r="376" spans="16:16">
      <c r="P376" s="3967"/>
    </row>
    <row r="377" spans="16:16">
      <c r="P377" s="3967"/>
    </row>
    <row r="378" spans="16:16">
      <c r="P378" s="3967"/>
    </row>
    <row r="379" spans="16:16">
      <c r="P379" s="3967"/>
    </row>
    <row r="380" spans="16:16">
      <c r="P380" s="3967"/>
    </row>
    <row r="381" spans="16:16">
      <c r="P381" s="3967"/>
    </row>
    <row r="382" spans="16:16">
      <c r="P382" s="3967"/>
    </row>
    <row r="383" spans="16:16">
      <c r="P383" s="3967"/>
    </row>
    <row r="384" spans="16:16">
      <c r="P384" s="3967"/>
    </row>
    <row r="385" spans="16:16">
      <c r="P385" s="3967"/>
    </row>
    <row r="386" spans="16:16">
      <c r="P386" s="3967"/>
    </row>
    <row r="387" spans="16:16">
      <c r="P387" s="3967"/>
    </row>
    <row r="388" spans="16:16">
      <c r="P388" s="3967"/>
    </row>
    <row r="389" spans="16:16">
      <c r="P389" s="3967"/>
    </row>
    <row r="390" spans="16:16">
      <c r="P390" s="3967"/>
    </row>
    <row r="391" spans="16:16">
      <c r="P391" s="3967"/>
    </row>
    <row r="392" spans="16:16">
      <c r="P392" s="3967"/>
    </row>
    <row r="393" spans="16:16">
      <c r="P393" s="3967"/>
    </row>
    <row r="394" spans="16:16">
      <c r="P394" s="3967"/>
    </row>
    <row r="395" spans="16:16">
      <c r="P395" s="3967"/>
    </row>
    <row r="396" spans="16:16">
      <c r="P396" s="3967"/>
    </row>
    <row r="397" spans="16:16">
      <c r="P397" s="3967"/>
    </row>
    <row r="398" spans="16:16">
      <c r="P398" s="3967"/>
    </row>
    <row r="399" spans="16:16">
      <c r="P399" s="3967"/>
    </row>
    <row r="400" spans="16:16">
      <c r="P400" s="3967"/>
    </row>
    <row r="401" spans="16:16">
      <c r="P401" s="3967"/>
    </row>
    <row r="402" spans="16:16">
      <c r="P402" s="3967"/>
    </row>
    <row r="403" spans="16:16">
      <c r="P403" s="3967"/>
    </row>
    <row r="404" spans="16:16">
      <c r="P404" s="3967"/>
    </row>
    <row r="405" spans="16:16">
      <c r="P405" s="3967"/>
    </row>
    <row r="406" spans="16:16">
      <c r="P406" s="3967"/>
    </row>
    <row r="407" spans="16:16">
      <c r="P407" s="3967"/>
    </row>
    <row r="408" spans="16:16">
      <c r="P408" s="3967"/>
    </row>
    <row r="409" spans="16:16">
      <c r="P409" s="3967"/>
    </row>
    <row r="410" spans="16:16">
      <c r="P410" s="3967"/>
    </row>
    <row r="411" spans="16:16">
      <c r="P411" s="3967"/>
    </row>
    <row r="412" spans="16:16">
      <c r="P412" s="3967"/>
    </row>
    <row r="413" spans="16:16">
      <c r="P413" s="3967"/>
    </row>
    <row r="414" spans="16:16">
      <c r="P414" s="3967"/>
    </row>
    <row r="415" spans="16:16">
      <c r="P415" s="3967"/>
    </row>
    <row r="416" spans="16:16">
      <c r="P416" s="3967"/>
    </row>
    <row r="417" spans="16:16">
      <c r="P417" s="3967"/>
    </row>
    <row r="418" spans="16:16">
      <c r="P418" s="3967"/>
    </row>
    <row r="419" spans="16:16">
      <c r="P419" s="3967"/>
    </row>
    <row r="420" spans="16:16">
      <c r="P420" s="3967"/>
    </row>
    <row r="421" spans="16:16">
      <c r="P421" s="3967"/>
    </row>
    <row r="422" spans="16:16">
      <c r="P422" s="3967"/>
    </row>
    <row r="423" spans="16:16">
      <c r="P423" s="3967"/>
    </row>
    <row r="424" spans="16:16">
      <c r="P424" s="3967"/>
    </row>
    <row r="425" spans="16:16">
      <c r="P425" s="3967"/>
    </row>
    <row r="426" spans="16:16">
      <c r="P426" s="3967"/>
    </row>
    <row r="427" spans="16:16">
      <c r="P427" s="3967"/>
    </row>
    <row r="428" spans="16:16">
      <c r="P428" s="3967"/>
    </row>
    <row r="429" spans="16:16">
      <c r="P429" s="3967"/>
    </row>
    <row r="430" spans="16:16">
      <c r="P430" s="3967"/>
    </row>
    <row r="431" spans="16:16">
      <c r="P431" s="3967"/>
    </row>
    <row r="432" spans="16:16">
      <c r="P432" s="3967"/>
    </row>
    <row r="433" spans="16:16">
      <c r="P433" s="3967"/>
    </row>
    <row r="434" spans="16:16">
      <c r="P434" s="3967"/>
    </row>
    <row r="435" spans="16:16">
      <c r="P435" s="3967"/>
    </row>
    <row r="436" spans="16:16">
      <c r="P436" s="3967"/>
    </row>
    <row r="437" spans="16:16">
      <c r="P437" s="3967"/>
    </row>
    <row r="438" spans="16:16">
      <c r="P438" s="3967"/>
    </row>
    <row r="439" spans="16:16">
      <c r="P439" s="3967"/>
    </row>
    <row r="440" spans="16:16">
      <c r="P440" s="3967"/>
    </row>
    <row r="441" spans="16:16">
      <c r="P441" s="3967"/>
    </row>
    <row r="442" spans="16:16">
      <c r="P442" s="3967"/>
    </row>
    <row r="443" spans="16:16">
      <c r="P443" s="3967"/>
    </row>
    <row r="444" spans="16:16">
      <c r="P444" s="3967"/>
    </row>
    <row r="445" spans="16:16">
      <c r="P445" s="3967"/>
    </row>
    <row r="446" spans="16:16">
      <c r="P446" s="3967"/>
    </row>
    <row r="447" spans="16:16">
      <c r="P447" s="3967"/>
    </row>
    <row r="448" spans="16:16">
      <c r="P448" s="3967"/>
    </row>
    <row r="449" spans="16:16">
      <c r="P449" s="3967"/>
    </row>
    <row r="450" spans="16:16">
      <c r="P450" s="3967"/>
    </row>
    <row r="451" spans="16:16">
      <c r="P451" s="3967"/>
    </row>
    <row r="452" spans="16:16">
      <c r="P452" s="3967"/>
    </row>
    <row r="453" spans="16:16">
      <c r="P453" s="3967"/>
    </row>
    <row r="454" spans="16:16">
      <c r="P454" s="3967"/>
    </row>
    <row r="455" spans="16:16">
      <c r="P455" s="3967"/>
    </row>
    <row r="456" spans="16:16">
      <c r="P456" s="3967"/>
    </row>
    <row r="457" spans="16:16">
      <c r="P457" s="3967"/>
    </row>
    <row r="458" spans="16:16">
      <c r="P458" s="3967"/>
    </row>
    <row r="459" spans="16:16">
      <c r="P459" s="3967"/>
    </row>
    <row r="460" spans="16:16">
      <c r="P460" s="3967"/>
    </row>
    <row r="461" spans="16:16">
      <c r="P461" s="3967"/>
    </row>
    <row r="462" spans="16:16">
      <c r="P462" s="3967"/>
    </row>
    <row r="463" spans="16:16">
      <c r="P463" s="3967"/>
    </row>
    <row r="464" spans="16:16">
      <c r="P464" s="3967"/>
    </row>
    <row r="465" spans="16:16">
      <c r="P465" s="3967"/>
    </row>
    <row r="466" spans="16:16">
      <c r="P466" s="3967"/>
    </row>
    <row r="467" spans="16:16">
      <c r="P467" s="3967"/>
    </row>
    <row r="468" spans="16:16">
      <c r="P468" s="3967"/>
    </row>
    <row r="469" spans="16:16">
      <c r="P469" s="3967"/>
    </row>
    <row r="470" spans="16:16">
      <c r="P470" s="3967"/>
    </row>
    <row r="471" spans="16:16">
      <c r="P471" s="3967"/>
    </row>
    <row r="472" spans="16:16">
      <c r="P472" s="3967"/>
    </row>
    <row r="473" spans="16:16">
      <c r="P473" s="3967"/>
    </row>
    <row r="474" spans="16:16">
      <c r="P474" s="3967"/>
    </row>
    <row r="475" spans="16:16">
      <c r="P475" s="3967"/>
    </row>
    <row r="476" spans="16:16">
      <c r="P476" s="3967"/>
    </row>
    <row r="477" spans="16:16">
      <c r="P477" s="3967"/>
    </row>
    <row r="478" spans="16:16">
      <c r="P478" s="3967"/>
    </row>
    <row r="479" spans="16:16">
      <c r="P479" s="3967"/>
    </row>
    <row r="480" spans="16:16">
      <c r="P480" s="3967"/>
    </row>
    <row r="481" spans="16:16">
      <c r="P481" s="3967"/>
    </row>
    <row r="482" spans="16:16">
      <c r="P482" s="3967"/>
    </row>
    <row r="483" spans="16:16">
      <c r="P483" s="3967"/>
    </row>
    <row r="484" spans="16:16">
      <c r="P484" s="3967"/>
    </row>
    <row r="485" spans="16:16">
      <c r="P485" s="3967"/>
    </row>
    <row r="486" spans="16:16">
      <c r="P486" s="3967"/>
    </row>
    <row r="487" spans="16:16">
      <c r="P487" s="3967"/>
    </row>
    <row r="488" spans="16:16">
      <c r="P488" s="3967"/>
    </row>
    <row r="489" spans="16:16">
      <c r="P489" s="3967"/>
    </row>
    <row r="490" spans="16:16">
      <c r="P490" s="3967"/>
    </row>
    <row r="491" spans="16:16">
      <c r="P491" s="3967"/>
    </row>
    <row r="492" spans="16:16">
      <c r="P492" s="3967"/>
    </row>
    <row r="493" spans="16:16">
      <c r="P493" s="3967"/>
    </row>
    <row r="494" spans="16:16">
      <c r="P494" s="3967"/>
    </row>
    <row r="495" spans="16:16">
      <c r="P495" s="3967"/>
    </row>
    <row r="496" spans="16:16">
      <c r="P496" s="3967"/>
    </row>
    <row r="497" spans="16:16">
      <c r="P497" s="3967"/>
    </row>
    <row r="498" spans="16:16">
      <c r="P498" s="3967"/>
    </row>
    <row r="499" spans="16:16">
      <c r="P499" s="3967"/>
    </row>
    <row r="500" spans="16:16">
      <c r="P500" s="3967"/>
    </row>
    <row r="501" spans="16:16">
      <c r="P501" s="3967"/>
    </row>
    <row r="502" spans="16:16">
      <c r="P502" s="3967"/>
    </row>
    <row r="503" spans="16:16">
      <c r="P503" s="3967"/>
    </row>
    <row r="504" spans="16:16">
      <c r="P504" s="3967"/>
    </row>
    <row r="505" spans="16:16">
      <c r="P505" s="3967"/>
    </row>
    <row r="506" spans="16:16">
      <c r="P506" s="3967"/>
    </row>
    <row r="507" spans="16:16">
      <c r="P507" s="3967"/>
    </row>
    <row r="508" spans="16:16">
      <c r="P508" s="3967"/>
    </row>
    <row r="509" spans="16:16">
      <c r="P509" s="3967"/>
    </row>
    <row r="510" spans="16:16">
      <c r="P510" s="3967"/>
    </row>
    <row r="511" spans="16:16">
      <c r="P511" s="3967"/>
    </row>
    <row r="512" spans="16:16">
      <c r="P512" s="3967"/>
    </row>
    <row r="513" spans="16:16">
      <c r="P513" s="3967"/>
    </row>
    <row r="514" spans="16:16">
      <c r="P514" s="3967"/>
    </row>
    <row r="515" spans="16:16">
      <c r="P515" s="3967"/>
    </row>
    <row r="516" spans="16:16">
      <c r="P516" s="3967"/>
    </row>
    <row r="517" spans="16:16">
      <c r="P517" s="3967"/>
    </row>
    <row r="518" spans="16:16">
      <c r="P518" s="3967"/>
    </row>
    <row r="519" spans="16:16">
      <c r="P519" s="3967"/>
    </row>
    <row r="520" spans="16:16">
      <c r="P520" s="3967"/>
    </row>
    <row r="521" spans="16:16">
      <c r="P521" s="3967"/>
    </row>
    <row r="522" spans="16:16">
      <c r="P522" s="3967"/>
    </row>
    <row r="523" spans="16:16">
      <c r="P523" s="3967"/>
    </row>
    <row r="524" spans="16:16">
      <c r="P524" s="3967"/>
    </row>
    <row r="525" spans="16:16">
      <c r="P525" s="3967"/>
    </row>
    <row r="526" spans="16:16">
      <c r="P526" s="3967"/>
    </row>
    <row r="527" spans="16:16">
      <c r="P527" s="3967"/>
    </row>
    <row r="528" spans="16:16">
      <c r="P528" s="3967"/>
    </row>
    <row r="529" spans="16:16">
      <c r="P529" s="3967"/>
    </row>
    <row r="530" spans="16:16">
      <c r="P530" s="3967"/>
    </row>
    <row r="531" spans="16:16">
      <c r="P531" s="3967"/>
    </row>
    <row r="532" spans="16:16">
      <c r="P532" s="3967"/>
    </row>
    <row r="533" spans="16:16">
      <c r="P533" s="3967"/>
    </row>
    <row r="534" spans="16:16">
      <c r="P534" s="3967"/>
    </row>
    <row r="535" spans="16:16">
      <c r="P535" s="3967"/>
    </row>
  </sheetData>
  <mergeCells count="59">
    <mergeCell ref="Y64:Y70"/>
    <mergeCell ref="C66:C67"/>
    <mergeCell ref="X68:X70"/>
    <mergeCell ref="C69:C7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W7"/>
    <mergeCell ref="Y32:Y42"/>
    <mergeCell ref="X18:X20"/>
    <mergeCell ref="X27:X31"/>
    <mergeCell ref="Y21:Y31"/>
    <mergeCell ref="X38:X42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A43:A49"/>
    <mergeCell ref="A32:A42"/>
    <mergeCell ref="C34:C37"/>
    <mergeCell ref="A21:A31"/>
    <mergeCell ref="C28:C31"/>
    <mergeCell ref="C23:C26"/>
    <mergeCell ref="C39:C42"/>
    <mergeCell ref="Y43:Y49"/>
    <mergeCell ref="C45:C46"/>
    <mergeCell ref="C48:C49"/>
    <mergeCell ref="X47:X49"/>
    <mergeCell ref="Y57:Y63"/>
    <mergeCell ref="C59:C60"/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8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27"/>
  <sheetViews>
    <sheetView showGridLines="0" view="pageBreakPreview" zoomScaleNormal="100" zoomScaleSheetLayoutView="100" workbookViewId="0">
      <pane xSplit="3" ySplit="9" topLeftCell="D91" activePane="bottomRight" state="frozen"/>
      <selection activeCell="U30" sqref="U30"/>
      <selection pane="topRight" activeCell="U30" sqref="U30"/>
      <selection pane="bottomLeft" activeCell="U30" sqref="U30"/>
      <selection pane="bottomRight" activeCell="Q133" sqref="Q133"/>
    </sheetView>
  </sheetViews>
  <sheetFormatPr defaultColWidth="9.140625" defaultRowHeight="12.75"/>
  <cols>
    <col min="1" max="1" width="4.7109375" style="1296" customWidth="1"/>
    <col min="2" max="2" width="52.7109375" style="1297" customWidth="1"/>
    <col min="3" max="3" width="10" style="1297" customWidth="1"/>
    <col min="4" max="4" width="11.28515625" style="1297" customWidth="1"/>
    <col min="5" max="5" width="10.42578125" style="1297" hidden="1" customWidth="1"/>
    <col min="6" max="6" width="9.42578125" style="1512" hidden="1" customWidth="1"/>
    <col min="7" max="8" width="9.42578125" style="1298" hidden="1" customWidth="1"/>
    <col min="9" max="9" width="10.42578125" style="1299" hidden="1" customWidth="1"/>
    <col min="10" max="10" width="11.140625" style="1299" hidden="1" customWidth="1"/>
    <col min="11" max="12" width="10.42578125" style="1299" hidden="1" customWidth="1"/>
    <col min="13" max="13" width="11" style="1297" customWidth="1"/>
    <col min="14" max="14" width="12.28515625" style="1297" hidden="1" customWidth="1"/>
    <col min="15" max="15" width="10.85546875" style="1297" customWidth="1"/>
    <col min="16" max="16" width="10.42578125" style="1297" customWidth="1"/>
    <col min="17" max="17" width="10.28515625" style="1297" customWidth="1"/>
    <col min="18" max="21" width="9.85546875" style="1297" customWidth="1"/>
    <col min="22" max="23" width="10.42578125" style="1297" bestFit="1" customWidth="1"/>
    <col min="24" max="24" width="12.5703125" style="1297" customWidth="1"/>
    <col min="25" max="25" width="13.5703125" style="1494" customWidth="1"/>
    <col min="26" max="26" width="15.140625" style="1297" customWidth="1"/>
    <col min="27" max="27" width="11.140625" style="1297" bestFit="1" customWidth="1"/>
    <col min="28" max="28" width="9.5703125" style="1297" bestFit="1" customWidth="1"/>
    <col min="29" max="16384" width="9.140625" style="1297"/>
  </cols>
  <sheetData>
    <row r="1" spans="1:87" ht="3.75" customHeight="1">
      <c r="F1" s="1298"/>
      <c r="O1" s="1300"/>
      <c r="X1" s="325"/>
      <c r="Y1" s="326"/>
    </row>
    <row r="2" spans="1:87" ht="15" customHeight="1">
      <c r="B2" s="1301"/>
      <c r="F2" s="1298"/>
      <c r="I2" s="1302"/>
      <c r="J2" s="1303">
        <f>+E13+I13+J13+K13+L13+N13+O13+P13+Q13+R13</f>
        <v>158515148</v>
      </c>
      <c r="K2" s="1303"/>
      <c r="L2" s="1303"/>
      <c r="M2" s="1304"/>
      <c r="O2" s="1305"/>
      <c r="T2" s="1306" t="s">
        <v>183</v>
      </c>
      <c r="U2" s="1306"/>
      <c r="V2" s="1306"/>
      <c r="W2" s="1306"/>
      <c r="X2" s="325"/>
      <c r="Y2" s="326"/>
    </row>
    <row r="3" spans="1:87" ht="0.75" customHeight="1">
      <c r="F3" s="1298"/>
      <c r="N3" s="1307"/>
      <c r="O3" s="1307"/>
      <c r="P3" s="1307"/>
      <c r="Q3" s="1307"/>
      <c r="R3" s="1307"/>
      <c r="S3" s="1307"/>
      <c r="T3" s="1307"/>
      <c r="U3" s="1307"/>
      <c r="V3" s="1307"/>
      <c r="W3" s="1307"/>
      <c r="X3" s="325"/>
      <c r="Y3" s="326"/>
    </row>
    <row r="4" spans="1:87" ht="4.5" customHeight="1">
      <c r="F4" s="1298"/>
      <c r="N4" s="1307"/>
      <c r="O4" s="1307"/>
      <c r="P4" s="1307"/>
      <c r="Q4" s="1307"/>
      <c r="R4" s="1307"/>
      <c r="S4" s="1307"/>
      <c r="T4" s="1307"/>
      <c r="U4" s="1307"/>
      <c r="V4" s="1307"/>
      <c r="W4" s="1307"/>
      <c r="X4" s="325"/>
      <c r="Y4" s="326"/>
    </row>
    <row r="5" spans="1:87" s="1308" customFormat="1" ht="39" customHeight="1" thickBot="1">
      <c r="A5" s="3216" t="s">
        <v>184</v>
      </c>
      <c r="B5" s="3216"/>
      <c r="C5" s="3216"/>
      <c r="D5" s="3216"/>
      <c r="E5" s="3216"/>
      <c r="F5" s="3216"/>
      <c r="G5" s="3216"/>
      <c r="H5" s="3216"/>
      <c r="I5" s="3216"/>
      <c r="J5" s="3216"/>
      <c r="K5" s="3216"/>
      <c r="L5" s="3216"/>
      <c r="M5" s="3216"/>
      <c r="N5" s="3216"/>
      <c r="O5" s="3216"/>
      <c r="P5" s="3216"/>
      <c r="Q5" s="3216"/>
      <c r="R5" s="3216"/>
      <c r="S5" s="3216"/>
      <c r="T5" s="3216"/>
      <c r="U5" s="3216"/>
      <c r="V5" s="3216"/>
      <c r="W5" s="3216"/>
      <c r="X5" s="3216"/>
      <c r="Y5" s="3216"/>
    </row>
    <row r="6" spans="1:87" s="1312" customFormat="1" ht="33" customHeight="1" thickBot="1">
      <c r="A6" s="673"/>
      <c r="B6" s="3252" t="s">
        <v>91</v>
      </c>
      <c r="C6" s="3054" t="s">
        <v>87</v>
      </c>
      <c r="D6" s="3057" t="s">
        <v>141</v>
      </c>
      <c r="E6" s="1309" t="s">
        <v>293</v>
      </c>
      <c r="F6" s="1310"/>
      <c r="G6" s="1310"/>
      <c r="H6" s="1310"/>
      <c r="I6" s="1310"/>
      <c r="J6" s="1310"/>
      <c r="K6" s="1310"/>
      <c r="L6" s="1310"/>
      <c r="M6" s="3072" t="s">
        <v>400</v>
      </c>
      <c r="N6" s="1310"/>
      <c r="O6" s="3074" t="s">
        <v>415</v>
      </c>
      <c r="P6" s="3076" t="s">
        <v>410</v>
      </c>
      <c r="Q6" s="3077"/>
      <c r="R6" s="3077"/>
      <c r="S6" s="3077"/>
      <c r="T6" s="3077"/>
      <c r="U6" s="3077"/>
      <c r="V6" s="3077"/>
      <c r="W6" s="3078"/>
      <c r="X6" s="3066" t="s">
        <v>376</v>
      </c>
      <c r="Y6" s="3195" t="s">
        <v>89</v>
      </c>
      <c r="Z6" s="1311"/>
      <c r="AA6" s="1311"/>
      <c r="AB6" s="1311"/>
      <c r="AC6" s="1311"/>
      <c r="AD6" s="1311"/>
      <c r="AE6" s="1311"/>
      <c r="AF6" s="1311"/>
      <c r="AG6" s="1311"/>
      <c r="AH6" s="1311"/>
      <c r="AI6" s="1311"/>
      <c r="AJ6" s="1311"/>
      <c r="AK6" s="1311"/>
      <c r="AL6" s="1311"/>
      <c r="AM6" s="1311"/>
      <c r="AN6" s="1311"/>
      <c r="AO6" s="1311"/>
      <c r="AP6" s="1311"/>
      <c r="AQ6" s="1311"/>
      <c r="AR6" s="1311"/>
      <c r="AS6" s="1311"/>
      <c r="AT6" s="1311"/>
      <c r="AU6" s="1311"/>
      <c r="AV6" s="1311"/>
      <c r="AW6" s="1311"/>
      <c r="AX6" s="1311"/>
      <c r="AY6" s="1311"/>
      <c r="AZ6" s="1311"/>
      <c r="BA6" s="1311"/>
      <c r="BB6" s="1311"/>
      <c r="BC6" s="1311"/>
      <c r="BD6" s="1311"/>
      <c r="BE6" s="1311"/>
      <c r="BF6" s="1311"/>
      <c r="BG6" s="1311"/>
      <c r="BH6" s="1311"/>
      <c r="BI6" s="1311"/>
      <c r="BJ6" s="1311"/>
      <c r="BK6" s="1311"/>
      <c r="BL6" s="1311"/>
      <c r="BM6" s="1311"/>
      <c r="BN6" s="1311"/>
      <c r="BO6" s="1311"/>
      <c r="BP6" s="1311"/>
      <c r="BQ6" s="1311"/>
      <c r="BR6" s="1311"/>
      <c r="BS6" s="1311"/>
      <c r="BT6" s="1311"/>
      <c r="BU6" s="1311"/>
      <c r="BV6" s="1311"/>
      <c r="BW6" s="1311"/>
      <c r="BX6" s="1311"/>
      <c r="BY6" s="1311"/>
      <c r="BZ6" s="1311"/>
      <c r="CA6" s="1311"/>
      <c r="CB6" s="1311"/>
      <c r="CC6" s="1311"/>
      <c r="CD6" s="1311"/>
      <c r="CE6" s="1311"/>
      <c r="CF6" s="1311"/>
      <c r="CG6" s="1311"/>
      <c r="CH6" s="1311"/>
      <c r="CI6" s="1311"/>
    </row>
    <row r="7" spans="1:87" s="1312" customFormat="1" ht="24" customHeight="1" thickBot="1">
      <c r="A7" s="674" t="s">
        <v>90</v>
      </c>
      <c r="B7" s="3252"/>
      <c r="C7" s="3055"/>
      <c r="D7" s="3058"/>
      <c r="E7" s="1313"/>
      <c r="F7" s="1314"/>
      <c r="G7" s="1314"/>
      <c r="H7" s="1314"/>
      <c r="I7" s="1314"/>
      <c r="J7" s="1314"/>
      <c r="K7" s="1314"/>
      <c r="L7" s="1314"/>
      <c r="M7" s="3073"/>
      <c r="N7" s="1314"/>
      <c r="O7" s="3075"/>
      <c r="P7" s="3079"/>
      <c r="Q7" s="3080"/>
      <c r="R7" s="3080"/>
      <c r="S7" s="3080"/>
      <c r="T7" s="3080"/>
      <c r="U7" s="3080"/>
      <c r="V7" s="3080"/>
      <c r="W7" s="3081"/>
      <c r="X7" s="3253"/>
      <c r="Y7" s="3196"/>
      <c r="Z7" s="710">
        <f>+M10+O10+P10+Q10+R10+S10+T10+U10+V10+W10</f>
        <v>339555317</v>
      </c>
      <c r="AA7" s="1311"/>
      <c r="AB7" s="1311"/>
      <c r="AC7" s="1311"/>
      <c r="AD7" s="1311"/>
      <c r="AE7" s="1311"/>
      <c r="AF7" s="1311"/>
      <c r="AG7" s="1311"/>
      <c r="AH7" s="1311"/>
      <c r="AI7" s="1311"/>
      <c r="AJ7" s="1311"/>
      <c r="AK7" s="1311"/>
      <c r="AL7" s="1311"/>
      <c r="AM7" s="1311"/>
      <c r="AN7" s="1311"/>
      <c r="AO7" s="1311"/>
      <c r="AP7" s="1311"/>
      <c r="AQ7" s="1311"/>
      <c r="AR7" s="1311"/>
      <c r="AS7" s="1311"/>
      <c r="AT7" s="1311"/>
      <c r="AU7" s="1311"/>
      <c r="AV7" s="1311"/>
      <c r="AW7" s="1311"/>
      <c r="AX7" s="1311"/>
      <c r="AY7" s="1311"/>
      <c r="AZ7" s="1311"/>
      <c r="BA7" s="1311"/>
      <c r="BB7" s="1311"/>
      <c r="BC7" s="1311"/>
      <c r="BD7" s="1311"/>
      <c r="BE7" s="1311"/>
      <c r="BF7" s="1311"/>
      <c r="BG7" s="1311"/>
      <c r="BH7" s="1311"/>
      <c r="BI7" s="1311"/>
      <c r="BJ7" s="1311"/>
      <c r="BK7" s="1311"/>
      <c r="BL7" s="1311"/>
      <c r="BM7" s="1311"/>
      <c r="BN7" s="1311"/>
      <c r="BO7" s="1311"/>
      <c r="BP7" s="1311"/>
      <c r="BQ7" s="1311"/>
      <c r="BR7" s="1311"/>
      <c r="BS7" s="1311"/>
      <c r="BT7" s="1311"/>
      <c r="BU7" s="1311"/>
      <c r="BV7" s="1311"/>
      <c r="BW7" s="1311"/>
      <c r="BX7" s="1311"/>
      <c r="BY7" s="1311"/>
      <c r="BZ7" s="1311"/>
      <c r="CA7" s="1311"/>
      <c r="CB7" s="1311"/>
      <c r="CC7" s="1311"/>
      <c r="CD7" s="1311"/>
      <c r="CE7" s="1311"/>
      <c r="CF7" s="1311"/>
      <c r="CG7" s="1311"/>
      <c r="CH7" s="1311"/>
      <c r="CI7" s="1311"/>
    </row>
    <row r="8" spans="1:87" s="1312" customFormat="1" ht="40.5" customHeight="1" thickBot="1">
      <c r="A8" s="674"/>
      <c r="B8" s="3252"/>
      <c r="C8" s="3056"/>
      <c r="D8" s="3059"/>
      <c r="E8" s="1315" t="s">
        <v>6</v>
      </c>
      <c r="F8" s="1316" t="s">
        <v>7</v>
      </c>
      <c r="G8" s="1316" t="s">
        <v>292</v>
      </c>
      <c r="H8" s="1316" t="s">
        <v>9</v>
      </c>
      <c r="I8" s="1316" t="s">
        <v>10</v>
      </c>
      <c r="J8" s="1316" t="s">
        <v>11</v>
      </c>
      <c r="K8" s="1316" t="s">
        <v>12</v>
      </c>
      <c r="L8" s="1316" t="s">
        <v>13</v>
      </c>
      <c r="M8" s="1317" t="s">
        <v>377</v>
      </c>
      <c r="N8" s="2649" t="s">
        <v>14</v>
      </c>
      <c r="O8" s="2649" t="s">
        <v>15</v>
      </c>
      <c r="P8" s="2649" t="s">
        <v>16</v>
      </c>
      <c r="Q8" s="2649" t="s">
        <v>17</v>
      </c>
      <c r="R8" s="2649" t="s">
        <v>18</v>
      </c>
      <c r="S8" s="1318" t="s">
        <v>290</v>
      </c>
      <c r="T8" s="1318" t="s">
        <v>291</v>
      </c>
      <c r="U8" s="1318" t="s">
        <v>378</v>
      </c>
      <c r="V8" s="1318" t="s">
        <v>379</v>
      </c>
      <c r="W8" s="1318" t="s">
        <v>380</v>
      </c>
      <c r="X8" s="3254"/>
      <c r="Y8" s="3197"/>
      <c r="Z8" s="710"/>
      <c r="AA8" s="1311"/>
      <c r="AB8" s="1311"/>
      <c r="AC8" s="1311"/>
      <c r="AD8" s="1311"/>
      <c r="AE8" s="1311"/>
      <c r="AF8" s="1311"/>
      <c r="AG8" s="1311"/>
      <c r="AH8" s="1311"/>
      <c r="AI8" s="1311"/>
      <c r="AJ8" s="1311"/>
      <c r="AK8" s="1311"/>
      <c r="AL8" s="1311"/>
      <c r="AM8" s="1311"/>
      <c r="AN8" s="1311"/>
      <c r="AO8" s="1311"/>
      <c r="AP8" s="1311"/>
      <c r="AQ8" s="1311"/>
      <c r="AR8" s="1311"/>
      <c r="AS8" s="1311"/>
      <c r="AT8" s="1311"/>
      <c r="AU8" s="1311"/>
      <c r="AV8" s="1311"/>
      <c r="AW8" s="1311"/>
      <c r="AX8" s="1311"/>
      <c r="AY8" s="1311"/>
      <c r="AZ8" s="1311"/>
      <c r="BA8" s="1311"/>
      <c r="BB8" s="1311"/>
      <c r="BC8" s="1311"/>
      <c r="BD8" s="1311"/>
      <c r="BE8" s="1311"/>
      <c r="BF8" s="1311"/>
      <c r="BG8" s="1311"/>
      <c r="BH8" s="1311"/>
      <c r="BI8" s="1311"/>
      <c r="BJ8" s="1311"/>
      <c r="BK8" s="1311"/>
      <c r="BL8" s="1311"/>
      <c r="BM8" s="1311"/>
      <c r="BN8" s="1311"/>
      <c r="BO8" s="1311"/>
      <c r="BP8" s="1311"/>
      <c r="BQ8" s="1311"/>
      <c r="BR8" s="1311"/>
      <c r="BS8" s="1311"/>
      <c r="BT8" s="1311"/>
      <c r="BU8" s="1311"/>
      <c r="BV8" s="1311"/>
      <c r="BW8" s="1311"/>
      <c r="BX8" s="1311"/>
      <c r="BY8" s="1311"/>
      <c r="BZ8" s="1311"/>
      <c r="CA8" s="1311"/>
      <c r="CB8" s="1311"/>
      <c r="CC8" s="1311"/>
      <c r="CD8" s="1311"/>
      <c r="CE8" s="1311"/>
      <c r="CF8" s="1311"/>
      <c r="CG8" s="1311"/>
      <c r="CH8" s="1311"/>
      <c r="CI8" s="1311"/>
    </row>
    <row r="9" spans="1:87" s="1312" customFormat="1" ht="12.75" customHeight="1" thickBot="1">
      <c r="A9" s="1319">
        <v>1</v>
      </c>
      <c r="B9" s="1319"/>
      <c r="C9" s="1320" t="s">
        <v>142</v>
      </c>
      <c r="D9" s="2282" t="s">
        <v>143</v>
      </c>
      <c r="E9" s="2282"/>
      <c r="F9" s="2283"/>
      <c r="G9" s="2283"/>
      <c r="H9" s="2283"/>
      <c r="I9" s="2282"/>
      <c r="J9" s="2282"/>
      <c r="K9" s="2282"/>
      <c r="L9" s="2282"/>
      <c r="M9" s="2282">
        <v>5</v>
      </c>
      <c r="N9" s="2282" t="s">
        <v>375</v>
      </c>
      <c r="O9" s="2282">
        <v>6</v>
      </c>
      <c r="P9" s="666">
        <v>7</v>
      </c>
      <c r="Q9" s="666">
        <v>8</v>
      </c>
      <c r="R9" s="666">
        <v>9</v>
      </c>
      <c r="S9" s="666">
        <v>10</v>
      </c>
      <c r="T9" s="666">
        <v>11</v>
      </c>
      <c r="U9" s="666">
        <v>12</v>
      </c>
      <c r="V9" s="666">
        <v>13</v>
      </c>
      <c r="W9" s="666">
        <v>14</v>
      </c>
      <c r="X9" s="1321">
        <v>15</v>
      </c>
      <c r="Y9" s="667">
        <v>16</v>
      </c>
      <c r="Z9" s="1312" t="s">
        <v>360</v>
      </c>
    </row>
    <row r="10" spans="1:87" s="2667" customFormat="1" ht="16.5" customHeight="1">
      <c r="A10" s="732"/>
      <c r="B10" s="2112" t="s">
        <v>92</v>
      </c>
      <c r="C10" s="1739"/>
      <c r="D10" s="1740">
        <f>+D11+D12</f>
        <v>339555317</v>
      </c>
      <c r="E10" s="1740">
        <f>+E11+E12</f>
        <v>441028</v>
      </c>
      <c r="F10" s="2113">
        <f t="shared" ref="F10:O10" si="0">+F11+F12</f>
        <v>0</v>
      </c>
      <c r="G10" s="2113">
        <f t="shared" ref="G10:H10" si="1">+G11+G12</f>
        <v>0</v>
      </c>
      <c r="H10" s="2113">
        <f t="shared" si="1"/>
        <v>0</v>
      </c>
      <c r="I10" s="2114">
        <f t="shared" si="0"/>
        <v>364771</v>
      </c>
      <c r="J10" s="2114">
        <f t="shared" si="0"/>
        <v>411913</v>
      </c>
      <c r="K10" s="2114">
        <f t="shared" si="0"/>
        <v>5530776</v>
      </c>
      <c r="L10" s="2114">
        <f>+L11+L12</f>
        <v>7415081</v>
      </c>
      <c r="M10" s="1740">
        <f>+M11+M12</f>
        <v>14747319</v>
      </c>
      <c r="N10" s="1740">
        <f t="shared" si="0"/>
        <v>893227</v>
      </c>
      <c r="O10" s="1740">
        <f t="shared" si="0"/>
        <v>6590888</v>
      </c>
      <c r="P10" s="1740">
        <f t="shared" ref="P10:Q10" si="2">+P11+P12</f>
        <v>32795909</v>
      </c>
      <c r="Q10" s="1740">
        <f t="shared" si="2"/>
        <v>47325288</v>
      </c>
      <c r="R10" s="1740">
        <f>+R11+R12</f>
        <v>54658312</v>
      </c>
      <c r="S10" s="803">
        <f t="shared" ref="S10:T10" si="3">+S11+S12</f>
        <v>62457386</v>
      </c>
      <c r="T10" s="803">
        <f t="shared" si="3"/>
        <v>43050956</v>
      </c>
      <c r="U10" s="803">
        <f t="shared" ref="U10:W10" si="4">+U11+U12</f>
        <v>27058858</v>
      </c>
      <c r="V10" s="803">
        <f t="shared" si="4"/>
        <v>25246062</v>
      </c>
      <c r="W10" s="803">
        <f t="shared" si="4"/>
        <v>25624339</v>
      </c>
      <c r="X10" s="676">
        <f>+X11+X12</f>
        <v>318217110</v>
      </c>
      <c r="Y10" s="346"/>
      <c r="Z10" s="1322">
        <f>X10-X13</f>
        <v>0</v>
      </c>
      <c r="AA10" s="1322"/>
    </row>
    <row r="11" spans="1:87" s="2667" customFormat="1" ht="15" customHeight="1">
      <c r="A11" s="732"/>
      <c r="B11" s="792" t="s">
        <v>93</v>
      </c>
      <c r="C11" s="793"/>
      <c r="D11" s="794">
        <f t="shared" ref="D11:W11" si="5">+D28+D72+D50+D92-D100+D152+D182+D209-D213</f>
        <v>230906004</v>
      </c>
      <c r="E11" s="794">
        <f t="shared" si="5"/>
        <v>441028</v>
      </c>
      <c r="F11" s="794">
        <f t="shared" si="5"/>
        <v>0</v>
      </c>
      <c r="G11" s="794">
        <f t="shared" si="5"/>
        <v>0</v>
      </c>
      <c r="H11" s="794">
        <f t="shared" si="5"/>
        <v>0</v>
      </c>
      <c r="I11" s="794">
        <f t="shared" si="5"/>
        <v>364771</v>
      </c>
      <c r="J11" s="794">
        <f t="shared" si="5"/>
        <v>375013</v>
      </c>
      <c r="K11" s="794">
        <f t="shared" si="5"/>
        <v>348792</v>
      </c>
      <c r="L11" s="794">
        <f t="shared" si="5"/>
        <v>377448</v>
      </c>
      <c r="M11" s="794">
        <f t="shared" si="5"/>
        <v>2126586</v>
      </c>
      <c r="N11" s="794">
        <f t="shared" si="5"/>
        <v>529011</v>
      </c>
      <c r="O11" s="794">
        <f t="shared" si="5"/>
        <v>1489295</v>
      </c>
      <c r="P11" s="794">
        <f t="shared" si="5"/>
        <v>30890267</v>
      </c>
      <c r="Q11" s="794">
        <f t="shared" si="5"/>
        <v>32479828</v>
      </c>
      <c r="R11" s="794">
        <f t="shared" si="5"/>
        <v>30891852</v>
      </c>
      <c r="S11" s="794">
        <f t="shared" si="5"/>
        <v>27671761</v>
      </c>
      <c r="T11" s="794">
        <f t="shared" si="5"/>
        <v>27928231</v>
      </c>
      <c r="U11" s="794">
        <f t="shared" si="5"/>
        <v>26891833</v>
      </c>
      <c r="V11" s="794">
        <f t="shared" si="5"/>
        <v>25079037</v>
      </c>
      <c r="W11" s="794">
        <f t="shared" si="5"/>
        <v>25457314</v>
      </c>
      <c r="X11" s="1290">
        <f>+X28+X72+X50+X92-X100+X152+X182+X209</f>
        <v>227290123</v>
      </c>
      <c r="Y11" s="346"/>
      <c r="Z11" s="1322"/>
      <c r="AA11" s="1322"/>
    </row>
    <row r="12" spans="1:87" s="2667" customFormat="1" ht="14.25" customHeight="1" thickBot="1">
      <c r="A12" s="732"/>
      <c r="B12" s="795" t="s">
        <v>21</v>
      </c>
      <c r="C12" s="796"/>
      <c r="D12" s="797">
        <f>+D83+D39+D61+D116-D118+D166+D193</f>
        <v>108649313</v>
      </c>
      <c r="E12" s="797">
        <f t="shared" ref="E12:L12" si="6">+E83+E39+E61+E116-E118</f>
        <v>0</v>
      </c>
      <c r="F12" s="797">
        <f t="shared" si="6"/>
        <v>0</v>
      </c>
      <c r="G12" s="797">
        <f t="shared" si="6"/>
        <v>0</v>
      </c>
      <c r="H12" s="797">
        <f t="shared" si="6"/>
        <v>0</v>
      </c>
      <c r="I12" s="797">
        <f t="shared" si="6"/>
        <v>0</v>
      </c>
      <c r="J12" s="797">
        <f t="shared" si="6"/>
        <v>36900</v>
      </c>
      <c r="K12" s="797">
        <f t="shared" si="6"/>
        <v>5181984</v>
      </c>
      <c r="L12" s="797">
        <f t="shared" si="6"/>
        <v>7037633</v>
      </c>
      <c r="M12" s="797">
        <f t="shared" ref="M12:X12" si="7">+M83+M39+M61+M116-M118+M166+M193</f>
        <v>12620733</v>
      </c>
      <c r="N12" s="797">
        <f t="shared" si="7"/>
        <v>364216</v>
      </c>
      <c r="O12" s="797">
        <f t="shared" si="7"/>
        <v>5101593</v>
      </c>
      <c r="P12" s="797">
        <f t="shared" si="7"/>
        <v>1905642</v>
      </c>
      <c r="Q12" s="797">
        <f t="shared" si="7"/>
        <v>14845460</v>
      </c>
      <c r="R12" s="797">
        <f t="shared" si="7"/>
        <v>23766460</v>
      </c>
      <c r="S12" s="797">
        <f t="shared" si="7"/>
        <v>34785625</v>
      </c>
      <c r="T12" s="797">
        <f t="shared" si="7"/>
        <v>15122725</v>
      </c>
      <c r="U12" s="797">
        <f t="shared" si="7"/>
        <v>167025</v>
      </c>
      <c r="V12" s="797">
        <f t="shared" si="7"/>
        <v>167025</v>
      </c>
      <c r="W12" s="797">
        <f t="shared" si="7"/>
        <v>167025</v>
      </c>
      <c r="X12" s="347">
        <f t="shared" si="7"/>
        <v>90926987</v>
      </c>
      <c r="Y12" s="346"/>
    </row>
    <row r="13" spans="1:87" s="1327" customFormat="1" ht="13.5" customHeight="1">
      <c r="A13" s="679"/>
      <c r="B13" s="680" t="s">
        <v>22</v>
      </c>
      <c r="C13" s="681"/>
      <c r="D13" s="682">
        <f>+D14+D19</f>
        <v>344000633</v>
      </c>
      <c r="E13" s="682">
        <f t="shared" ref="E13:W13" si="8">+E14+E19</f>
        <v>441028</v>
      </c>
      <c r="F13" s="1323">
        <f t="shared" si="8"/>
        <v>0</v>
      </c>
      <c r="G13" s="1323">
        <f t="shared" si="8"/>
        <v>0</v>
      </c>
      <c r="H13" s="1323">
        <f t="shared" si="8"/>
        <v>0</v>
      </c>
      <c r="I13" s="1324">
        <f t="shared" si="8"/>
        <v>364771</v>
      </c>
      <c r="J13" s="1324">
        <f t="shared" si="8"/>
        <v>411913</v>
      </c>
      <c r="K13" s="1324">
        <f t="shared" si="8"/>
        <v>5530776</v>
      </c>
      <c r="L13" s="1324">
        <f t="shared" si="8"/>
        <v>7415081</v>
      </c>
      <c r="M13" s="682">
        <f t="shared" si="8"/>
        <v>14747319</v>
      </c>
      <c r="N13" s="682">
        <f t="shared" si="8"/>
        <v>893227</v>
      </c>
      <c r="O13" s="682">
        <f t="shared" si="8"/>
        <v>6590888</v>
      </c>
      <c r="P13" s="682">
        <f t="shared" si="8"/>
        <v>33526610</v>
      </c>
      <c r="Q13" s="682">
        <f t="shared" si="8"/>
        <v>48058308</v>
      </c>
      <c r="R13" s="682">
        <f t="shared" si="8"/>
        <v>55282546</v>
      </c>
      <c r="S13" s="682">
        <f t="shared" si="8"/>
        <v>62928859</v>
      </c>
      <c r="T13" s="682">
        <f t="shared" si="8"/>
        <v>43522428</v>
      </c>
      <c r="U13" s="682">
        <f t="shared" si="8"/>
        <v>27530330</v>
      </c>
      <c r="V13" s="682">
        <f t="shared" si="8"/>
        <v>25717534</v>
      </c>
      <c r="W13" s="682">
        <f t="shared" si="8"/>
        <v>26095811</v>
      </c>
      <c r="X13" s="733">
        <f>+X14+X19</f>
        <v>318217110</v>
      </c>
      <c r="Y13" s="677"/>
      <c r="Z13" s="1325">
        <f>+M13+O13+P13+Q13+R13+S13+T13+U13+V13+W13</f>
        <v>344000633</v>
      </c>
      <c r="AA13" s="1326"/>
    </row>
    <row r="14" spans="1:87" s="1332" customFormat="1" ht="13.5" customHeight="1">
      <c r="A14" s="675"/>
      <c r="B14" s="683" t="s">
        <v>23</v>
      </c>
      <c r="C14" s="684"/>
      <c r="D14" s="1328">
        <f>+D15+D16+D17+D18</f>
        <v>56557458</v>
      </c>
      <c r="E14" s="1328">
        <f t="shared" ref="E14:L14" si="9">+E15+E16+E18</f>
        <v>66154</v>
      </c>
      <c r="F14" s="1328">
        <f t="shared" si="9"/>
        <v>0</v>
      </c>
      <c r="G14" s="1328">
        <f t="shared" si="9"/>
        <v>0</v>
      </c>
      <c r="H14" s="1328">
        <f t="shared" si="9"/>
        <v>0</v>
      </c>
      <c r="I14" s="1328">
        <f t="shared" si="9"/>
        <v>54716</v>
      </c>
      <c r="J14" s="1328">
        <f t="shared" si="9"/>
        <v>65477</v>
      </c>
      <c r="K14" s="1328">
        <f t="shared" si="9"/>
        <v>63389</v>
      </c>
      <c r="L14" s="1328">
        <f t="shared" si="9"/>
        <v>56617</v>
      </c>
      <c r="M14" s="1328">
        <f t="shared" ref="M14:W14" si="10">+M15+M16+M17+M18</f>
        <v>339552</v>
      </c>
      <c r="N14" s="1328">
        <f t="shared" si="10"/>
        <v>79621</v>
      </c>
      <c r="O14" s="1328">
        <f t="shared" si="10"/>
        <v>227327</v>
      </c>
      <c r="P14" s="1328">
        <f t="shared" si="10"/>
        <v>5583365</v>
      </c>
      <c r="Q14" s="1328">
        <f t="shared" si="10"/>
        <v>10255536</v>
      </c>
      <c r="R14" s="1328">
        <f t="shared" si="10"/>
        <v>11144935</v>
      </c>
      <c r="S14" s="1328">
        <f t="shared" si="10"/>
        <v>10301040</v>
      </c>
      <c r="T14" s="1328">
        <f t="shared" si="10"/>
        <v>7452175</v>
      </c>
      <c r="U14" s="1328">
        <f t="shared" si="10"/>
        <v>5113495</v>
      </c>
      <c r="V14" s="1328">
        <f t="shared" si="10"/>
        <v>3022668</v>
      </c>
      <c r="W14" s="1328">
        <f t="shared" si="10"/>
        <v>3117365</v>
      </c>
      <c r="X14" s="1329">
        <f>+X15+X16+X17+X18</f>
        <v>51545263</v>
      </c>
      <c r="Y14" s="1330"/>
      <c r="Z14" s="1331"/>
      <c r="AA14" s="1331"/>
      <c r="AB14" s="1331"/>
      <c r="AC14" s="1331"/>
      <c r="AD14" s="1331"/>
      <c r="AE14" s="1331"/>
      <c r="AF14" s="1331"/>
      <c r="AG14" s="1331"/>
      <c r="AH14" s="1331"/>
      <c r="AI14" s="1331"/>
      <c r="AJ14" s="1331"/>
      <c r="AK14" s="1331"/>
    </row>
    <row r="15" spans="1:87" s="1335" customFormat="1" ht="12" customHeight="1">
      <c r="A15" s="685"/>
      <c r="B15" s="686" t="s">
        <v>24</v>
      </c>
      <c r="C15" s="687"/>
      <c r="D15" s="1333">
        <f>+D85+D94+D136+D211</f>
        <v>44397102</v>
      </c>
      <c r="E15" s="1333">
        <f t="shared" ref="E15:L15" si="11">+E85+E94</f>
        <v>0</v>
      </c>
      <c r="F15" s="1333">
        <f t="shared" si="11"/>
        <v>0</v>
      </c>
      <c r="G15" s="1333">
        <f t="shared" si="11"/>
        <v>0</v>
      </c>
      <c r="H15" s="1333">
        <f t="shared" si="11"/>
        <v>0</v>
      </c>
      <c r="I15" s="1333">
        <f t="shared" si="11"/>
        <v>0</v>
      </c>
      <c r="J15" s="1333">
        <f t="shared" si="11"/>
        <v>9225</v>
      </c>
      <c r="K15" s="1333">
        <f t="shared" si="11"/>
        <v>11070</v>
      </c>
      <c r="L15" s="1333">
        <f t="shared" si="11"/>
        <v>0</v>
      </c>
      <c r="M15" s="1333">
        <f>+M85+M94+M136+M211</f>
        <v>20564</v>
      </c>
      <c r="N15" s="1333">
        <f t="shared" ref="N15" si="12">+N85+N94+N136</f>
        <v>269</v>
      </c>
      <c r="O15" s="1333">
        <f t="shared" ref="O15:V15" si="13">+O85+O94+O136+O211</f>
        <v>12575</v>
      </c>
      <c r="P15" s="1333">
        <f t="shared" si="13"/>
        <v>4341924</v>
      </c>
      <c r="Q15" s="1333">
        <f t="shared" si="13"/>
        <v>8780215</v>
      </c>
      <c r="R15" s="1333">
        <f>+R85+R94+R136+R211</f>
        <v>9750142</v>
      </c>
      <c r="S15" s="1333">
        <f t="shared" si="13"/>
        <v>6276367</v>
      </c>
      <c r="T15" s="1333">
        <f t="shared" si="13"/>
        <v>5376203</v>
      </c>
      <c r="U15" s="1333">
        <f t="shared" si="13"/>
        <v>4642023</v>
      </c>
      <c r="V15" s="1333">
        <f t="shared" si="13"/>
        <v>2551196</v>
      </c>
      <c r="W15" s="1333">
        <f>+W85+W94+W136+W211</f>
        <v>2645893</v>
      </c>
      <c r="X15" s="1334">
        <f>+X85+X94+X136+X211</f>
        <v>44363963</v>
      </c>
      <c r="Y15" s="677"/>
      <c r="Z15" s="1325">
        <f>+Z13-Z7</f>
        <v>4445316</v>
      </c>
      <c r="AA15" s="1335" t="s">
        <v>430</v>
      </c>
    </row>
    <row r="16" spans="1:87" s="1335" customFormat="1" ht="11.25" customHeight="1">
      <c r="A16" s="685"/>
      <c r="B16" s="1336" t="s">
        <v>25</v>
      </c>
      <c r="C16" s="1337"/>
      <c r="D16" s="1333">
        <f>+D30+D74+D41+D52+D63+D212</f>
        <v>2715040</v>
      </c>
      <c r="E16" s="1333">
        <f>+E30+E74+E41+E52+E63</f>
        <v>66154</v>
      </c>
      <c r="F16" s="1338">
        <f>+F30+F74+F41</f>
        <v>0</v>
      </c>
      <c r="G16" s="1338">
        <f>+G30+G74+G41</f>
        <v>0</v>
      </c>
      <c r="H16" s="1338">
        <f>+H30+H74+H41</f>
        <v>0</v>
      </c>
      <c r="I16" s="1339">
        <f>+I30+I74+I41+I52+I63</f>
        <v>54716</v>
      </c>
      <c r="J16" s="1339">
        <f>+J30+J74+J41+J52+J63</f>
        <v>56252</v>
      </c>
      <c r="K16" s="1339">
        <f>+K30+K74+K41+K52+K63</f>
        <v>52319</v>
      </c>
      <c r="L16" s="1339">
        <f>+L30+L74+L41+L52+L63</f>
        <v>56617</v>
      </c>
      <c r="M16" s="1333">
        <f>+M30+M74+M41+M52+M63+M212</f>
        <v>318988</v>
      </c>
      <c r="N16" s="1333">
        <f>+N30+N74+N41+N52+N63</f>
        <v>79352</v>
      </c>
      <c r="O16" s="1333">
        <f t="shared" ref="O16:W16" si="14">+O30+O74+O41+O52+O63+O212</f>
        <v>214752</v>
      </c>
      <c r="P16" s="1333">
        <f t="shared" si="14"/>
        <v>510740</v>
      </c>
      <c r="Q16" s="1333">
        <f t="shared" si="14"/>
        <v>742301</v>
      </c>
      <c r="R16" s="1333">
        <f t="shared" si="14"/>
        <v>493259</v>
      </c>
      <c r="S16" s="1333">
        <f t="shared" si="14"/>
        <v>225000</v>
      </c>
      <c r="T16" s="1333">
        <f t="shared" si="14"/>
        <v>210000</v>
      </c>
      <c r="U16" s="1333">
        <f t="shared" si="14"/>
        <v>0</v>
      </c>
      <c r="V16" s="1333">
        <f t="shared" si="14"/>
        <v>0</v>
      </c>
      <c r="W16" s="1333">
        <f t="shared" si="14"/>
        <v>0</v>
      </c>
      <c r="X16" s="1334">
        <f>SUM(P16:T16)</f>
        <v>2181300</v>
      </c>
      <c r="Y16" s="677"/>
      <c r="Z16" s="1325">
        <f>R15+R16+R17+R20-R10</f>
        <v>0</v>
      </c>
    </row>
    <row r="17" spans="1:37" s="1335" customFormat="1" ht="11.25" customHeight="1">
      <c r="A17" s="685"/>
      <c r="B17" s="1336" t="s">
        <v>28</v>
      </c>
      <c r="C17" s="1337"/>
      <c r="D17" s="1340">
        <f>+D137</f>
        <v>5000000</v>
      </c>
      <c r="E17" s="1340"/>
      <c r="F17" s="1534"/>
      <c r="G17" s="1534"/>
      <c r="H17" s="1534"/>
      <c r="I17" s="1535"/>
      <c r="J17" s="1535"/>
      <c r="K17" s="1535"/>
      <c r="L17" s="1535"/>
      <c r="M17" s="1340">
        <f>+M137</f>
        <v>0</v>
      </c>
      <c r="N17" s="1340">
        <f t="shared" ref="N17:W17" si="15">+N137</f>
        <v>0</v>
      </c>
      <c r="O17" s="1340">
        <f t="shared" si="15"/>
        <v>0</v>
      </c>
      <c r="P17" s="1340">
        <f t="shared" si="15"/>
        <v>0</v>
      </c>
      <c r="Q17" s="1340">
        <f t="shared" si="15"/>
        <v>0</v>
      </c>
      <c r="R17" s="1340">
        <f t="shared" si="15"/>
        <v>277300</v>
      </c>
      <c r="S17" s="1340">
        <f t="shared" si="15"/>
        <v>3328200</v>
      </c>
      <c r="T17" s="1340">
        <f t="shared" si="15"/>
        <v>1394500</v>
      </c>
      <c r="U17" s="1340">
        <f t="shared" si="15"/>
        <v>0</v>
      </c>
      <c r="V17" s="1340">
        <f t="shared" si="15"/>
        <v>0</v>
      </c>
      <c r="W17" s="1340">
        <f t="shared" si="15"/>
        <v>0</v>
      </c>
      <c r="X17" s="1536">
        <f t="shared" ref="X17" si="16">+X137</f>
        <v>5000000</v>
      </c>
      <c r="Y17" s="677"/>
      <c r="Z17" s="1325"/>
    </row>
    <row r="18" spans="1:37" s="1335" customFormat="1" ht="12" customHeight="1">
      <c r="A18" s="685"/>
      <c r="B18" s="1336" t="s">
        <v>45</v>
      </c>
      <c r="C18" s="1337"/>
      <c r="D18" s="1340">
        <f>D100+D118+D213</f>
        <v>4445316</v>
      </c>
      <c r="E18" s="1340">
        <f t="shared" ref="E18:X18" si="17">E100+E118</f>
        <v>0</v>
      </c>
      <c r="F18" s="1340">
        <f t="shared" si="17"/>
        <v>0</v>
      </c>
      <c r="G18" s="1340">
        <f t="shared" si="17"/>
        <v>0</v>
      </c>
      <c r="H18" s="1340">
        <f t="shared" si="17"/>
        <v>0</v>
      </c>
      <c r="I18" s="1340">
        <f t="shared" si="17"/>
        <v>0</v>
      </c>
      <c r="J18" s="1340">
        <f t="shared" si="17"/>
        <v>0</v>
      </c>
      <c r="K18" s="1340">
        <f t="shared" si="17"/>
        <v>0</v>
      </c>
      <c r="L18" s="1340">
        <f t="shared" si="17"/>
        <v>0</v>
      </c>
      <c r="M18" s="1340">
        <f>M100+M118+M213</f>
        <v>0</v>
      </c>
      <c r="N18" s="1340">
        <f t="shared" si="17"/>
        <v>0</v>
      </c>
      <c r="O18" s="1340">
        <f t="shared" ref="O18:W18" si="18">O100+O118+O213</f>
        <v>0</v>
      </c>
      <c r="P18" s="1340">
        <f t="shared" si="18"/>
        <v>730701</v>
      </c>
      <c r="Q18" s="1340">
        <f t="shared" si="18"/>
        <v>733020</v>
      </c>
      <c r="R18" s="1340">
        <f t="shared" si="18"/>
        <v>624234</v>
      </c>
      <c r="S18" s="1340">
        <f t="shared" si="18"/>
        <v>471473</v>
      </c>
      <c r="T18" s="1340">
        <f t="shared" si="18"/>
        <v>471472</v>
      </c>
      <c r="U18" s="1340">
        <f t="shared" si="18"/>
        <v>471472</v>
      </c>
      <c r="V18" s="1340">
        <f t="shared" si="18"/>
        <v>471472</v>
      </c>
      <c r="W18" s="1340">
        <f t="shared" si="18"/>
        <v>471472</v>
      </c>
      <c r="X18" s="1341">
        <f t="shared" si="17"/>
        <v>0</v>
      </c>
      <c r="Y18" s="677"/>
      <c r="Z18" s="1325"/>
    </row>
    <row r="19" spans="1:37" s="1332" customFormat="1" ht="12" customHeight="1">
      <c r="A19" s="675"/>
      <c r="B19" s="688" t="s">
        <v>30</v>
      </c>
      <c r="C19" s="689"/>
      <c r="D19" s="690">
        <f>SUM(D20)</f>
        <v>287443175</v>
      </c>
      <c r="E19" s="690">
        <f t="shared" ref="E19:O19" si="19">SUM(E20)</f>
        <v>374874</v>
      </c>
      <c r="F19" s="1342">
        <f t="shared" si="19"/>
        <v>0</v>
      </c>
      <c r="G19" s="1342">
        <f t="shared" si="19"/>
        <v>0</v>
      </c>
      <c r="H19" s="1342">
        <f t="shared" si="19"/>
        <v>0</v>
      </c>
      <c r="I19" s="1343">
        <f t="shared" si="19"/>
        <v>310055</v>
      </c>
      <c r="J19" s="1343">
        <f t="shared" si="19"/>
        <v>346436</v>
      </c>
      <c r="K19" s="1343">
        <f t="shared" si="19"/>
        <v>5467387</v>
      </c>
      <c r="L19" s="1343">
        <f t="shared" si="19"/>
        <v>7358464</v>
      </c>
      <c r="M19" s="690">
        <f t="shared" si="19"/>
        <v>14407767</v>
      </c>
      <c r="N19" s="690">
        <f t="shared" si="19"/>
        <v>813606</v>
      </c>
      <c r="O19" s="690">
        <f t="shared" si="19"/>
        <v>6363561</v>
      </c>
      <c r="P19" s="690">
        <f>SUM(P20)</f>
        <v>27943245</v>
      </c>
      <c r="Q19" s="690">
        <f>SUM(Q20)</f>
        <v>37802772</v>
      </c>
      <c r="R19" s="690">
        <f>SUM(R20)</f>
        <v>44137611</v>
      </c>
      <c r="S19" s="690">
        <f t="shared" ref="S19:W19" si="20">SUM(S20)</f>
        <v>52627819</v>
      </c>
      <c r="T19" s="690">
        <f t="shared" si="20"/>
        <v>36070253</v>
      </c>
      <c r="U19" s="690">
        <f t="shared" si="20"/>
        <v>22416835</v>
      </c>
      <c r="V19" s="690">
        <f t="shared" si="20"/>
        <v>22694866</v>
      </c>
      <c r="W19" s="690">
        <f t="shared" si="20"/>
        <v>22978446</v>
      </c>
      <c r="X19" s="1329">
        <f>SUM(X20)</f>
        <v>266671847</v>
      </c>
      <c r="Y19" s="1330"/>
      <c r="Z19" s="1331"/>
      <c r="AA19" s="1331"/>
      <c r="AB19" s="1331"/>
      <c r="AC19" s="1331"/>
      <c r="AD19" s="1331"/>
      <c r="AE19" s="1331"/>
      <c r="AF19" s="1331"/>
      <c r="AG19" s="1331"/>
      <c r="AH19" s="1331"/>
      <c r="AI19" s="1331"/>
      <c r="AJ19" s="1331"/>
      <c r="AK19" s="1331"/>
    </row>
    <row r="20" spans="1:37" s="1348" customFormat="1" ht="12" customHeight="1">
      <c r="A20" s="691"/>
      <c r="B20" s="1344" t="s">
        <v>33</v>
      </c>
      <c r="C20" s="1345"/>
      <c r="D20" s="1333">
        <f>+D32+D76+D87+D43+D54+D65+D104+D122+D139+D215</f>
        <v>287443175</v>
      </c>
      <c r="E20" s="1333">
        <f t="shared" ref="E20:L20" si="21">+E32+E76+E87+E43+E54+E65+E104+E122</f>
        <v>374874</v>
      </c>
      <c r="F20" s="1333">
        <f t="shared" si="21"/>
        <v>0</v>
      </c>
      <c r="G20" s="1333">
        <f t="shared" si="21"/>
        <v>0</v>
      </c>
      <c r="H20" s="1333">
        <f t="shared" si="21"/>
        <v>0</v>
      </c>
      <c r="I20" s="1333">
        <f t="shared" si="21"/>
        <v>310055</v>
      </c>
      <c r="J20" s="1333">
        <f t="shared" si="21"/>
        <v>346436</v>
      </c>
      <c r="K20" s="1333">
        <f t="shared" si="21"/>
        <v>5467387</v>
      </c>
      <c r="L20" s="1333">
        <f t="shared" si="21"/>
        <v>7358464</v>
      </c>
      <c r="M20" s="1333">
        <f>+M32+M76+M87+M43+M54+M65+M104+M122+M139+M215</f>
        <v>14407767</v>
      </c>
      <c r="N20" s="1333">
        <f>+N32+N76+N87+N43+N54+N65+N104+N122+N139</f>
        <v>813606</v>
      </c>
      <c r="O20" s="1333">
        <f t="shared" ref="O20:X20" si="22">+O32+O76+O87+O43+O54+O65+O104+O122+O139+O215</f>
        <v>6363561</v>
      </c>
      <c r="P20" s="1333">
        <f t="shared" si="22"/>
        <v>27943245</v>
      </c>
      <c r="Q20" s="1333">
        <f t="shared" si="22"/>
        <v>37802772</v>
      </c>
      <c r="R20" s="1333">
        <f t="shared" si="22"/>
        <v>44137611</v>
      </c>
      <c r="S20" s="1333">
        <f t="shared" si="22"/>
        <v>52627819</v>
      </c>
      <c r="T20" s="1333">
        <f t="shared" si="22"/>
        <v>36070253</v>
      </c>
      <c r="U20" s="1333">
        <f t="shared" si="22"/>
        <v>22416835</v>
      </c>
      <c r="V20" s="1333">
        <f t="shared" si="22"/>
        <v>22694866</v>
      </c>
      <c r="W20" s="1333">
        <f t="shared" si="22"/>
        <v>22978446</v>
      </c>
      <c r="X20" s="1536">
        <f t="shared" si="22"/>
        <v>266671847</v>
      </c>
      <c r="Y20" s="1346"/>
      <c r="Z20" s="1325">
        <f>D15+D16+D17+D20-D10</f>
        <v>0</v>
      </c>
      <c r="AA20" s="1347"/>
      <c r="AB20" s="1347"/>
      <c r="AC20" s="1347"/>
      <c r="AD20" s="1347"/>
      <c r="AE20" s="1347"/>
      <c r="AF20" s="1347"/>
      <c r="AG20" s="1347"/>
      <c r="AH20" s="1347"/>
      <c r="AI20" s="1347"/>
      <c r="AJ20" s="1347"/>
      <c r="AK20" s="1347"/>
    </row>
    <row r="21" spans="1:37" s="1348" customFormat="1" ht="12.75" customHeight="1">
      <c r="A21" s="691"/>
      <c r="B21" s="505" t="s">
        <v>34</v>
      </c>
      <c r="C21" s="1917"/>
      <c r="D21" s="1918">
        <f>+D22+D25</f>
        <v>295158215</v>
      </c>
      <c r="E21" s="1918">
        <f t="shared" ref="E21:W21" si="23">+E22+E25</f>
        <v>3874</v>
      </c>
      <c r="F21" s="1918">
        <f t="shared" si="23"/>
        <v>0</v>
      </c>
      <c r="G21" s="1918">
        <f t="shared" si="23"/>
        <v>2563346</v>
      </c>
      <c r="H21" s="1918">
        <f t="shared" si="23"/>
        <v>8310034</v>
      </c>
      <c r="I21" s="1918">
        <f t="shared" si="23"/>
        <v>480461</v>
      </c>
      <c r="J21" s="1918">
        <f t="shared" si="23"/>
        <v>496759</v>
      </c>
      <c r="K21" s="1918">
        <f t="shared" si="23"/>
        <v>4459030</v>
      </c>
      <c r="L21" s="1918">
        <f t="shared" si="23"/>
        <v>5356093</v>
      </c>
      <c r="M21" s="1918">
        <f t="shared" si="23"/>
        <v>11268652</v>
      </c>
      <c r="N21" s="1918">
        <f t="shared" si="23"/>
        <v>781912</v>
      </c>
      <c r="O21" s="1918">
        <f t="shared" si="23"/>
        <v>5505846</v>
      </c>
      <c r="P21" s="1918">
        <f t="shared" si="23"/>
        <v>30274675</v>
      </c>
      <c r="Q21" s="1918">
        <f t="shared" si="23"/>
        <v>40619757</v>
      </c>
      <c r="R21" s="1918">
        <f t="shared" si="23"/>
        <v>45575358</v>
      </c>
      <c r="S21" s="1918">
        <f t="shared" si="23"/>
        <v>56535116</v>
      </c>
      <c r="T21" s="1918">
        <f t="shared" si="23"/>
        <v>37288664</v>
      </c>
      <c r="U21" s="1918">
        <f t="shared" si="23"/>
        <v>22416835</v>
      </c>
      <c r="V21" s="1918">
        <f t="shared" si="23"/>
        <v>22694866</v>
      </c>
      <c r="W21" s="1918">
        <f t="shared" si="23"/>
        <v>22978446</v>
      </c>
      <c r="X21" s="3259" t="s">
        <v>77</v>
      </c>
      <c r="Y21" s="677"/>
      <c r="Z21" s="1354">
        <f>D55+D66+D77+D88+D112+D130+D143+D216</f>
        <v>295158215</v>
      </c>
      <c r="AA21" s="1347"/>
      <c r="AB21" s="1347"/>
      <c r="AC21" s="1347"/>
      <c r="AD21" s="1347"/>
      <c r="AE21" s="1347"/>
      <c r="AF21" s="1347"/>
      <c r="AG21" s="1347"/>
      <c r="AH21" s="1347"/>
      <c r="AI21" s="1347"/>
      <c r="AJ21" s="1347"/>
      <c r="AK21" s="1347"/>
    </row>
    <row r="22" spans="1:37" s="1332" customFormat="1" ht="12" customHeight="1">
      <c r="A22" s="675"/>
      <c r="B22" s="683" t="s">
        <v>23</v>
      </c>
      <c r="C22" s="684"/>
      <c r="D22" s="1328">
        <f>+D23+D24</f>
        <v>7715040</v>
      </c>
      <c r="E22" s="1328">
        <f t="shared" ref="E22:L22" si="24">+E23</f>
        <v>3874</v>
      </c>
      <c r="F22" s="1349">
        <f t="shared" si="24"/>
        <v>0</v>
      </c>
      <c r="G22" s="1349">
        <f t="shared" si="24"/>
        <v>0</v>
      </c>
      <c r="H22" s="1349">
        <f t="shared" si="24"/>
        <v>0</v>
      </c>
      <c r="I22" s="1350">
        <f t="shared" si="24"/>
        <v>72234</v>
      </c>
      <c r="J22" s="1350">
        <f t="shared" si="24"/>
        <v>73370</v>
      </c>
      <c r="K22" s="1350">
        <f t="shared" si="24"/>
        <v>52704</v>
      </c>
      <c r="L22" s="1350">
        <f t="shared" si="24"/>
        <v>44329</v>
      </c>
      <c r="M22" s="1328">
        <f t="shared" ref="M22:W22" si="25">+M23+M24</f>
        <v>303135</v>
      </c>
      <c r="N22" s="1328">
        <f t="shared" si="25"/>
        <v>103046</v>
      </c>
      <c r="O22" s="1328">
        <f t="shared" si="25"/>
        <v>216191</v>
      </c>
      <c r="P22" s="1328">
        <f t="shared" si="25"/>
        <v>525154</v>
      </c>
      <c r="Q22" s="1328">
        <f t="shared" si="25"/>
        <v>742301</v>
      </c>
      <c r="R22" s="1328">
        <f t="shared" si="25"/>
        <v>770559</v>
      </c>
      <c r="S22" s="1328">
        <f t="shared" si="25"/>
        <v>3553200</v>
      </c>
      <c r="T22" s="1328">
        <f t="shared" si="25"/>
        <v>1604500</v>
      </c>
      <c r="U22" s="1328">
        <f t="shared" si="25"/>
        <v>0</v>
      </c>
      <c r="V22" s="1328">
        <f t="shared" si="25"/>
        <v>0</v>
      </c>
      <c r="W22" s="1328">
        <f t="shared" si="25"/>
        <v>0</v>
      </c>
      <c r="X22" s="3222"/>
      <c r="Y22" s="1330"/>
      <c r="Z22" s="1354"/>
      <c r="AA22" s="1331"/>
      <c r="AB22" s="1331"/>
      <c r="AC22" s="1331"/>
      <c r="AD22" s="1331"/>
      <c r="AE22" s="1331"/>
      <c r="AF22" s="1331"/>
      <c r="AG22" s="1331"/>
      <c r="AH22" s="1331"/>
      <c r="AI22" s="1331"/>
      <c r="AJ22" s="1331"/>
      <c r="AK22" s="1331"/>
    </row>
    <row r="23" spans="1:37" s="1348" customFormat="1" ht="12" customHeight="1">
      <c r="A23" s="691"/>
      <c r="B23" s="1336" t="s">
        <v>25</v>
      </c>
      <c r="C23" s="1351"/>
      <c r="D23" s="1333">
        <f>+D35+D79+D46+D57+D63+D218</f>
        <v>2715040</v>
      </c>
      <c r="E23" s="1333">
        <f>+E35+E79+E46+E57+E63</f>
        <v>3874</v>
      </c>
      <c r="F23" s="1338">
        <f>+F35+F79+F46</f>
        <v>0</v>
      </c>
      <c r="G23" s="1338">
        <f>+G35+G79+G46</f>
        <v>0</v>
      </c>
      <c r="H23" s="1338">
        <f>+H35+H79+H46</f>
        <v>0</v>
      </c>
      <c r="I23" s="1339">
        <f>+I35+I79+I46+I57+I63</f>
        <v>72234</v>
      </c>
      <c r="J23" s="1339">
        <f>+J35+J79+J46+J57+J63</f>
        <v>73370</v>
      </c>
      <c r="K23" s="1339">
        <f>+K35+K79+K46+K57+K63</f>
        <v>52704</v>
      </c>
      <c r="L23" s="1339">
        <f>+L35+L79+L46+L57+L63</f>
        <v>44329</v>
      </c>
      <c r="M23" s="1333">
        <f>+M35+M79+M46+M57+M63+M218</f>
        <v>303135</v>
      </c>
      <c r="N23" s="1333">
        <f>+N35+N79+N46+N57+N63</f>
        <v>103046</v>
      </c>
      <c r="O23" s="1333">
        <f t="shared" ref="O23:W23" si="26">+O35+O79+O46+O57+O63+O218</f>
        <v>216191</v>
      </c>
      <c r="P23" s="1333">
        <f t="shared" si="26"/>
        <v>525154</v>
      </c>
      <c r="Q23" s="1333">
        <f t="shared" si="26"/>
        <v>742301</v>
      </c>
      <c r="R23" s="1333">
        <f t="shared" si="26"/>
        <v>493259</v>
      </c>
      <c r="S23" s="1333">
        <f t="shared" si="26"/>
        <v>225000</v>
      </c>
      <c r="T23" s="1333">
        <f t="shared" si="26"/>
        <v>210000</v>
      </c>
      <c r="U23" s="1333">
        <f t="shared" si="26"/>
        <v>0</v>
      </c>
      <c r="V23" s="1333">
        <f t="shared" si="26"/>
        <v>0</v>
      </c>
      <c r="W23" s="1333">
        <f t="shared" si="26"/>
        <v>0</v>
      </c>
      <c r="X23" s="3222"/>
      <c r="Y23" s="1346"/>
      <c r="Z23" s="1354"/>
      <c r="AA23" s="1347"/>
      <c r="AB23" s="1347"/>
      <c r="AC23" s="1347"/>
      <c r="AD23" s="1347"/>
      <c r="AE23" s="1347"/>
      <c r="AF23" s="1347"/>
      <c r="AG23" s="1347"/>
      <c r="AH23" s="1347"/>
      <c r="AI23" s="1347"/>
      <c r="AJ23" s="1347"/>
      <c r="AK23" s="1347"/>
    </row>
    <row r="24" spans="1:37" s="1348" customFormat="1" ht="12" customHeight="1">
      <c r="A24" s="691"/>
      <c r="B24" s="1336" t="s">
        <v>28</v>
      </c>
      <c r="C24" s="1351"/>
      <c r="D24" s="1340">
        <f>+D145</f>
        <v>5000000</v>
      </c>
      <c r="E24" s="1340"/>
      <c r="F24" s="1534"/>
      <c r="G24" s="1534"/>
      <c r="H24" s="1534"/>
      <c r="I24" s="1535"/>
      <c r="J24" s="1535"/>
      <c r="K24" s="1535"/>
      <c r="L24" s="1535"/>
      <c r="M24" s="1340">
        <f>+M145</f>
        <v>0</v>
      </c>
      <c r="N24" s="1340"/>
      <c r="O24" s="1340">
        <f t="shared" ref="O24:W24" si="27">+O145</f>
        <v>0</v>
      </c>
      <c r="P24" s="1340">
        <f t="shared" si="27"/>
        <v>0</v>
      </c>
      <c r="Q24" s="1340">
        <f t="shared" si="27"/>
        <v>0</v>
      </c>
      <c r="R24" s="1340">
        <f t="shared" si="27"/>
        <v>277300</v>
      </c>
      <c r="S24" s="1340">
        <f t="shared" si="27"/>
        <v>3328200</v>
      </c>
      <c r="T24" s="1340">
        <f t="shared" si="27"/>
        <v>1394500</v>
      </c>
      <c r="U24" s="1340">
        <f t="shared" si="27"/>
        <v>0</v>
      </c>
      <c r="V24" s="1340">
        <f t="shared" si="27"/>
        <v>0</v>
      </c>
      <c r="W24" s="1340">
        <f t="shared" si="27"/>
        <v>0</v>
      </c>
      <c r="X24" s="3222"/>
      <c r="Y24" s="1346"/>
      <c r="Z24" s="1354"/>
      <c r="AA24" s="1347"/>
      <c r="AB24" s="1347"/>
      <c r="AC24" s="1347"/>
      <c r="AD24" s="1347"/>
      <c r="AE24" s="1347"/>
      <c r="AF24" s="1347"/>
      <c r="AG24" s="1347"/>
      <c r="AH24" s="1347"/>
      <c r="AI24" s="1347"/>
      <c r="AJ24" s="1347"/>
      <c r="AK24" s="1347"/>
    </row>
    <row r="25" spans="1:37" s="1332" customFormat="1" ht="12" customHeight="1">
      <c r="A25" s="675"/>
      <c r="B25" s="688" t="s">
        <v>30</v>
      </c>
      <c r="C25" s="689"/>
      <c r="D25" s="690">
        <f>+D26</f>
        <v>287443175</v>
      </c>
      <c r="E25" s="690">
        <f t="shared" ref="E25:O25" si="28">+E26</f>
        <v>0</v>
      </c>
      <c r="F25" s="1342">
        <f t="shared" si="28"/>
        <v>0</v>
      </c>
      <c r="G25" s="1342">
        <f t="shared" si="28"/>
        <v>2563346</v>
      </c>
      <c r="H25" s="1342">
        <f t="shared" si="28"/>
        <v>8310034</v>
      </c>
      <c r="I25" s="1343">
        <f t="shared" si="28"/>
        <v>408227</v>
      </c>
      <c r="J25" s="1343">
        <f t="shared" si="28"/>
        <v>423389</v>
      </c>
      <c r="K25" s="1343">
        <f t="shared" si="28"/>
        <v>4406326</v>
      </c>
      <c r="L25" s="1343">
        <f t="shared" si="28"/>
        <v>5311764</v>
      </c>
      <c r="M25" s="690">
        <f t="shared" si="28"/>
        <v>10965517</v>
      </c>
      <c r="N25" s="690">
        <f t="shared" si="28"/>
        <v>678866</v>
      </c>
      <c r="O25" s="690">
        <f t="shared" si="28"/>
        <v>5289655</v>
      </c>
      <c r="P25" s="690">
        <f>+P26</f>
        <v>29749521</v>
      </c>
      <c r="Q25" s="690">
        <f>+Q26</f>
        <v>39877456</v>
      </c>
      <c r="R25" s="690">
        <f>+R26</f>
        <v>44804799</v>
      </c>
      <c r="S25" s="690">
        <f t="shared" ref="S25:W25" si="29">+S26</f>
        <v>52981916</v>
      </c>
      <c r="T25" s="690">
        <f t="shared" si="29"/>
        <v>35684164</v>
      </c>
      <c r="U25" s="690">
        <f t="shared" si="29"/>
        <v>22416835</v>
      </c>
      <c r="V25" s="690">
        <f t="shared" si="29"/>
        <v>22694866</v>
      </c>
      <c r="W25" s="690">
        <f t="shared" si="29"/>
        <v>22978446</v>
      </c>
      <c r="X25" s="3222"/>
      <c r="Y25" s="1330"/>
      <c r="Z25" s="1354"/>
      <c r="AA25" s="1331"/>
      <c r="AB25" s="1331"/>
      <c r="AC25" s="1331"/>
      <c r="AD25" s="1331"/>
      <c r="AE25" s="1331"/>
      <c r="AF25" s="1331"/>
      <c r="AG25" s="1331"/>
      <c r="AH25" s="1331"/>
      <c r="AI25" s="1331"/>
      <c r="AJ25" s="1331"/>
      <c r="AK25" s="1331"/>
    </row>
    <row r="26" spans="1:37" s="1348" customFormat="1" ht="12" customHeight="1" thickBot="1">
      <c r="A26" s="692"/>
      <c r="B26" s="1352" t="s">
        <v>33</v>
      </c>
      <c r="C26" s="693"/>
      <c r="D26" s="694">
        <f>+D37+D81+D90+D48+D59+D70+D114+D132+D147+D220</f>
        <v>287443175</v>
      </c>
      <c r="E26" s="694">
        <f t="shared" ref="E26:L26" si="30">+E37+E81+E90+E48+E59+E70+E114+E132</f>
        <v>0</v>
      </c>
      <c r="F26" s="694">
        <f t="shared" si="30"/>
        <v>0</v>
      </c>
      <c r="G26" s="694">
        <f t="shared" si="30"/>
        <v>2563346</v>
      </c>
      <c r="H26" s="694">
        <f t="shared" si="30"/>
        <v>8310034</v>
      </c>
      <c r="I26" s="694">
        <f t="shared" si="30"/>
        <v>408227</v>
      </c>
      <c r="J26" s="694">
        <f t="shared" si="30"/>
        <v>423389</v>
      </c>
      <c r="K26" s="694">
        <f t="shared" si="30"/>
        <v>4406326</v>
      </c>
      <c r="L26" s="694">
        <f t="shared" si="30"/>
        <v>5311764</v>
      </c>
      <c r="M26" s="694">
        <f>+M37+M81+M90+M48+M59+M70+M114+M132+M147+M220</f>
        <v>10965517</v>
      </c>
      <c r="N26" s="694">
        <f>+N37+N81+N90+N48+N59+N70+N114+N132+N147</f>
        <v>678866</v>
      </c>
      <c r="O26" s="694">
        <f t="shared" ref="O26:W26" si="31">+O37+O81+O90+O48+O59+O70+O114+O132+O147+O220</f>
        <v>5289655</v>
      </c>
      <c r="P26" s="694">
        <f t="shared" si="31"/>
        <v>29749521</v>
      </c>
      <c r="Q26" s="694">
        <f t="shared" si="31"/>
        <v>39877456</v>
      </c>
      <c r="R26" s="694">
        <f t="shared" si="31"/>
        <v>44804799</v>
      </c>
      <c r="S26" s="694">
        <f t="shared" si="31"/>
        <v>52981916</v>
      </c>
      <c r="T26" s="694">
        <f t="shared" si="31"/>
        <v>35684164</v>
      </c>
      <c r="U26" s="694">
        <f t="shared" si="31"/>
        <v>22416835</v>
      </c>
      <c r="V26" s="694">
        <f t="shared" si="31"/>
        <v>22694866</v>
      </c>
      <c r="W26" s="694">
        <f t="shared" si="31"/>
        <v>22978446</v>
      </c>
      <c r="X26" s="3223"/>
      <c r="Y26" s="1353"/>
      <c r="Z26" s="1354">
        <f>D20-D26</f>
        <v>0</v>
      </c>
      <c r="AA26" s="1347"/>
      <c r="AB26" s="1347"/>
      <c r="AC26" s="1347"/>
      <c r="AD26" s="1347"/>
      <c r="AE26" s="1347"/>
      <c r="AF26" s="1347"/>
      <c r="AG26" s="1347"/>
      <c r="AH26" s="1347"/>
      <c r="AI26" s="1347"/>
      <c r="AJ26" s="1347"/>
      <c r="AK26" s="1347"/>
    </row>
    <row r="27" spans="1:37" s="1347" customFormat="1" ht="34.5" hidden="1" customHeight="1">
      <c r="A27" s="3207"/>
      <c r="B27" s="695" t="s">
        <v>303</v>
      </c>
      <c r="C27" s="696" t="s">
        <v>130</v>
      </c>
      <c r="D27" s="720"/>
      <c r="E27" s="1525"/>
      <c r="F27" s="1526"/>
      <c r="G27" s="1526"/>
      <c r="H27" s="1527"/>
      <c r="I27" s="1528"/>
      <c r="J27" s="1528"/>
      <c r="K27" s="1529"/>
      <c r="L27" s="1529"/>
      <c r="M27" s="718"/>
      <c r="N27" s="718"/>
      <c r="O27" s="718"/>
      <c r="P27" s="718"/>
      <c r="Q27" s="718"/>
      <c r="R27" s="718"/>
      <c r="S27" s="718"/>
      <c r="T27" s="718"/>
      <c r="U27" s="718"/>
      <c r="V27" s="718"/>
      <c r="W27" s="997"/>
      <c r="X27" s="1355"/>
      <c r="Y27" s="3228" t="s">
        <v>185</v>
      </c>
    </row>
    <row r="28" spans="1:37" s="1347" customFormat="1" ht="11.25" hidden="1" customHeight="1">
      <c r="A28" s="3208"/>
      <c r="B28" s="374" t="s">
        <v>22</v>
      </c>
      <c r="C28" s="707"/>
      <c r="D28" s="1356"/>
      <c r="E28" s="1356"/>
      <c r="F28" s="1357"/>
      <c r="G28" s="1357"/>
      <c r="H28" s="1357"/>
      <c r="I28" s="1358"/>
      <c r="J28" s="1358"/>
      <c r="K28" s="1358"/>
      <c r="L28" s="1358"/>
      <c r="M28" s="1356"/>
      <c r="N28" s="1356">
        <f t="shared" ref="N28:P28" si="32">+N29+N31</f>
        <v>309477</v>
      </c>
      <c r="O28" s="1356">
        <f t="shared" si="32"/>
        <v>0</v>
      </c>
      <c r="P28" s="1356">
        <f t="shared" si="32"/>
        <v>0</v>
      </c>
      <c r="Q28" s="1356">
        <f t="shared" ref="Q28:T28" si="33">+Q29+Q31</f>
        <v>0</v>
      </c>
      <c r="R28" s="1356">
        <f t="shared" si="33"/>
        <v>0</v>
      </c>
      <c r="S28" s="1356">
        <f t="shared" si="33"/>
        <v>0</v>
      </c>
      <c r="T28" s="1356">
        <f t="shared" si="33"/>
        <v>0</v>
      </c>
      <c r="U28" s="1356"/>
      <c r="V28" s="1356"/>
      <c r="W28" s="1356"/>
      <c r="X28" s="1359">
        <f>X29+X31</f>
        <v>0</v>
      </c>
      <c r="Y28" s="3229"/>
      <c r="Z28" s="1322"/>
    </row>
    <row r="29" spans="1:37" s="1365" customFormat="1" ht="12" hidden="1" customHeight="1">
      <c r="A29" s="3208"/>
      <c r="B29" s="698" t="s">
        <v>36</v>
      </c>
      <c r="C29" s="3232" t="s">
        <v>186</v>
      </c>
      <c r="D29" s="1360"/>
      <c r="E29" s="1360"/>
      <c r="F29" s="1361"/>
      <c r="G29" s="1361"/>
      <c r="H29" s="1361"/>
      <c r="I29" s="1362"/>
      <c r="J29" s="1362"/>
      <c r="K29" s="1362"/>
      <c r="L29" s="1362"/>
      <c r="M29" s="1360"/>
      <c r="N29" s="1360">
        <f t="shared" ref="N29:T29" si="34">+N30</f>
        <v>46422</v>
      </c>
      <c r="O29" s="1360">
        <f t="shared" si="34"/>
        <v>0</v>
      </c>
      <c r="P29" s="1360">
        <f t="shared" si="34"/>
        <v>0</v>
      </c>
      <c r="Q29" s="1360">
        <f t="shared" si="34"/>
        <v>0</v>
      </c>
      <c r="R29" s="1360">
        <f t="shared" si="34"/>
        <v>0</v>
      </c>
      <c r="S29" s="1360">
        <f t="shared" si="34"/>
        <v>0</v>
      </c>
      <c r="T29" s="1360">
        <f t="shared" si="34"/>
        <v>0</v>
      </c>
      <c r="U29" s="1360"/>
      <c r="V29" s="1360"/>
      <c r="W29" s="1360"/>
      <c r="X29" s="1363">
        <f>+X30</f>
        <v>0</v>
      </c>
      <c r="Y29" s="3229"/>
      <c r="Z29" s="1364"/>
    </row>
    <row r="30" spans="1:37" s="1347" customFormat="1" ht="12" hidden="1" customHeight="1">
      <c r="A30" s="3208"/>
      <c r="B30" s="699" t="s">
        <v>25</v>
      </c>
      <c r="C30" s="3193"/>
      <c r="D30" s="1366"/>
      <c r="E30" s="1366"/>
      <c r="F30" s="1367"/>
      <c r="G30" s="1367"/>
      <c r="H30" s="1367"/>
      <c r="I30" s="1368"/>
      <c r="J30" s="1368"/>
      <c r="K30" s="1368"/>
      <c r="L30" s="1368"/>
      <c r="M30" s="1366"/>
      <c r="N30" s="1366">
        <f>163136-116714</f>
        <v>46422</v>
      </c>
      <c r="O30" s="1366">
        <f>86723-86723</f>
        <v>0</v>
      </c>
      <c r="P30" s="700">
        <v>0</v>
      </c>
      <c r="Q30" s="700">
        <v>0</v>
      </c>
      <c r="R30" s="700">
        <v>0</v>
      </c>
      <c r="S30" s="700">
        <v>0</v>
      </c>
      <c r="T30" s="700">
        <v>0</v>
      </c>
      <c r="U30" s="700"/>
      <c r="V30" s="700"/>
      <c r="W30" s="700"/>
      <c r="X30" s="1334">
        <f>SUM(P30:T30)</f>
        <v>0</v>
      </c>
      <c r="Y30" s="3229"/>
      <c r="Z30" s="1354"/>
      <c r="AA30" s="1354"/>
    </row>
    <row r="31" spans="1:37" s="1347" customFormat="1" ht="12" hidden="1" customHeight="1">
      <c r="A31" s="3208"/>
      <c r="B31" s="518" t="s">
        <v>30</v>
      </c>
      <c r="C31" s="3193"/>
      <c r="D31" s="1369"/>
      <c r="E31" s="1369"/>
      <c r="F31" s="1361"/>
      <c r="G31" s="1361"/>
      <c r="H31" s="1361"/>
      <c r="I31" s="1362"/>
      <c r="J31" s="1362"/>
      <c r="K31" s="1362"/>
      <c r="L31" s="1362"/>
      <c r="M31" s="1369"/>
      <c r="N31" s="1369">
        <f t="shared" ref="N31:T31" si="35">N32</f>
        <v>263055</v>
      </c>
      <c r="O31" s="1369">
        <f t="shared" si="35"/>
        <v>0</v>
      </c>
      <c r="P31" s="1369">
        <f t="shared" si="35"/>
        <v>0</v>
      </c>
      <c r="Q31" s="1369">
        <f t="shared" si="35"/>
        <v>0</v>
      </c>
      <c r="R31" s="1369">
        <f t="shared" si="35"/>
        <v>0</v>
      </c>
      <c r="S31" s="1369">
        <f t="shared" si="35"/>
        <v>0</v>
      </c>
      <c r="T31" s="1369">
        <f t="shared" si="35"/>
        <v>0</v>
      </c>
      <c r="U31" s="1369"/>
      <c r="V31" s="1369"/>
      <c r="W31" s="1369"/>
      <c r="X31" s="1363">
        <f>+X32</f>
        <v>0</v>
      </c>
      <c r="Y31" s="3229"/>
      <c r="Z31" s="1354"/>
      <c r="AA31" s="1354"/>
    </row>
    <row r="32" spans="1:37" s="2667" customFormat="1" hidden="1">
      <c r="A32" s="3208"/>
      <c r="B32" s="1370" t="s">
        <v>33</v>
      </c>
      <c r="C32" s="3189"/>
      <c r="D32" s="1366"/>
      <c r="E32" s="1371"/>
      <c r="F32" s="1372"/>
      <c r="G32" s="1372"/>
      <c r="H32" s="1372"/>
      <c r="I32" s="1373"/>
      <c r="J32" s="1373"/>
      <c r="K32" s="1373"/>
      <c r="L32" s="1373"/>
      <c r="M32" s="1366"/>
      <c r="N32" s="1371">
        <f>924435-661380</f>
        <v>263055</v>
      </c>
      <c r="O32" s="1371">
        <f>491426-491426</f>
        <v>0</v>
      </c>
      <c r="P32" s="642">
        <v>0</v>
      </c>
      <c r="Q32" s="642">
        <v>0</v>
      </c>
      <c r="R32" s="642">
        <v>0</v>
      </c>
      <c r="S32" s="642">
        <v>0</v>
      </c>
      <c r="T32" s="642">
        <v>0</v>
      </c>
      <c r="U32" s="642"/>
      <c r="V32" s="642"/>
      <c r="W32" s="642"/>
      <c r="X32" s="1334">
        <f>SUM(P32:T32)</f>
        <v>0</v>
      </c>
      <c r="Y32" s="3229"/>
      <c r="Z32" s="1322"/>
    </row>
    <row r="33" spans="1:26" s="2667" customFormat="1" ht="12" hidden="1" customHeight="1">
      <c r="A33" s="2988"/>
      <c r="B33" s="374" t="s">
        <v>34</v>
      </c>
      <c r="C33" s="701"/>
      <c r="D33" s="1356"/>
      <c r="E33" s="1356"/>
      <c r="F33" s="1357"/>
      <c r="G33" s="1357"/>
      <c r="H33" s="1357"/>
      <c r="I33" s="1358"/>
      <c r="J33" s="1358"/>
      <c r="K33" s="1358"/>
      <c r="L33" s="1358"/>
      <c r="M33" s="1356"/>
      <c r="N33" s="1356">
        <f t="shared" ref="N33:P33" si="36">N34+N36</f>
        <v>309477</v>
      </c>
      <c r="O33" s="1356">
        <f t="shared" si="36"/>
        <v>0</v>
      </c>
      <c r="P33" s="1356">
        <f t="shared" si="36"/>
        <v>0</v>
      </c>
      <c r="Q33" s="1356">
        <f t="shared" ref="Q33:T33" si="37">Q34+Q36</f>
        <v>0</v>
      </c>
      <c r="R33" s="1356">
        <f t="shared" si="37"/>
        <v>0</v>
      </c>
      <c r="S33" s="1356">
        <f t="shared" si="37"/>
        <v>0</v>
      </c>
      <c r="T33" s="1356">
        <f t="shared" si="37"/>
        <v>0</v>
      </c>
      <c r="U33" s="1356"/>
      <c r="V33" s="1356"/>
      <c r="W33" s="1356"/>
      <c r="X33" s="3231" t="s">
        <v>77</v>
      </c>
      <c r="Y33" s="3229"/>
      <c r="Z33" s="1322"/>
    </row>
    <row r="34" spans="1:26" s="1365" customFormat="1" ht="11.25" hidden="1" customHeight="1">
      <c r="A34" s="2988"/>
      <c r="B34" s="702" t="s">
        <v>36</v>
      </c>
      <c r="C34" s="3232" t="s">
        <v>186</v>
      </c>
      <c r="D34" s="1360"/>
      <c r="E34" s="1360"/>
      <c r="F34" s="1361"/>
      <c r="G34" s="1361"/>
      <c r="H34" s="1361"/>
      <c r="I34" s="1362"/>
      <c r="J34" s="1362"/>
      <c r="K34" s="1362"/>
      <c r="L34" s="1362"/>
      <c r="M34" s="1360"/>
      <c r="N34" s="1360">
        <f t="shared" ref="N34:T34" si="38">N35</f>
        <v>46422</v>
      </c>
      <c r="O34" s="1360">
        <f t="shared" si="38"/>
        <v>0</v>
      </c>
      <c r="P34" s="1360">
        <f t="shared" si="38"/>
        <v>0</v>
      </c>
      <c r="Q34" s="1360">
        <f t="shared" si="38"/>
        <v>0</v>
      </c>
      <c r="R34" s="1360">
        <f t="shared" si="38"/>
        <v>0</v>
      </c>
      <c r="S34" s="1360">
        <f t="shared" si="38"/>
        <v>0</v>
      </c>
      <c r="T34" s="1360">
        <f t="shared" si="38"/>
        <v>0</v>
      </c>
      <c r="U34" s="1360"/>
      <c r="V34" s="1360"/>
      <c r="W34" s="1360"/>
      <c r="X34" s="3214"/>
      <c r="Y34" s="3229"/>
    </row>
    <row r="35" spans="1:26" s="1347" customFormat="1" ht="12.75" hidden="1" customHeight="1">
      <c r="A35" s="2988"/>
      <c r="B35" s="703" t="s">
        <v>25</v>
      </c>
      <c r="C35" s="3193"/>
      <c r="D35" s="1366"/>
      <c r="E35" s="1374"/>
      <c r="F35" s="1375"/>
      <c r="G35" s="1375"/>
      <c r="H35" s="1375"/>
      <c r="I35" s="1376"/>
      <c r="J35" s="1376"/>
      <c r="K35" s="1376"/>
      <c r="L35" s="1376"/>
      <c r="M35" s="1366"/>
      <c r="N35" s="1374">
        <f>163136-116714</f>
        <v>46422</v>
      </c>
      <c r="O35" s="1374">
        <f>86723-86723</f>
        <v>0</v>
      </c>
      <c r="P35" s="1374">
        <v>0</v>
      </c>
      <c r="Q35" s="1374">
        <v>0</v>
      </c>
      <c r="R35" s="1374">
        <v>0</v>
      </c>
      <c r="S35" s="1374">
        <v>0</v>
      </c>
      <c r="T35" s="1374">
        <v>0</v>
      </c>
      <c r="U35" s="1374"/>
      <c r="V35" s="1374"/>
      <c r="W35" s="1374"/>
      <c r="X35" s="3214"/>
      <c r="Y35" s="3229"/>
    </row>
    <row r="36" spans="1:26" s="2667" customFormat="1" ht="12.75" hidden="1" customHeight="1">
      <c r="A36" s="2988"/>
      <c r="B36" s="1377" t="s">
        <v>30</v>
      </c>
      <c r="C36" s="3193"/>
      <c r="D36" s="1369"/>
      <c r="E36" s="1369"/>
      <c r="F36" s="1361"/>
      <c r="G36" s="1361"/>
      <c r="H36" s="1361"/>
      <c r="I36" s="1362"/>
      <c r="J36" s="1362"/>
      <c r="K36" s="1362"/>
      <c r="L36" s="1362"/>
      <c r="M36" s="1369"/>
      <c r="N36" s="1369">
        <f t="shared" ref="N36:T36" si="39">N37</f>
        <v>263055</v>
      </c>
      <c r="O36" s="1369">
        <f t="shared" si="39"/>
        <v>0</v>
      </c>
      <c r="P36" s="1369">
        <f t="shared" si="39"/>
        <v>0</v>
      </c>
      <c r="Q36" s="1369">
        <f t="shared" si="39"/>
        <v>0</v>
      </c>
      <c r="R36" s="1369">
        <f t="shared" si="39"/>
        <v>0</v>
      </c>
      <c r="S36" s="1369">
        <f t="shared" si="39"/>
        <v>0</v>
      </c>
      <c r="T36" s="1369">
        <f t="shared" si="39"/>
        <v>0</v>
      </c>
      <c r="U36" s="1369"/>
      <c r="V36" s="1369"/>
      <c r="W36" s="1369"/>
      <c r="X36" s="3214"/>
      <c r="Y36" s="3229"/>
    </row>
    <row r="37" spans="1:26" s="2667" customFormat="1" ht="12" hidden="1" customHeight="1" thickBot="1">
      <c r="A37" s="2989"/>
      <c r="B37" s="1378" t="s">
        <v>33</v>
      </c>
      <c r="C37" s="3190"/>
      <c r="D37" s="1366"/>
      <c r="E37" s="706"/>
      <c r="F37" s="1379"/>
      <c r="G37" s="1379"/>
      <c r="H37" s="1379"/>
      <c r="I37" s="1380"/>
      <c r="J37" s="1380"/>
      <c r="K37" s="1380"/>
      <c r="L37" s="1380"/>
      <c r="M37" s="1366"/>
      <c r="N37" s="706">
        <f>924435-661380</f>
        <v>263055</v>
      </c>
      <c r="O37" s="706">
        <f>491426-491426</f>
        <v>0</v>
      </c>
      <c r="P37" s="706">
        <v>0</v>
      </c>
      <c r="Q37" s="706">
        <v>0</v>
      </c>
      <c r="R37" s="706">
        <v>0</v>
      </c>
      <c r="S37" s="706">
        <v>0</v>
      </c>
      <c r="T37" s="706">
        <v>0</v>
      </c>
      <c r="U37" s="706"/>
      <c r="V37" s="706"/>
      <c r="W37" s="706"/>
      <c r="X37" s="3215"/>
      <c r="Y37" s="3230"/>
    </row>
    <row r="38" spans="1:26" s="2667" customFormat="1" ht="36.75" hidden="1" customHeight="1">
      <c r="A38" s="3207"/>
      <c r="B38" s="695" t="s">
        <v>187</v>
      </c>
      <c r="C38" s="696" t="s">
        <v>98</v>
      </c>
      <c r="D38" s="720"/>
      <c r="E38" s="1525"/>
      <c r="F38" s="1526"/>
      <c r="G38" s="1526"/>
      <c r="H38" s="1527"/>
      <c r="I38" s="1528"/>
      <c r="J38" s="1528"/>
      <c r="K38" s="1529"/>
      <c r="L38" s="1529"/>
      <c r="M38" s="718"/>
      <c r="N38" s="718"/>
      <c r="O38" s="718"/>
      <c r="P38" s="718"/>
      <c r="Q38" s="718"/>
      <c r="R38" s="718"/>
      <c r="S38" s="718"/>
      <c r="T38" s="718"/>
      <c r="U38" s="718"/>
      <c r="V38" s="718"/>
      <c r="W38" s="997"/>
      <c r="X38" s="1355"/>
      <c r="Y38" s="3228" t="s">
        <v>185</v>
      </c>
    </row>
    <row r="39" spans="1:26" s="2667" customFormat="1" ht="12" hidden="1" customHeight="1">
      <c r="A39" s="3208"/>
      <c r="B39" s="374" t="s">
        <v>22</v>
      </c>
      <c r="C39" s="707"/>
      <c r="D39" s="1356"/>
      <c r="E39" s="1356"/>
      <c r="F39" s="1357"/>
      <c r="G39" s="1357"/>
      <c r="H39" s="1357"/>
      <c r="I39" s="1358"/>
      <c r="J39" s="1358"/>
      <c r="K39" s="1358"/>
      <c r="L39" s="1358"/>
      <c r="M39" s="1356"/>
      <c r="N39" s="1356">
        <f>+N40+N42</f>
        <v>0</v>
      </c>
      <c r="O39" s="1356">
        <f t="shared" ref="O39:P39" si="40">+O40+O42</f>
        <v>0</v>
      </c>
      <c r="P39" s="1356">
        <f t="shared" si="40"/>
        <v>0</v>
      </c>
      <c r="Q39" s="1356">
        <f t="shared" ref="Q39:T39" si="41">+Q40+Q42</f>
        <v>0</v>
      </c>
      <c r="R39" s="1356">
        <f t="shared" si="41"/>
        <v>0</v>
      </c>
      <c r="S39" s="1356">
        <f t="shared" si="41"/>
        <v>0</v>
      </c>
      <c r="T39" s="1356">
        <f t="shared" si="41"/>
        <v>0</v>
      </c>
      <c r="U39" s="1356"/>
      <c r="V39" s="1356"/>
      <c r="W39" s="1356"/>
      <c r="X39" s="1359">
        <f>X40+X42</f>
        <v>0</v>
      </c>
      <c r="Y39" s="3229"/>
      <c r="Z39" s="1322"/>
    </row>
    <row r="40" spans="1:26" s="2667" customFormat="1" ht="12" hidden="1" customHeight="1">
      <c r="A40" s="3208"/>
      <c r="B40" s="698" t="s">
        <v>36</v>
      </c>
      <c r="C40" s="3232" t="s">
        <v>186</v>
      </c>
      <c r="D40" s="1360"/>
      <c r="E40" s="1360"/>
      <c r="F40" s="1361"/>
      <c r="G40" s="1361"/>
      <c r="H40" s="1361"/>
      <c r="I40" s="1362"/>
      <c r="J40" s="1362"/>
      <c r="K40" s="1362"/>
      <c r="L40" s="1362"/>
      <c r="M40" s="1360"/>
      <c r="N40" s="1360">
        <f t="shared" ref="N40:S40" si="42">+N41</f>
        <v>0</v>
      </c>
      <c r="O40" s="1360">
        <f t="shared" si="42"/>
        <v>0</v>
      </c>
      <c r="P40" s="1360">
        <f t="shared" si="42"/>
        <v>0</v>
      </c>
      <c r="Q40" s="1360">
        <f t="shared" si="42"/>
        <v>0</v>
      </c>
      <c r="R40" s="1360">
        <f t="shared" si="42"/>
        <v>0</v>
      </c>
      <c r="S40" s="1360">
        <f t="shared" si="42"/>
        <v>0</v>
      </c>
      <c r="T40" s="1360">
        <f>+T41</f>
        <v>0</v>
      </c>
      <c r="U40" s="1360"/>
      <c r="V40" s="1360"/>
      <c r="W40" s="1360"/>
      <c r="X40" s="1363">
        <f>+X41</f>
        <v>0</v>
      </c>
      <c r="Y40" s="3229"/>
    </row>
    <row r="41" spans="1:26" s="2667" customFormat="1" ht="12" hidden="1" customHeight="1">
      <c r="A41" s="3208"/>
      <c r="B41" s="699" t="s">
        <v>25</v>
      </c>
      <c r="C41" s="3193"/>
      <c r="D41" s="1366"/>
      <c r="E41" s="1366"/>
      <c r="F41" s="1367"/>
      <c r="G41" s="1367"/>
      <c r="H41" s="1367"/>
      <c r="I41" s="1368"/>
      <c r="J41" s="1368"/>
      <c r="K41" s="1368"/>
      <c r="L41" s="1368"/>
      <c r="M41" s="1366"/>
      <c r="N41" s="1366">
        <v>0</v>
      </c>
      <c r="O41" s="1366">
        <v>0</v>
      </c>
      <c r="P41" s="700">
        <v>0</v>
      </c>
      <c r="Q41" s="700">
        <v>0</v>
      </c>
      <c r="R41" s="700">
        <v>0</v>
      </c>
      <c r="S41" s="700">
        <v>0</v>
      </c>
      <c r="T41" s="700">
        <v>0</v>
      </c>
      <c r="U41" s="700"/>
      <c r="V41" s="700"/>
      <c r="W41" s="700"/>
      <c r="X41" s="1334">
        <f>SUM(P41:T41)</f>
        <v>0</v>
      </c>
      <c r="Y41" s="3229"/>
    </row>
    <row r="42" spans="1:26" s="2667" customFormat="1" ht="12" hidden="1" customHeight="1">
      <c r="A42" s="3208"/>
      <c r="B42" s="518" t="s">
        <v>30</v>
      </c>
      <c r="C42" s="3193"/>
      <c r="D42" s="1369"/>
      <c r="E42" s="1369"/>
      <c r="F42" s="1361"/>
      <c r="G42" s="1361"/>
      <c r="H42" s="1361"/>
      <c r="I42" s="1362"/>
      <c r="J42" s="1362"/>
      <c r="K42" s="1362"/>
      <c r="L42" s="1362"/>
      <c r="M42" s="1369"/>
      <c r="N42" s="1369">
        <f>N43</f>
        <v>0</v>
      </c>
      <c r="O42" s="1369">
        <f t="shared" ref="O42:T42" si="43">O43</f>
        <v>0</v>
      </c>
      <c r="P42" s="1369">
        <f t="shared" si="43"/>
        <v>0</v>
      </c>
      <c r="Q42" s="1369">
        <f t="shared" si="43"/>
        <v>0</v>
      </c>
      <c r="R42" s="1369">
        <f t="shared" si="43"/>
        <v>0</v>
      </c>
      <c r="S42" s="1369">
        <f t="shared" si="43"/>
        <v>0</v>
      </c>
      <c r="T42" s="1369">
        <f t="shared" si="43"/>
        <v>0</v>
      </c>
      <c r="U42" s="1369"/>
      <c r="V42" s="1369"/>
      <c r="W42" s="1369"/>
      <c r="X42" s="1381"/>
      <c r="Y42" s="3229"/>
    </row>
    <row r="43" spans="1:26" s="2667" customFormat="1" ht="12" hidden="1" customHeight="1">
      <c r="A43" s="3208"/>
      <c r="B43" s="1370" t="s">
        <v>33</v>
      </c>
      <c r="C43" s="3189"/>
      <c r="D43" s="1366"/>
      <c r="E43" s="1366"/>
      <c r="F43" s="1372"/>
      <c r="G43" s="1372"/>
      <c r="H43" s="1372"/>
      <c r="I43" s="1373"/>
      <c r="J43" s="1373"/>
      <c r="K43" s="1373"/>
      <c r="L43" s="1373"/>
      <c r="M43" s="1366"/>
      <c r="N43" s="1371">
        <v>0</v>
      </c>
      <c r="O43" s="1371">
        <v>0</v>
      </c>
      <c r="P43" s="642">
        <v>0</v>
      </c>
      <c r="Q43" s="642">
        <v>0</v>
      </c>
      <c r="R43" s="642">
        <v>0</v>
      </c>
      <c r="S43" s="642">
        <v>0</v>
      </c>
      <c r="T43" s="642">
        <v>0</v>
      </c>
      <c r="U43" s="642"/>
      <c r="V43" s="642"/>
      <c r="W43" s="642"/>
      <c r="X43" s="1334">
        <f>SUM(P43:T43)</f>
        <v>0</v>
      </c>
      <c r="Y43" s="3229"/>
    </row>
    <row r="44" spans="1:26" s="2667" customFormat="1" ht="12" hidden="1" customHeight="1">
      <c r="A44" s="2988"/>
      <c r="B44" s="374" t="s">
        <v>34</v>
      </c>
      <c r="C44" s="701"/>
      <c r="D44" s="1356"/>
      <c r="E44" s="1356"/>
      <c r="F44" s="1357"/>
      <c r="G44" s="1357"/>
      <c r="H44" s="1357"/>
      <c r="I44" s="1358"/>
      <c r="J44" s="1358"/>
      <c r="K44" s="1358"/>
      <c r="L44" s="1358"/>
      <c r="M44" s="1356"/>
      <c r="N44" s="1356">
        <f t="shared" ref="N44:P44" si="44">N45+N47</f>
        <v>0</v>
      </c>
      <c r="O44" s="1356">
        <f t="shared" si="44"/>
        <v>0</v>
      </c>
      <c r="P44" s="1356">
        <f t="shared" si="44"/>
        <v>0</v>
      </c>
      <c r="Q44" s="1356">
        <f t="shared" ref="Q44:T44" si="45">Q45+Q47</f>
        <v>0</v>
      </c>
      <c r="R44" s="1356">
        <f t="shared" si="45"/>
        <v>0</v>
      </c>
      <c r="S44" s="1356">
        <f t="shared" si="45"/>
        <v>0</v>
      </c>
      <c r="T44" s="1356">
        <f t="shared" si="45"/>
        <v>0</v>
      </c>
      <c r="U44" s="1356"/>
      <c r="V44" s="1356"/>
      <c r="W44" s="1356"/>
      <c r="X44" s="3231" t="s">
        <v>77</v>
      </c>
      <c r="Y44" s="3229"/>
    </row>
    <row r="45" spans="1:26" s="2667" customFormat="1" ht="12" hidden="1" customHeight="1">
      <c r="A45" s="2988"/>
      <c r="B45" s="702" t="s">
        <v>36</v>
      </c>
      <c r="C45" s="3232" t="s">
        <v>186</v>
      </c>
      <c r="D45" s="1360"/>
      <c r="E45" s="1360"/>
      <c r="F45" s="1361"/>
      <c r="G45" s="1361"/>
      <c r="H45" s="1361"/>
      <c r="I45" s="1362"/>
      <c r="J45" s="1362"/>
      <c r="K45" s="1362"/>
      <c r="L45" s="1362"/>
      <c r="M45" s="1360"/>
      <c r="N45" s="1360">
        <f t="shared" ref="N45:T45" si="46">N46</f>
        <v>0</v>
      </c>
      <c r="O45" s="1360">
        <f t="shared" si="46"/>
        <v>0</v>
      </c>
      <c r="P45" s="1360">
        <f t="shared" si="46"/>
        <v>0</v>
      </c>
      <c r="Q45" s="1360">
        <f t="shared" si="46"/>
        <v>0</v>
      </c>
      <c r="R45" s="1360">
        <f t="shared" si="46"/>
        <v>0</v>
      </c>
      <c r="S45" s="1360">
        <f t="shared" si="46"/>
        <v>0</v>
      </c>
      <c r="T45" s="1360">
        <f t="shared" si="46"/>
        <v>0</v>
      </c>
      <c r="U45" s="1360"/>
      <c r="V45" s="1360"/>
      <c r="W45" s="1360"/>
      <c r="X45" s="3214"/>
      <c r="Y45" s="3229"/>
    </row>
    <row r="46" spans="1:26" s="2667" customFormat="1" ht="12" hidden="1" customHeight="1">
      <c r="A46" s="2988"/>
      <c r="B46" s="703" t="s">
        <v>25</v>
      </c>
      <c r="C46" s="3193"/>
      <c r="D46" s="1366"/>
      <c r="E46" s="1366"/>
      <c r="F46" s="1375"/>
      <c r="G46" s="1375"/>
      <c r="H46" s="1375"/>
      <c r="I46" s="1376"/>
      <c r="J46" s="1376"/>
      <c r="K46" s="1376"/>
      <c r="L46" s="1376"/>
      <c r="M46" s="1366"/>
      <c r="N46" s="1374">
        <v>0</v>
      </c>
      <c r="O46" s="1374">
        <v>0</v>
      </c>
      <c r="P46" s="1374">
        <v>0</v>
      </c>
      <c r="Q46" s="1374">
        <v>0</v>
      </c>
      <c r="R46" s="1374">
        <v>0</v>
      </c>
      <c r="S46" s="1374">
        <v>0</v>
      </c>
      <c r="T46" s="1374">
        <v>0</v>
      </c>
      <c r="U46" s="1374"/>
      <c r="V46" s="1374"/>
      <c r="W46" s="1374"/>
      <c r="X46" s="3214"/>
      <c r="Y46" s="3229"/>
    </row>
    <row r="47" spans="1:26" s="2667" customFormat="1" ht="12" hidden="1" customHeight="1">
      <c r="A47" s="2988"/>
      <c r="B47" s="1377" t="s">
        <v>30</v>
      </c>
      <c r="C47" s="3193"/>
      <c r="D47" s="1369"/>
      <c r="E47" s="1369"/>
      <c r="F47" s="1361"/>
      <c r="G47" s="1361"/>
      <c r="H47" s="1361"/>
      <c r="I47" s="1362"/>
      <c r="J47" s="1362"/>
      <c r="K47" s="1362"/>
      <c r="L47" s="1362"/>
      <c r="M47" s="1369"/>
      <c r="N47" s="1369">
        <f t="shared" ref="N47:T47" si="47">N48</f>
        <v>0</v>
      </c>
      <c r="O47" s="1369">
        <f t="shared" si="47"/>
        <v>0</v>
      </c>
      <c r="P47" s="1369">
        <f t="shared" si="47"/>
        <v>0</v>
      </c>
      <c r="Q47" s="1369">
        <f t="shared" si="47"/>
        <v>0</v>
      </c>
      <c r="R47" s="1369">
        <f t="shared" si="47"/>
        <v>0</v>
      </c>
      <c r="S47" s="1369">
        <f t="shared" si="47"/>
        <v>0</v>
      </c>
      <c r="T47" s="1369">
        <f t="shared" si="47"/>
        <v>0</v>
      </c>
      <c r="U47" s="1369"/>
      <c r="V47" s="1369"/>
      <c r="W47" s="1369"/>
      <c r="X47" s="3214"/>
      <c r="Y47" s="3229"/>
    </row>
    <row r="48" spans="1:26" s="2667" customFormat="1" ht="12" hidden="1" customHeight="1" thickBot="1">
      <c r="A48" s="2989"/>
      <c r="B48" s="1378" t="s">
        <v>33</v>
      </c>
      <c r="C48" s="3190"/>
      <c r="D48" s="709"/>
      <c r="E48" s="705"/>
      <c r="F48" s="1379"/>
      <c r="G48" s="1379"/>
      <c r="H48" s="1379"/>
      <c r="I48" s="1380"/>
      <c r="J48" s="1380"/>
      <c r="K48" s="1380"/>
      <c r="L48" s="1380"/>
      <c r="M48" s="709"/>
      <c r="N48" s="706">
        <v>0</v>
      </c>
      <c r="O48" s="706">
        <v>0</v>
      </c>
      <c r="P48" s="706">
        <v>0</v>
      </c>
      <c r="Q48" s="706">
        <v>0</v>
      </c>
      <c r="R48" s="706">
        <v>0</v>
      </c>
      <c r="S48" s="706">
        <v>0</v>
      </c>
      <c r="T48" s="706">
        <v>0</v>
      </c>
      <c r="U48" s="706"/>
      <c r="V48" s="706"/>
      <c r="W48" s="706"/>
      <c r="X48" s="3215"/>
      <c r="Y48" s="3230"/>
    </row>
    <row r="49" spans="1:25" s="2667" customFormat="1" ht="42" customHeight="1">
      <c r="A49" s="3207" t="s">
        <v>79</v>
      </c>
      <c r="B49" s="695" t="s">
        <v>408</v>
      </c>
      <c r="C49" s="696" t="s">
        <v>130</v>
      </c>
      <c r="D49" s="720"/>
      <c r="E49" s="1525"/>
      <c r="F49" s="1526"/>
      <c r="G49" s="1526"/>
      <c r="H49" s="1527"/>
      <c r="I49" s="1528"/>
      <c r="J49" s="1528"/>
      <c r="K49" s="1529"/>
      <c r="L49" s="1529"/>
      <c r="M49" s="718"/>
      <c r="N49" s="718"/>
      <c r="O49" s="718"/>
      <c r="P49" s="718"/>
      <c r="Q49" s="718"/>
      <c r="R49" s="718"/>
      <c r="S49" s="718"/>
      <c r="T49" s="718"/>
      <c r="U49" s="718"/>
      <c r="V49" s="718"/>
      <c r="W49" s="997"/>
      <c r="X49" s="1355"/>
      <c r="Y49" s="3256" t="s">
        <v>552</v>
      </c>
    </row>
    <row r="50" spans="1:25" s="2667" customFormat="1" ht="12" customHeight="1">
      <c r="A50" s="3208"/>
      <c r="B50" s="374" t="s">
        <v>22</v>
      </c>
      <c r="C50" s="707"/>
      <c r="D50" s="1356">
        <f>+D51+D53</f>
        <v>10792076</v>
      </c>
      <c r="E50" s="1356">
        <f t="shared" ref="E50:P50" si="48">+E51+E53</f>
        <v>0</v>
      </c>
      <c r="F50" s="1357">
        <f t="shared" si="48"/>
        <v>0</v>
      </c>
      <c r="G50" s="1357">
        <f t="shared" si="48"/>
        <v>0</v>
      </c>
      <c r="H50" s="1357">
        <f t="shared" si="48"/>
        <v>0</v>
      </c>
      <c r="I50" s="1358">
        <f t="shared" si="48"/>
        <v>0</v>
      </c>
      <c r="J50" s="1358">
        <f t="shared" si="48"/>
        <v>0</v>
      </c>
      <c r="K50" s="1358">
        <f t="shared" si="48"/>
        <v>0</v>
      </c>
      <c r="L50" s="1358">
        <f t="shared" si="48"/>
        <v>0</v>
      </c>
      <c r="M50" s="1356">
        <f t="shared" ref="M50" si="49">+M51+M53</f>
        <v>0</v>
      </c>
      <c r="N50" s="1356">
        <f t="shared" si="48"/>
        <v>0</v>
      </c>
      <c r="O50" s="1356">
        <f t="shared" si="48"/>
        <v>1192076</v>
      </c>
      <c r="P50" s="1356">
        <f t="shared" si="48"/>
        <v>2300000</v>
      </c>
      <c r="Q50" s="1356">
        <f t="shared" ref="Q50:R50" si="50">+Q51+Q53</f>
        <v>2200000</v>
      </c>
      <c r="R50" s="1356">
        <f t="shared" si="50"/>
        <v>2200000</v>
      </c>
      <c r="S50" s="1356">
        <f t="shared" ref="S50:T50" si="51">+S51+S53</f>
        <v>1500000</v>
      </c>
      <c r="T50" s="1356">
        <f t="shared" si="51"/>
        <v>1400000</v>
      </c>
      <c r="U50" s="1356"/>
      <c r="V50" s="1356"/>
      <c r="W50" s="1356"/>
      <c r="X50" s="1359">
        <f>X51+X53</f>
        <v>9600000</v>
      </c>
      <c r="Y50" s="3257"/>
    </row>
    <row r="51" spans="1:25" s="2667" customFormat="1" ht="12" customHeight="1">
      <c r="A51" s="3208"/>
      <c r="B51" s="698" t="s">
        <v>36</v>
      </c>
      <c r="C51" s="3232" t="s">
        <v>288</v>
      </c>
      <c r="D51" s="1360">
        <f>+D52</f>
        <v>1618811</v>
      </c>
      <c r="E51" s="1360">
        <f t="shared" ref="E51:T51" si="52">+E52</f>
        <v>0</v>
      </c>
      <c r="F51" s="1361">
        <f t="shared" si="52"/>
        <v>0</v>
      </c>
      <c r="G51" s="1361">
        <f t="shared" si="52"/>
        <v>0</v>
      </c>
      <c r="H51" s="1361">
        <f t="shared" si="52"/>
        <v>0</v>
      </c>
      <c r="I51" s="1362">
        <f t="shared" si="52"/>
        <v>0</v>
      </c>
      <c r="J51" s="1362">
        <f t="shared" si="52"/>
        <v>0</v>
      </c>
      <c r="K51" s="1362">
        <f t="shared" si="52"/>
        <v>0</v>
      </c>
      <c r="L51" s="1362">
        <f t="shared" si="52"/>
        <v>0</v>
      </c>
      <c r="M51" s="1360">
        <f t="shared" si="52"/>
        <v>0</v>
      </c>
      <c r="N51" s="1360">
        <f t="shared" si="52"/>
        <v>0</v>
      </c>
      <c r="O51" s="1360">
        <f t="shared" si="52"/>
        <v>178811</v>
      </c>
      <c r="P51" s="1360">
        <f t="shared" si="52"/>
        <v>345000</v>
      </c>
      <c r="Q51" s="1360">
        <f t="shared" si="52"/>
        <v>330000</v>
      </c>
      <c r="R51" s="1360">
        <f t="shared" si="52"/>
        <v>330000</v>
      </c>
      <c r="S51" s="1360">
        <f t="shared" si="52"/>
        <v>225000</v>
      </c>
      <c r="T51" s="1360">
        <f t="shared" si="52"/>
        <v>210000</v>
      </c>
      <c r="U51" s="1360"/>
      <c r="V51" s="1360"/>
      <c r="W51" s="1360"/>
      <c r="X51" s="1363">
        <f>+X52</f>
        <v>1440000</v>
      </c>
      <c r="Y51" s="3257"/>
    </row>
    <row r="52" spans="1:25" s="2667" customFormat="1" ht="12" customHeight="1">
      <c r="A52" s="3208"/>
      <c r="B52" s="699" t="s">
        <v>25</v>
      </c>
      <c r="C52" s="3193"/>
      <c r="D52" s="1366">
        <f>M52+O52+P52+Q52+R52+S52+T52+U52+V52+W52</f>
        <v>1618811</v>
      </c>
      <c r="E52" s="1366">
        <v>0</v>
      </c>
      <c r="F52" s="1367"/>
      <c r="G52" s="1367"/>
      <c r="H52" s="1367">
        <v>0</v>
      </c>
      <c r="I52" s="1368"/>
      <c r="J52" s="1368"/>
      <c r="K52" s="1368"/>
      <c r="L52" s="1368"/>
      <c r="M52" s="1366">
        <f>+E52+I52+J52+K52+L52+N52</f>
        <v>0</v>
      </c>
      <c r="N52" s="1366">
        <v>0</v>
      </c>
      <c r="O52" s="1366">
        <f>277800-98989</f>
        <v>178811</v>
      </c>
      <c r="P52" s="700">
        <v>345000</v>
      </c>
      <c r="Q52" s="700">
        <v>330000</v>
      </c>
      <c r="R52" s="700">
        <v>330000</v>
      </c>
      <c r="S52" s="700">
        <v>225000</v>
      </c>
      <c r="T52" s="700">
        <v>210000</v>
      </c>
      <c r="U52" s="700"/>
      <c r="V52" s="700"/>
      <c r="W52" s="700"/>
      <c r="X52" s="1334">
        <f>SUM(P52:T52)</f>
        <v>1440000</v>
      </c>
      <c r="Y52" s="3257"/>
    </row>
    <row r="53" spans="1:25" s="2667" customFormat="1" ht="12" customHeight="1">
      <c r="A53" s="3208"/>
      <c r="B53" s="518" t="s">
        <v>30</v>
      </c>
      <c r="C53" s="3193"/>
      <c r="D53" s="1369">
        <f>+D54</f>
        <v>9173265</v>
      </c>
      <c r="E53" s="1369">
        <f t="shared" ref="E53:T53" si="53">E54</f>
        <v>0</v>
      </c>
      <c r="F53" s="1361">
        <f t="shared" si="53"/>
        <v>0</v>
      </c>
      <c r="G53" s="1361">
        <f t="shared" si="53"/>
        <v>0</v>
      </c>
      <c r="H53" s="1361">
        <f t="shared" si="53"/>
        <v>0</v>
      </c>
      <c r="I53" s="1362">
        <f t="shared" si="53"/>
        <v>0</v>
      </c>
      <c r="J53" s="1362">
        <f t="shared" si="53"/>
        <v>0</v>
      </c>
      <c r="K53" s="1362">
        <f t="shared" si="53"/>
        <v>0</v>
      </c>
      <c r="L53" s="1362">
        <f t="shared" si="53"/>
        <v>0</v>
      </c>
      <c r="M53" s="1369">
        <f t="shared" si="53"/>
        <v>0</v>
      </c>
      <c r="N53" s="1369">
        <f t="shared" si="53"/>
        <v>0</v>
      </c>
      <c r="O53" s="1369">
        <f t="shared" si="53"/>
        <v>1013265</v>
      </c>
      <c r="P53" s="1369">
        <f t="shared" si="53"/>
        <v>1955000</v>
      </c>
      <c r="Q53" s="1369">
        <f t="shared" si="53"/>
        <v>1870000</v>
      </c>
      <c r="R53" s="1369">
        <f t="shared" si="53"/>
        <v>1870000</v>
      </c>
      <c r="S53" s="1369">
        <f t="shared" si="53"/>
        <v>1275000</v>
      </c>
      <c r="T53" s="1369">
        <f t="shared" si="53"/>
        <v>1190000</v>
      </c>
      <c r="U53" s="1369"/>
      <c r="V53" s="1369"/>
      <c r="W53" s="1369"/>
      <c r="X53" s="1363">
        <f>+X54</f>
        <v>8160000</v>
      </c>
      <c r="Y53" s="3257"/>
    </row>
    <row r="54" spans="1:25" s="2667" customFormat="1" ht="12" customHeight="1">
      <c r="A54" s="3208"/>
      <c r="B54" s="1370" t="s">
        <v>33</v>
      </c>
      <c r="C54" s="3189"/>
      <c r="D54" s="1366">
        <f>M54+O54+P54+Q54+R54+S54+T54+U54+V54+W54</f>
        <v>9173265</v>
      </c>
      <c r="E54" s="1371">
        <v>0</v>
      </c>
      <c r="F54" s="1372"/>
      <c r="G54" s="1372"/>
      <c r="H54" s="1372">
        <v>0</v>
      </c>
      <c r="I54" s="1373"/>
      <c r="J54" s="1373"/>
      <c r="K54" s="1373"/>
      <c r="L54" s="1373"/>
      <c r="M54" s="1366">
        <f>+E54+I54+J54+K54+L54+N54</f>
        <v>0</v>
      </c>
      <c r="N54" s="1371">
        <v>0</v>
      </c>
      <c r="O54" s="1371">
        <f>1574200-560935</f>
        <v>1013265</v>
      </c>
      <c r="P54" s="642">
        <v>1955000</v>
      </c>
      <c r="Q54" s="642">
        <v>1870000</v>
      </c>
      <c r="R54" s="642">
        <v>1870000</v>
      </c>
      <c r="S54" s="642">
        <v>1275000</v>
      </c>
      <c r="T54" s="642">
        <v>1190000</v>
      </c>
      <c r="U54" s="642"/>
      <c r="V54" s="642"/>
      <c r="W54" s="642"/>
      <c r="X54" s="1334">
        <f>SUM(P54:T54)</f>
        <v>8160000</v>
      </c>
      <c r="Y54" s="3257"/>
    </row>
    <row r="55" spans="1:25" s="2667" customFormat="1" ht="12" customHeight="1">
      <c r="A55" s="2988"/>
      <c r="B55" s="374" t="s">
        <v>34</v>
      </c>
      <c r="C55" s="701"/>
      <c r="D55" s="1356">
        <f>+D56+D58</f>
        <v>10792076</v>
      </c>
      <c r="E55" s="1356">
        <f t="shared" ref="E55:P55" si="54">E56+E58</f>
        <v>0</v>
      </c>
      <c r="F55" s="1357">
        <f t="shared" si="54"/>
        <v>0</v>
      </c>
      <c r="G55" s="1357">
        <f t="shared" si="54"/>
        <v>0</v>
      </c>
      <c r="H55" s="1357">
        <f t="shared" si="54"/>
        <v>0</v>
      </c>
      <c r="I55" s="1358">
        <f t="shared" si="54"/>
        <v>0</v>
      </c>
      <c r="J55" s="1358">
        <f t="shared" si="54"/>
        <v>0</v>
      </c>
      <c r="K55" s="1358">
        <f t="shared" si="54"/>
        <v>0</v>
      </c>
      <c r="L55" s="1358">
        <f t="shared" si="54"/>
        <v>0</v>
      </c>
      <c r="M55" s="1356">
        <f t="shared" ref="M55" si="55">M56+M58</f>
        <v>0</v>
      </c>
      <c r="N55" s="1356">
        <f t="shared" si="54"/>
        <v>0</v>
      </c>
      <c r="O55" s="1356">
        <f t="shared" si="54"/>
        <v>1192076</v>
      </c>
      <c r="P55" s="1356">
        <f t="shared" si="54"/>
        <v>2300000</v>
      </c>
      <c r="Q55" s="1356">
        <f t="shared" ref="Q55:R55" si="56">Q56+Q58</f>
        <v>2200000</v>
      </c>
      <c r="R55" s="1356">
        <f t="shared" si="56"/>
        <v>2200000</v>
      </c>
      <c r="S55" s="1382">
        <f t="shared" ref="S55:T55" si="57">S56+S58</f>
        <v>1500000</v>
      </c>
      <c r="T55" s="1356">
        <f t="shared" si="57"/>
        <v>1400000</v>
      </c>
      <c r="U55" s="1356"/>
      <c r="V55" s="1356"/>
      <c r="W55" s="1356"/>
      <c r="X55" s="3231" t="s">
        <v>77</v>
      </c>
      <c r="Y55" s="3257"/>
    </row>
    <row r="56" spans="1:25" s="2667" customFormat="1" ht="12" customHeight="1">
      <c r="A56" s="2988"/>
      <c r="B56" s="702" t="s">
        <v>36</v>
      </c>
      <c r="C56" s="3232" t="s">
        <v>288</v>
      </c>
      <c r="D56" s="1360">
        <f>+D57</f>
        <v>1618811</v>
      </c>
      <c r="E56" s="1360">
        <f t="shared" ref="E56:T56" si="58">E57</f>
        <v>0</v>
      </c>
      <c r="F56" s="1361">
        <f t="shared" si="58"/>
        <v>0</v>
      </c>
      <c r="G56" s="1361">
        <f t="shared" si="58"/>
        <v>0</v>
      </c>
      <c r="H56" s="1361">
        <f t="shared" si="58"/>
        <v>0</v>
      </c>
      <c r="I56" s="1362">
        <f t="shared" si="58"/>
        <v>0</v>
      </c>
      <c r="J56" s="1362">
        <f t="shared" si="58"/>
        <v>0</v>
      </c>
      <c r="K56" s="1362">
        <f t="shared" si="58"/>
        <v>0</v>
      </c>
      <c r="L56" s="1362">
        <f t="shared" si="58"/>
        <v>0</v>
      </c>
      <c r="M56" s="1360">
        <f t="shared" si="58"/>
        <v>0</v>
      </c>
      <c r="N56" s="1360">
        <f t="shared" si="58"/>
        <v>0</v>
      </c>
      <c r="O56" s="1360">
        <f t="shared" si="58"/>
        <v>178811</v>
      </c>
      <c r="P56" s="1360">
        <f t="shared" si="58"/>
        <v>345000</v>
      </c>
      <c r="Q56" s="1360">
        <f t="shared" si="58"/>
        <v>330000</v>
      </c>
      <c r="R56" s="1360">
        <f t="shared" si="58"/>
        <v>330000</v>
      </c>
      <c r="S56" s="1383">
        <f t="shared" si="58"/>
        <v>225000</v>
      </c>
      <c r="T56" s="1360">
        <f t="shared" si="58"/>
        <v>210000</v>
      </c>
      <c r="U56" s="1360"/>
      <c r="V56" s="1360"/>
      <c r="W56" s="1360"/>
      <c r="X56" s="3214"/>
      <c r="Y56" s="3257"/>
    </row>
    <row r="57" spans="1:25" s="2667" customFormat="1" ht="12" customHeight="1">
      <c r="A57" s="2988"/>
      <c r="B57" s="703" t="s">
        <v>25</v>
      </c>
      <c r="C57" s="3193"/>
      <c r="D57" s="1366">
        <f>M57+O57+P57+Q57+R57+S57+T57+U57+V57+W57</f>
        <v>1618811</v>
      </c>
      <c r="E57" s="1374">
        <v>0</v>
      </c>
      <c r="F57" s="1375"/>
      <c r="G57" s="1375"/>
      <c r="H57" s="1375"/>
      <c r="I57" s="1376"/>
      <c r="J57" s="1376"/>
      <c r="K57" s="1376"/>
      <c r="L57" s="1376"/>
      <c r="M57" s="1366">
        <f>+E57+I57+J57+K57+L57+N57</f>
        <v>0</v>
      </c>
      <c r="N57" s="1374">
        <v>0</v>
      </c>
      <c r="O57" s="1374">
        <f>277800-98989</f>
        <v>178811</v>
      </c>
      <c r="P57" s="1374">
        <v>345000</v>
      </c>
      <c r="Q57" s="1374">
        <v>330000</v>
      </c>
      <c r="R57" s="1374">
        <v>330000</v>
      </c>
      <c r="S57" s="1374">
        <v>225000</v>
      </c>
      <c r="T57" s="1374">
        <v>210000</v>
      </c>
      <c r="U57" s="1374"/>
      <c r="V57" s="1374"/>
      <c r="W57" s="1374"/>
      <c r="X57" s="3214"/>
      <c r="Y57" s="3257"/>
    </row>
    <row r="58" spans="1:25" s="2667" customFormat="1" ht="12" customHeight="1">
      <c r="A58" s="2988"/>
      <c r="B58" s="1377" t="s">
        <v>30</v>
      </c>
      <c r="C58" s="3193"/>
      <c r="D58" s="1369">
        <f>+D59</f>
        <v>9173265</v>
      </c>
      <c r="E58" s="1369">
        <f t="shared" ref="E58:T58" si="59">E59</f>
        <v>0</v>
      </c>
      <c r="F58" s="1361">
        <f t="shared" si="59"/>
        <v>0</v>
      </c>
      <c r="G58" s="1361">
        <f t="shared" si="59"/>
        <v>0</v>
      </c>
      <c r="H58" s="1361">
        <f t="shared" si="59"/>
        <v>0</v>
      </c>
      <c r="I58" s="1362">
        <f t="shared" si="59"/>
        <v>0</v>
      </c>
      <c r="J58" s="1362">
        <f t="shared" si="59"/>
        <v>0</v>
      </c>
      <c r="K58" s="1362">
        <f t="shared" si="59"/>
        <v>0</v>
      </c>
      <c r="L58" s="1362">
        <f t="shared" si="59"/>
        <v>0</v>
      </c>
      <c r="M58" s="1369">
        <f t="shared" si="59"/>
        <v>0</v>
      </c>
      <c r="N58" s="1369">
        <f t="shared" si="59"/>
        <v>0</v>
      </c>
      <c r="O58" s="1369">
        <f t="shared" si="59"/>
        <v>1013265</v>
      </c>
      <c r="P58" s="1369">
        <f t="shared" si="59"/>
        <v>1955000</v>
      </c>
      <c r="Q58" s="1369">
        <f t="shared" si="59"/>
        <v>1870000</v>
      </c>
      <c r="R58" s="1369">
        <f t="shared" si="59"/>
        <v>1870000</v>
      </c>
      <c r="S58" s="1384">
        <f t="shared" si="59"/>
        <v>1275000</v>
      </c>
      <c r="T58" s="1369">
        <f t="shared" si="59"/>
        <v>1190000</v>
      </c>
      <c r="U58" s="1369"/>
      <c r="V58" s="1369"/>
      <c r="W58" s="1369"/>
      <c r="X58" s="3214"/>
      <c r="Y58" s="3257"/>
    </row>
    <row r="59" spans="1:25" s="2667" customFormat="1" ht="12" customHeight="1" thickBot="1">
      <c r="A59" s="2989"/>
      <c r="B59" s="1378" t="s">
        <v>33</v>
      </c>
      <c r="C59" s="3190"/>
      <c r="D59" s="1366">
        <f>M59+O59+P59+Q59+R59+S59+T59+U59+V59+W59</f>
        <v>9173265</v>
      </c>
      <c r="E59" s="706">
        <v>0</v>
      </c>
      <c r="F59" s="1379"/>
      <c r="G59" s="1379"/>
      <c r="H59" s="1379">
        <v>0</v>
      </c>
      <c r="I59" s="1380"/>
      <c r="J59" s="1380"/>
      <c r="K59" s="1380"/>
      <c r="L59" s="1380"/>
      <c r="M59" s="1366">
        <f>+E59+I59+J59+K59+L59+N59</f>
        <v>0</v>
      </c>
      <c r="N59" s="706">
        <v>0</v>
      </c>
      <c r="O59" s="706">
        <f>1574200-560935</f>
        <v>1013265</v>
      </c>
      <c r="P59" s="706">
        <v>1955000</v>
      </c>
      <c r="Q59" s="706">
        <v>1870000</v>
      </c>
      <c r="R59" s="706">
        <v>1870000</v>
      </c>
      <c r="S59" s="706">
        <v>1275000</v>
      </c>
      <c r="T59" s="706">
        <v>1190000</v>
      </c>
      <c r="U59" s="706"/>
      <c r="V59" s="706"/>
      <c r="W59" s="706"/>
      <c r="X59" s="3215"/>
      <c r="Y59" s="3258"/>
    </row>
    <row r="60" spans="1:25" s="2667" customFormat="1" ht="43.5" customHeight="1">
      <c r="A60" s="3207" t="s">
        <v>80</v>
      </c>
      <c r="B60" s="695" t="s">
        <v>527</v>
      </c>
      <c r="C60" s="696" t="s">
        <v>98</v>
      </c>
      <c r="D60" s="720"/>
      <c r="E60" s="1525"/>
      <c r="F60" s="1526"/>
      <c r="G60" s="1526"/>
      <c r="H60" s="1527"/>
      <c r="I60" s="1528"/>
      <c r="J60" s="1528"/>
      <c r="K60" s="1529"/>
      <c r="L60" s="1529"/>
      <c r="M60" s="718"/>
      <c r="N60" s="718"/>
      <c r="O60" s="718"/>
      <c r="P60" s="718"/>
      <c r="Q60" s="718"/>
      <c r="R60" s="718"/>
      <c r="S60" s="718"/>
      <c r="T60" s="718"/>
      <c r="U60" s="718"/>
      <c r="V60" s="718"/>
      <c r="W60" s="997"/>
      <c r="X60" s="1355"/>
      <c r="Y60" s="3256" t="s">
        <v>552</v>
      </c>
    </row>
    <row r="61" spans="1:25" s="2667" customFormat="1" ht="12" customHeight="1">
      <c r="A61" s="3208"/>
      <c r="B61" s="374" t="s">
        <v>22</v>
      </c>
      <c r="C61" s="1964"/>
      <c r="D61" s="1965">
        <f>+D62+D64</f>
        <v>38038</v>
      </c>
      <c r="E61" s="1965">
        <f t="shared" ref="E61:P61" si="60">+E62+E64</f>
        <v>0</v>
      </c>
      <c r="F61" s="1966">
        <f t="shared" si="60"/>
        <v>0</v>
      </c>
      <c r="G61" s="1966">
        <f t="shared" si="60"/>
        <v>0</v>
      </c>
      <c r="H61" s="1966">
        <f t="shared" si="60"/>
        <v>0</v>
      </c>
      <c r="I61" s="1967">
        <f t="shared" si="60"/>
        <v>0</v>
      </c>
      <c r="J61" s="1967">
        <f t="shared" si="60"/>
        <v>0</v>
      </c>
      <c r="K61" s="1967">
        <f t="shared" si="60"/>
        <v>0</v>
      </c>
      <c r="L61" s="1967">
        <f t="shared" si="60"/>
        <v>0</v>
      </c>
      <c r="M61" s="1965">
        <f t="shared" ref="M61" si="61">+M62+M64</f>
        <v>0</v>
      </c>
      <c r="N61" s="1965">
        <f t="shared" si="60"/>
        <v>0</v>
      </c>
      <c r="O61" s="1965">
        <f t="shared" si="60"/>
        <v>38038</v>
      </c>
      <c r="P61" s="1965">
        <f t="shared" si="60"/>
        <v>0</v>
      </c>
      <c r="Q61" s="1965">
        <f t="shared" ref="Q61:R61" si="62">+Q62+Q64</f>
        <v>0</v>
      </c>
      <c r="R61" s="1965">
        <f t="shared" si="62"/>
        <v>0</v>
      </c>
      <c r="S61" s="1965">
        <f t="shared" ref="S61:T61" si="63">+S62+S64</f>
        <v>0</v>
      </c>
      <c r="T61" s="1965">
        <f t="shared" si="63"/>
        <v>0</v>
      </c>
      <c r="U61" s="1965"/>
      <c r="V61" s="1965"/>
      <c r="W61" s="1965"/>
      <c r="X61" s="1968">
        <f>X62+X64</f>
        <v>0</v>
      </c>
      <c r="Y61" s="3257"/>
    </row>
    <row r="62" spans="1:25" s="2667" customFormat="1" ht="12" customHeight="1">
      <c r="A62" s="3208"/>
      <c r="B62" s="698" t="s">
        <v>36</v>
      </c>
      <c r="C62" s="3260" t="s">
        <v>288</v>
      </c>
      <c r="D62" s="1969">
        <f>+D63</f>
        <v>5706</v>
      </c>
      <c r="E62" s="1969">
        <f t="shared" ref="E62:T62" si="64">+E63</f>
        <v>0</v>
      </c>
      <c r="F62" s="1970">
        <f t="shared" si="64"/>
        <v>0</v>
      </c>
      <c r="G62" s="1970">
        <f t="shared" si="64"/>
        <v>0</v>
      </c>
      <c r="H62" s="1970">
        <f t="shared" si="64"/>
        <v>0</v>
      </c>
      <c r="I62" s="1971">
        <f t="shared" si="64"/>
        <v>0</v>
      </c>
      <c r="J62" s="1971">
        <f t="shared" si="64"/>
        <v>0</v>
      </c>
      <c r="K62" s="1971">
        <f t="shared" si="64"/>
        <v>0</v>
      </c>
      <c r="L62" s="1971">
        <f t="shared" si="64"/>
        <v>0</v>
      </c>
      <c r="M62" s="1969">
        <f t="shared" si="64"/>
        <v>0</v>
      </c>
      <c r="N62" s="1969">
        <f t="shared" si="64"/>
        <v>0</v>
      </c>
      <c r="O62" s="1969">
        <f t="shared" si="64"/>
        <v>5706</v>
      </c>
      <c r="P62" s="1969">
        <f t="shared" si="64"/>
        <v>0</v>
      </c>
      <c r="Q62" s="1969">
        <f t="shared" si="64"/>
        <v>0</v>
      </c>
      <c r="R62" s="1969">
        <f t="shared" si="64"/>
        <v>0</v>
      </c>
      <c r="S62" s="1969">
        <f t="shared" si="64"/>
        <v>0</v>
      </c>
      <c r="T62" s="1969">
        <f t="shared" si="64"/>
        <v>0</v>
      </c>
      <c r="U62" s="1969"/>
      <c r="V62" s="1969"/>
      <c r="W62" s="1969"/>
      <c r="X62" s="1972">
        <f>+X63</f>
        <v>0</v>
      </c>
      <c r="Y62" s="3257"/>
    </row>
    <row r="63" spans="1:25" s="2667" customFormat="1" ht="12" customHeight="1">
      <c r="A63" s="3208"/>
      <c r="B63" s="699" t="s">
        <v>25</v>
      </c>
      <c r="C63" s="3193"/>
      <c r="D63" s="1973">
        <f>M63+O63+P63+Q63+R63+S63+T63+U63+V63+W63</f>
        <v>5706</v>
      </c>
      <c r="E63" s="1973">
        <v>0</v>
      </c>
      <c r="F63" s="1974"/>
      <c r="G63" s="1974"/>
      <c r="H63" s="1974">
        <v>0</v>
      </c>
      <c r="I63" s="1975"/>
      <c r="J63" s="1975"/>
      <c r="K63" s="1975"/>
      <c r="L63" s="1975"/>
      <c r="M63" s="1973">
        <f>+E63+I63+J63+K63+L63+N63</f>
        <v>0</v>
      </c>
      <c r="N63" s="1973">
        <v>0</v>
      </c>
      <c r="O63" s="1973">
        <f>7200-1494</f>
        <v>5706</v>
      </c>
      <c r="P63" s="700">
        <v>0</v>
      </c>
      <c r="Q63" s="700">
        <v>0</v>
      </c>
      <c r="R63" s="700">
        <v>0</v>
      </c>
      <c r="S63" s="700">
        <v>0</v>
      </c>
      <c r="T63" s="700">
        <v>0</v>
      </c>
      <c r="U63" s="700"/>
      <c r="V63" s="700"/>
      <c r="W63" s="700"/>
      <c r="X63" s="1536">
        <f>SUM(P63:T63)</f>
        <v>0</v>
      </c>
      <c r="Y63" s="3257"/>
    </row>
    <row r="64" spans="1:25" s="2667" customFormat="1" ht="12" customHeight="1">
      <c r="A64" s="3208"/>
      <c r="B64" s="518" t="s">
        <v>30</v>
      </c>
      <c r="C64" s="3193"/>
      <c r="D64" s="1976">
        <f t="shared" ref="D64" si="65">E64+I64+J64+K64+L64+N64+O64+P64</f>
        <v>32332</v>
      </c>
      <c r="E64" s="1976">
        <f t="shared" ref="E64:T64" si="66">E65</f>
        <v>0</v>
      </c>
      <c r="F64" s="1970">
        <f t="shared" si="66"/>
        <v>0</v>
      </c>
      <c r="G64" s="1970">
        <f t="shared" si="66"/>
        <v>0</v>
      </c>
      <c r="H64" s="1970">
        <f t="shared" si="66"/>
        <v>0</v>
      </c>
      <c r="I64" s="1971">
        <f t="shared" si="66"/>
        <v>0</v>
      </c>
      <c r="J64" s="1971">
        <f t="shared" si="66"/>
        <v>0</v>
      </c>
      <c r="K64" s="1971">
        <f t="shared" si="66"/>
        <v>0</v>
      </c>
      <c r="L64" s="1971">
        <f t="shared" si="66"/>
        <v>0</v>
      </c>
      <c r="M64" s="1976">
        <f t="shared" si="66"/>
        <v>0</v>
      </c>
      <c r="N64" s="1976">
        <f t="shared" si="66"/>
        <v>0</v>
      </c>
      <c r="O64" s="1976">
        <f t="shared" si="66"/>
        <v>32332</v>
      </c>
      <c r="P64" s="1976">
        <f t="shared" si="66"/>
        <v>0</v>
      </c>
      <c r="Q64" s="1976">
        <f t="shared" si="66"/>
        <v>0</v>
      </c>
      <c r="R64" s="1976">
        <f t="shared" si="66"/>
        <v>0</v>
      </c>
      <c r="S64" s="1976">
        <f t="shared" si="66"/>
        <v>0</v>
      </c>
      <c r="T64" s="1976">
        <f t="shared" si="66"/>
        <v>0</v>
      </c>
      <c r="U64" s="1976"/>
      <c r="V64" s="1976"/>
      <c r="W64" s="1976"/>
      <c r="X64" s="1972">
        <f>+X65</f>
        <v>0</v>
      </c>
      <c r="Y64" s="3257"/>
    </row>
    <row r="65" spans="1:26" s="2667" customFormat="1" ht="12" customHeight="1">
      <c r="A65" s="3208"/>
      <c r="B65" s="2866" t="s">
        <v>33</v>
      </c>
      <c r="C65" s="3189"/>
      <c r="D65" s="1973">
        <f>M65+O65+P65+Q65+R65+S65+T65+U65+V65+W65</f>
        <v>32332</v>
      </c>
      <c r="E65" s="1973">
        <v>0</v>
      </c>
      <c r="F65" s="1977"/>
      <c r="G65" s="1977"/>
      <c r="H65" s="1977">
        <v>0</v>
      </c>
      <c r="I65" s="1978"/>
      <c r="J65" s="1978"/>
      <c r="K65" s="1978"/>
      <c r="L65" s="1978"/>
      <c r="M65" s="1973">
        <f>+E65+I65+J65+K65+L65+N65</f>
        <v>0</v>
      </c>
      <c r="N65" s="1979">
        <v>0</v>
      </c>
      <c r="O65" s="1979">
        <f>40800-8468</f>
        <v>32332</v>
      </c>
      <c r="P65" s="642">
        <v>0</v>
      </c>
      <c r="Q65" s="642">
        <v>0</v>
      </c>
      <c r="R65" s="642">
        <v>0</v>
      </c>
      <c r="S65" s="642">
        <v>0</v>
      </c>
      <c r="T65" s="642">
        <v>0</v>
      </c>
      <c r="U65" s="642"/>
      <c r="V65" s="642"/>
      <c r="W65" s="642"/>
      <c r="X65" s="1536">
        <f>SUM(P65:T65)</f>
        <v>0</v>
      </c>
      <c r="Y65" s="3257"/>
    </row>
    <row r="66" spans="1:26" s="2667" customFormat="1" ht="12" customHeight="1">
      <c r="A66" s="2988"/>
      <c r="B66" s="374" t="s">
        <v>34</v>
      </c>
      <c r="C66" s="1980"/>
      <c r="D66" s="1965">
        <f t="shared" ref="D66:D69" si="67">E66+I66+J66+K66+L66+N66+O66+P66</f>
        <v>38038</v>
      </c>
      <c r="E66" s="1965">
        <f t="shared" ref="E66:P66" si="68">E67+E69</f>
        <v>0</v>
      </c>
      <c r="F66" s="1966">
        <f t="shared" si="68"/>
        <v>0</v>
      </c>
      <c r="G66" s="1966">
        <f t="shared" si="68"/>
        <v>0</v>
      </c>
      <c r="H66" s="1966">
        <f t="shared" si="68"/>
        <v>0</v>
      </c>
      <c r="I66" s="1967">
        <f t="shared" si="68"/>
        <v>0</v>
      </c>
      <c r="J66" s="1967">
        <f t="shared" si="68"/>
        <v>0</v>
      </c>
      <c r="K66" s="1967">
        <f t="shared" si="68"/>
        <v>0</v>
      </c>
      <c r="L66" s="1967">
        <f t="shared" si="68"/>
        <v>0</v>
      </c>
      <c r="M66" s="1965">
        <f t="shared" ref="M66" si="69">M67+M69</f>
        <v>0</v>
      </c>
      <c r="N66" s="1965">
        <f t="shared" si="68"/>
        <v>0</v>
      </c>
      <c r="O66" s="1965">
        <f t="shared" si="68"/>
        <v>38038</v>
      </c>
      <c r="P66" s="1965">
        <f t="shared" si="68"/>
        <v>0</v>
      </c>
      <c r="Q66" s="1965">
        <f t="shared" ref="Q66:T66" si="70">Q67+Q69</f>
        <v>0</v>
      </c>
      <c r="R66" s="1965">
        <f t="shared" si="70"/>
        <v>0</v>
      </c>
      <c r="S66" s="1965">
        <f t="shared" si="70"/>
        <v>0</v>
      </c>
      <c r="T66" s="1965">
        <f t="shared" si="70"/>
        <v>0</v>
      </c>
      <c r="U66" s="1965"/>
      <c r="V66" s="1965"/>
      <c r="W66" s="1965"/>
      <c r="X66" s="3239" t="s">
        <v>77</v>
      </c>
      <c r="Y66" s="3257"/>
    </row>
    <row r="67" spans="1:26" s="2667" customFormat="1" ht="12" customHeight="1">
      <c r="A67" s="2988"/>
      <c r="B67" s="2867" t="s">
        <v>36</v>
      </c>
      <c r="C67" s="3260" t="s">
        <v>288</v>
      </c>
      <c r="D67" s="1969">
        <f t="shared" si="67"/>
        <v>5706</v>
      </c>
      <c r="E67" s="1969">
        <f t="shared" ref="E67:T67" si="71">E68</f>
        <v>0</v>
      </c>
      <c r="F67" s="1970">
        <f t="shared" si="71"/>
        <v>0</v>
      </c>
      <c r="G67" s="1970">
        <f t="shared" si="71"/>
        <v>0</v>
      </c>
      <c r="H67" s="1970">
        <f t="shared" si="71"/>
        <v>0</v>
      </c>
      <c r="I67" s="1971">
        <f t="shared" si="71"/>
        <v>0</v>
      </c>
      <c r="J67" s="1971">
        <f t="shared" si="71"/>
        <v>0</v>
      </c>
      <c r="K67" s="1971">
        <f t="shared" si="71"/>
        <v>0</v>
      </c>
      <c r="L67" s="1971">
        <f t="shared" si="71"/>
        <v>0</v>
      </c>
      <c r="M67" s="1969">
        <f t="shared" si="71"/>
        <v>0</v>
      </c>
      <c r="N67" s="1969">
        <f t="shared" si="71"/>
        <v>0</v>
      </c>
      <c r="O67" s="1969">
        <f t="shared" si="71"/>
        <v>5706</v>
      </c>
      <c r="P67" s="1969">
        <f t="shared" si="71"/>
        <v>0</v>
      </c>
      <c r="Q67" s="1969">
        <f t="shared" si="71"/>
        <v>0</v>
      </c>
      <c r="R67" s="1969">
        <f t="shared" si="71"/>
        <v>0</v>
      </c>
      <c r="S67" s="1969">
        <f t="shared" si="71"/>
        <v>0</v>
      </c>
      <c r="T67" s="1969">
        <f t="shared" si="71"/>
        <v>0</v>
      </c>
      <c r="U67" s="1969"/>
      <c r="V67" s="1969"/>
      <c r="W67" s="1969"/>
      <c r="X67" s="3214"/>
      <c r="Y67" s="3257"/>
    </row>
    <row r="68" spans="1:26" s="2667" customFormat="1" ht="12" customHeight="1">
      <c r="A68" s="2988"/>
      <c r="B68" s="703" t="s">
        <v>25</v>
      </c>
      <c r="C68" s="3193"/>
      <c r="D68" s="1973">
        <f>M68+O68+P68+Q68+R68+S68+T68+U68+V68+W68</f>
        <v>5706</v>
      </c>
      <c r="E68" s="1973">
        <v>0</v>
      </c>
      <c r="F68" s="1981"/>
      <c r="G68" s="1981"/>
      <c r="H68" s="1981">
        <v>0</v>
      </c>
      <c r="I68" s="1982"/>
      <c r="J68" s="1982"/>
      <c r="K68" s="1982"/>
      <c r="L68" s="1982"/>
      <c r="M68" s="1973">
        <f>+E68+I68+J68+K68+L68+N68</f>
        <v>0</v>
      </c>
      <c r="N68" s="1887">
        <v>0</v>
      </c>
      <c r="O68" s="1887">
        <f>7200-1494</f>
        <v>5706</v>
      </c>
      <c r="P68" s="1887">
        <v>0</v>
      </c>
      <c r="Q68" s="1887">
        <v>0</v>
      </c>
      <c r="R68" s="1887">
        <v>0</v>
      </c>
      <c r="S68" s="818">
        <v>0</v>
      </c>
      <c r="T68" s="818">
        <v>0</v>
      </c>
      <c r="U68" s="818"/>
      <c r="V68" s="818"/>
      <c r="W68" s="818"/>
      <c r="X68" s="3214"/>
      <c r="Y68" s="3257"/>
    </row>
    <row r="69" spans="1:26" s="2667" customFormat="1" ht="12" customHeight="1">
      <c r="A69" s="2988"/>
      <c r="B69" s="2868" t="s">
        <v>30</v>
      </c>
      <c r="C69" s="3193"/>
      <c r="D69" s="1976">
        <f t="shared" si="67"/>
        <v>32332</v>
      </c>
      <c r="E69" s="1976">
        <f t="shared" ref="E69:T69" si="72">E70</f>
        <v>0</v>
      </c>
      <c r="F69" s="1970">
        <f t="shared" si="72"/>
        <v>0</v>
      </c>
      <c r="G69" s="1970">
        <f t="shared" si="72"/>
        <v>0</v>
      </c>
      <c r="H69" s="1970">
        <f t="shared" si="72"/>
        <v>0</v>
      </c>
      <c r="I69" s="1971">
        <f t="shared" si="72"/>
        <v>0</v>
      </c>
      <c r="J69" s="1971">
        <f t="shared" si="72"/>
        <v>0</v>
      </c>
      <c r="K69" s="1971">
        <f t="shared" si="72"/>
        <v>0</v>
      </c>
      <c r="L69" s="1971">
        <f t="shared" si="72"/>
        <v>0</v>
      </c>
      <c r="M69" s="1976">
        <f t="shared" si="72"/>
        <v>0</v>
      </c>
      <c r="N69" s="1976">
        <f t="shared" si="72"/>
        <v>0</v>
      </c>
      <c r="O69" s="1976">
        <f t="shared" si="72"/>
        <v>32332</v>
      </c>
      <c r="P69" s="1976">
        <f t="shared" si="72"/>
        <v>0</v>
      </c>
      <c r="Q69" s="1976">
        <f t="shared" si="72"/>
        <v>0</v>
      </c>
      <c r="R69" s="1976">
        <f t="shared" si="72"/>
        <v>0</v>
      </c>
      <c r="S69" s="1976">
        <f t="shared" si="72"/>
        <v>0</v>
      </c>
      <c r="T69" s="1976">
        <f t="shared" si="72"/>
        <v>0</v>
      </c>
      <c r="U69" s="1976"/>
      <c r="V69" s="1976"/>
      <c r="W69" s="1976"/>
      <c r="X69" s="3214"/>
      <c r="Y69" s="3257"/>
    </row>
    <row r="70" spans="1:26" s="2667" customFormat="1" ht="12" customHeight="1" thickBot="1">
      <c r="A70" s="2989"/>
      <c r="B70" s="1378" t="s">
        <v>33</v>
      </c>
      <c r="C70" s="3190"/>
      <c r="D70" s="709">
        <f>M70+O70+P70+Q70+R70+S70+T70+U70+V70+W70</f>
        <v>32332</v>
      </c>
      <c r="E70" s="705">
        <v>0</v>
      </c>
      <c r="F70" s="1379"/>
      <c r="G70" s="1379"/>
      <c r="H70" s="1379">
        <v>0</v>
      </c>
      <c r="I70" s="1380"/>
      <c r="J70" s="1380"/>
      <c r="K70" s="1380"/>
      <c r="L70" s="1380"/>
      <c r="M70" s="709">
        <f>+E70+I70+J70+K70+L70+N70</f>
        <v>0</v>
      </c>
      <c r="N70" s="706">
        <v>0</v>
      </c>
      <c r="O70" s="706">
        <f>40800-8468</f>
        <v>32332</v>
      </c>
      <c r="P70" s="706">
        <v>0</v>
      </c>
      <c r="Q70" s="706">
        <v>0</v>
      </c>
      <c r="R70" s="706">
        <v>0</v>
      </c>
      <c r="S70" s="592">
        <v>0</v>
      </c>
      <c r="T70" s="592">
        <v>0</v>
      </c>
      <c r="U70" s="592"/>
      <c r="V70" s="592"/>
      <c r="W70" s="592"/>
      <c r="X70" s="3215"/>
      <c r="Y70" s="3258"/>
    </row>
    <row r="71" spans="1:26" ht="28.5" customHeight="1">
      <c r="A71" s="3207" t="s">
        <v>81</v>
      </c>
      <c r="B71" s="695" t="s">
        <v>499</v>
      </c>
      <c r="C71" s="696" t="s">
        <v>130</v>
      </c>
      <c r="D71" s="720"/>
      <c r="E71" s="718"/>
      <c r="F71" s="1526"/>
      <c r="G71" s="1526"/>
      <c r="H71" s="1527"/>
      <c r="I71" s="1528"/>
      <c r="J71" s="1529"/>
      <c r="K71" s="1529"/>
      <c r="L71" s="1529"/>
      <c r="M71" s="718"/>
      <c r="N71" s="718"/>
      <c r="O71" s="718"/>
      <c r="P71" s="718"/>
      <c r="Q71" s="718"/>
      <c r="R71" s="718"/>
      <c r="S71" s="718"/>
      <c r="T71" s="718"/>
      <c r="U71" s="718"/>
      <c r="V71" s="718"/>
      <c r="W71" s="997"/>
      <c r="X71" s="1385"/>
      <c r="Y71" s="3224" t="s">
        <v>131</v>
      </c>
      <c r="Z71" s="1322"/>
    </row>
    <row r="72" spans="1:26" ht="13.5" customHeight="1">
      <c r="A72" s="3208"/>
      <c r="B72" s="374" t="s">
        <v>22</v>
      </c>
      <c r="C72" s="707"/>
      <c r="D72" s="1356">
        <f>D73+D75</f>
        <v>2328152</v>
      </c>
      <c r="E72" s="1356">
        <f t="shared" ref="E72:Q72" si="73">+E75+E73</f>
        <v>441028</v>
      </c>
      <c r="F72" s="1357">
        <f t="shared" si="73"/>
        <v>0</v>
      </c>
      <c r="G72" s="1357">
        <f t="shared" si="73"/>
        <v>0</v>
      </c>
      <c r="H72" s="1357">
        <f t="shared" si="73"/>
        <v>0</v>
      </c>
      <c r="I72" s="1358">
        <f t="shared" si="73"/>
        <v>364771</v>
      </c>
      <c r="J72" s="1358">
        <f t="shared" si="73"/>
        <v>375013</v>
      </c>
      <c r="K72" s="1358">
        <f t="shared" si="73"/>
        <v>348792</v>
      </c>
      <c r="L72" s="1358">
        <f t="shared" si="73"/>
        <v>377448</v>
      </c>
      <c r="M72" s="1356">
        <f t="shared" ref="M72" si="74">+M75+M73</f>
        <v>2126586</v>
      </c>
      <c r="N72" s="1356">
        <f t="shared" si="73"/>
        <v>219534</v>
      </c>
      <c r="O72" s="1356">
        <f t="shared" si="73"/>
        <v>201566</v>
      </c>
      <c r="P72" s="1356">
        <f t="shared" si="73"/>
        <v>0</v>
      </c>
      <c r="Q72" s="1356">
        <f t="shared" si="73"/>
        <v>0</v>
      </c>
      <c r="R72" s="1356">
        <f t="shared" ref="R72:T72" si="75">+R75+R73</f>
        <v>0</v>
      </c>
      <c r="S72" s="1356">
        <f t="shared" si="75"/>
        <v>0</v>
      </c>
      <c r="T72" s="1356">
        <f t="shared" si="75"/>
        <v>0</v>
      </c>
      <c r="U72" s="1356"/>
      <c r="V72" s="1356"/>
      <c r="W72" s="1356"/>
      <c r="X72" s="1388">
        <f>+X75+X73</f>
        <v>0</v>
      </c>
      <c r="Y72" s="3225"/>
      <c r="Z72" s="1322"/>
    </row>
    <row r="73" spans="1:26" ht="14.25" customHeight="1">
      <c r="A73" s="3208"/>
      <c r="B73" s="698" t="s">
        <v>36</v>
      </c>
      <c r="C73" s="3227" t="s">
        <v>186</v>
      </c>
      <c r="D73" s="2116">
        <f t="shared" ref="D73:I73" si="76">D74</f>
        <v>349223</v>
      </c>
      <c r="E73" s="2116">
        <f t="shared" si="76"/>
        <v>66154</v>
      </c>
      <c r="F73" s="1357">
        <f t="shared" si="76"/>
        <v>0</v>
      </c>
      <c r="G73" s="1357">
        <f t="shared" si="76"/>
        <v>0</v>
      </c>
      <c r="H73" s="1357">
        <f t="shared" si="76"/>
        <v>0</v>
      </c>
      <c r="I73" s="1358">
        <f t="shared" si="76"/>
        <v>54716</v>
      </c>
      <c r="J73" s="1358">
        <f t="shared" ref="J73:T73" si="77">+J74</f>
        <v>56252</v>
      </c>
      <c r="K73" s="1358">
        <f t="shared" si="77"/>
        <v>52319</v>
      </c>
      <c r="L73" s="1358">
        <f t="shared" si="77"/>
        <v>56617</v>
      </c>
      <c r="M73" s="2116">
        <f t="shared" si="77"/>
        <v>318988</v>
      </c>
      <c r="N73" s="2116">
        <f t="shared" si="77"/>
        <v>32930</v>
      </c>
      <c r="O73" s="2116">
        <f t="shared" si="77"/>
        <v>30235</v>
      </c>
      <c r="P73" s="2116">
        <f t="shared" si="77"/>
        <v>0</v>
      </c>
      <c r="Q73" s="2116">
        <f t="shared" si="77"/>
        <v>0</v>
      </c>
      <c r="R73" s="2116">
        <f t="shared" si="77"/>
        <v>0</v>
      </c>
      <c r="S73" s="2116">
        <f t="shared" si="77"/>
        <v>0</v>
      </c>
      <c r="T73" s="2116">
        <f t="shared" si="77"/>
        <v>0</v>
      </c>
      <c r="U73" s="2116"/>
      <c r="V73" s="2116"/>
      <c r="W73" s="2116"/>
      <c r="X73" s="2117">
        <f>+X74</f>
        <v>0</v>
      </c>
      <c r="Y73" s="3225"/>
    </row>
    <row r="74" spans="1:26">
      <c r="A74" s="3208"/>
      <c r="B74" s="2118" t="s">
        <v>25</v>
      </c>
      <c r="C74" s="3193"/>
      <c r="D74" s="1391">
        <f>M74+O74+P74+Q74+R74+S74+T74+U74+V74+W74</f>
        <v>349223</v>
      </c>
      <c r="E74" s="1366">
        <v>66154</v>
      </c>
      <c r="F74" s="1367"/>
      <c r="G74" s="1367"/>
      <c r="H74" s="1367"/>
      <c r="I74" s="1368">
        <v>54716</v>
      </c>
      <c r="J74" s="2119">
        <v>56252</v>
      </c>
      <c r="K74" s="2119">
        <f>44352+12000-4033</f>
        <v>52319</v>
      </c>
      <c r="L74" s="2119">
        <v>56617</v>
      </c>
      <c r="M74" s="1366">
        <f>+E74+I74+J74+K74+L74+N74</f>
        <v>318988</v>
      </c>
      <c r="N74" s="1394">
        <v>32930</v>
      </c>
      <c r="O74" s="1394">
        <f>40163-9928</f>
        <v>30235</v>
      </c>
      <c r="P74" s="644">
        <v>0</v>
      </c>
      <c r="Q74" s="644">
        <v>0</v>
      </c>
      <c r="R74" s="644">
        <v>0</v>
      </c>
      <c r="S74" s="644">
        <v>0</v>
      </c>
      <c r="T74" s="644">
        <v>0</v>
      </c>
      <c r="U74" s="644"/>
      <c r="V74" s="644"/>
      <c r="W74" s="644"/>
      <c r="X74" s="1334">
        <f>SUM(P74:T74)</f>
        <v>0</v>
      </c>
      <c r="Y74" s="3225"/>
      <c r="Z74" s="1304"/>
    </row>
    <row r="75" spans="1:26" ht="12.75" customHeight="1">
      <c r="A75" s="3208"/>
      <c r="B75" s="518" t="s">
        <v>30</v>
      </c>
      <c r="C75" s="3193"/>
      <c r="D75" s="1369">
        <f t="shared" ref="D75:X75" si="78">+D76</f>
        <v>1978929</v>
      </c>
      <c r="E75" s="1369">
        <f t="shared" si="78"/>
        <v>374874</v>
      </c>
      <c r="F75" s="1361">
        <f t="shared" si="78"/>
        <v>0</v>
      </c>
      <c r="G75" s="1361">
        <f t="shared" si="78"/>
        <v>0</v>
      </c>
      <c r="H75" s="1361">
        <f t="shared" si="78"/>
        <v>0</v>
      </c>
      <c r="I75" s="1362">
        <f t="shared" si="78"/>
        <v>310055</v>
      </c>
      <c r="J75" s="1362">
        <f t="shared" si="78"/>
        <v>318761</v>
      </c>
      <c r="K75" s="1362">
        <f t="shared" si="78"/>
        <v>296473</v>
      </c>
      <c r="L75" s="1362">
        <f t="shared" si="78"/>
        <v>320831</v>
      </c>
      <c r="M75" s="1369">
        <f t="shared" si="78"/>
        <v>1807598</v>
      </c>
      <c r="N75" s="1369">
        <f t="shared" si="78"/>
        <v>186604</v>
      </c>
      <c r="O75" s="1384">
        <f t="shared" si="78"/>
        <v>171331</v>
      </c>
      <c r="P75" s="1384">
        <f t="shared" si="78"/>
        <v>0</v>
      </c>
      <c r="Q75" s="1384">
        <f t="shared" si="78"/>
        <v>0</v>
      </c>
      <c r="R75" s="1384">
        <f t="shared" si="78"/>
        <v>0</v>
      </c>
      <c r="S75" s="1384">
        <f t="shared" si="78"/>
        <v>0</v>
      </c>
      <c r="T75" s="1384">
        <f t="shared" si="78"/>
        <v>0</v>
      </c>
      <c r="U75" s="1384"/>
      <c r="V75" s="1384"/>
      <c r="W75" s="1384"/>
      <c r="X75" s="1388">
        <f t="shared" si="78"/>
        <v>0</v>
      </c>
      <c r="Y75" s="3225"/>
    </row>
    <row r="76" spans="1:26">
      <c r="A76" s="3208"/>
      <c r="B76" s="2120" t="s">
        <v>33</v>
      </c>
      <c r="C76" s="3189"/>
      <c r="D76" s="1391">
        <f>M76+O76+P76+Q76+R76+S76+T76+U76+V76+W76</f>
        <v>1978929</v>
      </c>
      <c r="E76" s="1394">
        <v>374874</v>
      </c>
      <c r="F76" s="1393"/>
      <c r="G76" s="1393"/>
      <c r="H76" s="1393"/>
      <c r="I76" s="2119">
        <v>310055</v>
      </c>
      <c r="J76" s="1368">
        <v>318761</v>
      </c>
      <c r="K76" s="1368">
        <f>251327+68000-22854</f>
        <v>296473</v>
      </c>
      <c r="L76" s="1368">
        <f>268327+52504</f>
        <v>320831</v>
      </c>
      <c r="M76" s="1366">
        <f>+E76+I76+J76+K76+L76+N76</f>
        <v>1807598</v>
      </c>
      <c r="N76" s="1366">
        <v>186604</v>
      </c>
      <c r="O76" s="1366">
        <f>227588-56257</f>
        <v>171331</v>
      </c>
      <c r="P76" s="1366">
        <v>0</v>
      </c>
      <c r="Q76" s="700">
        <v>0</v>
      </c>
      <c r="R76" s="700">
        <v>0</v>
      </c>
      <c r="S76" s="700">
        <v>0</v>
      </c>
      <c r="T76" s="700">
        <v>0</v>
      </c>
      <c r="U76" s="700"/>
      <c r="V76" s="700"/>
      <c r="W76" s="700"/>
      <c r="X76" s="1334">
        <f>SUM(P76:T76)</f>
        <v>0</v>
      </c>
      <c r="Y76" s="3225"/>
      <c r="Z76" s="1304"/>
    </row>
    <row r="77" spans="1:26" ht="12.75" customHeight="1">
      <c r="A77" s="2988"/>
      <c r="B77" s="517" t="s">
        <v>34</v>
      </c>
      <c r="C77" s="708"/>
      <c r="D77" s="724">
        <f>D78+D80</f>
        <v>2328152</v>
      </c>
      <c r="E77" s="724">
        <f>+E80+E78</f>
        <v>3874</v>
      </c>
      <c r="F77" s="1399">
        <f>+F80+F78</f>
        <v>0</v>
      </c>
      <c r="G77" s="1399">
        <f>+G80+G78</f>
        <v>0</v>
      </c>
      <c r="H77" s="1399">
        <f>+H80+H78</f>
        <v>0</v>
      </c>
      <c r="I77" s="1400">
        <f>+I80+I78</f>
        <v>480461</v>
      </c>
      <c r="J77" s="1358">
        <f t="shared" ref="J77:Q77" si="79">+J80+J78</f>
        <v>496759</v>
      </c>
      <c r="K77" s="1358">
        <f t="shared" si="79"/>
        <v>344217</v>
      </c>
      <c r="L77" s="1358">
        <f t="shared" si="79"/>
        <v>289417</v>
      </c>
      <c r="M77" s="1356">
        <f t="shared" ref="M77" si="80">+M80+M78</f>
        <v>1892106</v>
      </c>
      <c r="N77" s="1356">
        <f t="shared" si="79"/>
        <v>277378</v>
      </c>
      <c r="O77" s="1356">
        <f t="shared" si="79"/>
        <v>342136</v>
      </c>
      <c r="P77" s="1356">
        <f t="shared" si="79"/>
        <v>93910</v>
      </c>
      <c r="Q77" s="1356">
        <f t="shared" si="79"/>
        <v>0</v>
      </c>
      <c r="R77" s="1356">
        <f t="shared" ref="R77:T77" si="81">+R80+R78</f>
        <v>0</v>
      </c>
      <c r="S77" s="1356">
        <f t="shared" si="81"/>
        <v>0</v>
      </c>
      <c r="T77" s="1356">
        <f t="shared" si="81"/>
        <v>0</v>
      </c>
      <c r="U77" s="1356"/>
      <c r="V77" s="1356"/>
      <c r="W77" s="1356"/>
      <c r="X77" s="3231" t="s">
        <v>77</v>
      </c>
      <c r="Y77" s="3225"/>
    </row>
    <row r="78" spans="1:26" ht="14.25" customHeight="1">
      <c r="A78" s="2988"/>
      <c r="B78" s="698" t="s">
        <v>36</v>
      </c>
      <c r="C78" s="3227" t="s">
        <v>186</v>
      </c>
      <c r="D78" s="2121">
        <f t="shared" ref="D78:I78" si="82">D79</f>
        <v>349223</v>
      </c>
      <c r="E78" s="2121">
        <f t="shared" si="82"/>
        <v>3874</v>
      </c>
      <c r="F78" s="1399">
        <f t="shared" si="82"/>
        <v>0</v>
      </c>
      <c r="G78" s="1399">
        <f t="shared" si="82"/>
        <v>0</v>
      </c>
      <c r="H78" s="1399">
        <f t="shared" si="82"/>
        <v>0</v>
      </c>
      <c r="I78" s="1400">
        <f t="shared" si="82"/>
        <v>72234</v>
      </c>
      <c r="J78" s="1358">
        <f t="shared" ref="J78:T78" si="83">+J79</f>
        <v>73370</v>
      </c>
      <c r="K78" s="1358">
        <f t="shared" si="83"/>
        <v>52704</v>
      </c>
      <c r="L78" s="1358">
        <f t="shared" si="83"/>
        <v>44329</v>
      </c>
      <c r="M78" s="2116">
        <f t="shared" si="83"/>
        <v>303135</v>
      </c>
      <c r="N78" s="2116">
        <f t="shared" si="83"/>
        <v>56624</v>
      </c>
      <c r="O78" s="2116">
        <f t="shared" si="83"/>
        <v>31674</v>
      </c>
      <c r="P78" s="2116">
        <f t="shared" si="83"/>
        <v>14414</v>
      </c>
      <c r="Q78" s="2116">
        <f t="shared" si="83"/>
        <v>0</v>
      </c>
      <c r="R78" s="2116">
        <f t="shared" si="83"/>
        <v>0</v>
      </c>
      <c r="S78" s="2116">
        <f t="shared" si="83"/>
        <v>0</v>
      </c>
      <c r="T78" s="2116">
        <f t="shared" si="83"/>
        <v>0</v>
      </c>
      <c r="U78" s="2116"/>
      <c r="V78" s="2116"/>
      <c r="W78" s="2116"/>
      <c r="X78" s="3214"/>
      <c r="Y78" s="3225"/>
    </row>
    <row r="79" spans="1:26">
      <c r="A79" s="2988"/>
      <c r="B79" s="2118" t="s">
        <v>25</v>
      </c>
      <c r="C79" s="3193"/>
      <c r="D79" s="1391">
        <f>M79+O79+P79+Q79+R79+S79+T79+U79+V79+W79</f>
        <v>349223</v>
      </c>
      <c r="E79" s="700">
        <v>3874</v>
      </c>
      <c r="F79" s="2122"/>
      <c r="G79" s="2122"/>
      <c r="H79" s="2122"/>
      <c r="I79" s="2123">
        <v>72234</v>
      </c>
      <c r="J79" s="2119">
        <v>73370</v>
      </c>
      <c r="K79" s="2119">
        <f>44352+12000-3648</f>
        <v>52704</v>
      </c>
      <c r="L79" s="2119">
        <f>47352-3023</f>
        <v>44329</v>
      </c>
      <c r="M79" s="1366">
        <f>+E79+I79+J79+K79+L79+N79</f>
        <v>303135</v>
      </c>
      <c r="N79" s="1394">
        <v>56624</v>
      </c>
      <c r="O79" s="1394">
        <f>35934-4260</f>
        <v>31674</v>
      </c>
      <c r="P79" s="644">
        <f>20082-5668</f>
        <v>14414</v>
      </c>
      <c r="Q79" s="644">
        <v>0</v>
      </c>
      <c r="R79" s="644">
        <v>0</v>
      </c>
      <c r="S79" s="644">
        <v>0</v>
      </c>
      <c r="T79" s="644">
        <v>0</v>
      </c>
      <c r="U79" s="644"/>
      <c r="V79" s="644"/>
      <c r="W79" s="644"/>
      <c r="X79" s="3214"/>
      <c r="Y79" s="3225"/>
    </row>
    <row r="80" spans="1:26" ht="12.75" customHeight="1">
      <c r="A80" s="2988"/>
      <c r="B80" s="1401" t="s">
        <v>30</v>
      </c>
      <c r="C80" s="3193"/>
      <c r="D80" s="1369">
        <f t="shared" ref="D80:T80" si="84">+D81</f>
        <v>1978929</v>
      </c>
      <c r="E80" s="1369">
        <f t="shared" si="84"/>
        <v>0</v>
      </c>
      <c r="F80" s="1361">
        <f t="shared" si="84"/>
        <v>0</v>
      </c>
      <c r="G80" s="1361">
        <f t="shared" si="84"/>
        <v>0</v>
      </c>
      <c r="H80" s="1361">
        <f t="shared" si="84"/>
        <v>0</v>
      </c>
      <c r="I80" s="1362">
        <f t="shared" si="84"/>
        <v>408227</v>
      </c>
      <c r="J80" s="1362">
        <f t="shared" si="84"/>
        <v>423389</v>
      </c>
      <c r="K80" s="1362">
        <f t="shared" si="84"/>
        <v>291513</v>
      </c>
      <c r="L80" s="1362">
        <f t="shared" si="84"/>
        <v>245088</v>
      </c>
      <c r="M80" s="1369">
        <f t="shared" si="84"/>
        <v>1588971</v>
      </c>
      <c r="N80" s="1369">
        <f t="shared" si="84"/>
        <v>220754</v>
      </c>
      <c r="O80" s="1384">
        <f t="shared" si="84"/>
        <v>310462</v>
      </c>
      <c r="P80" s="1384">
        <f t="shared" si="84"/>
        <v>79496</v>
      </c>
      <c r="Q80" s="1384">
        <f t="shared" si="84"/>
        <v>0</v>
      </c>
      <c r="R80" s="1384">
        <f>+R81</f>
        <v>0</v>
      </c>
      <c r="S80" s="1384">
        <f t="shared" si="84"/>
        <v>0</v>
      </c>
      <c r="T80" s="1384">
        <f t="shared" si="84"/>
        <v>0</v>
      </c>
      <c r="U80" s="1384"/>
      <c r="V80" s="1384"/>
      <c r="W80" s="1384"/>
      <c r="X80" s="3214"/>
      <c r="Y80" s="3225"/>
    </row>
    <row r="81" spans="1:28" ht="12.75" customHeight="1" thickBot="1">
      <c r="A81" s="2989"/>
      <c r="B81" s="1378" t="s">
        <v>33</v>
      </c>
      <c r="C81" s="3190"/>
      <c r="D81" s="1286">
        <f>M81+O81+P81+Q81+R81+S81+T81+U81+V81+W81</f>
        <v>1978929</v>
      </c>
      <c r="E81" s="706">
        <v>0</v>
      </c>
      <c r="F81" s="1379">
        <v>0</v>
      </c>
      <c r="G81" s="1379"/>
      <c r="H81" s="1379"/>
      <c r="I81" s="1380">
        <v>408227</v>
      </c>
      <c r="J81" s="1402">
        <v>423389</v>
      </c>
      <c r="K81" s="1402">
        <f>251327+68000-27814</f>
        <v>291513</v>
      </c>
      <c r="L81" s="1402">
        <f>268327-23239</f>
        <v>245088</v>
      </c>
      <c r="M81" s="709">
        <f>+E81+I81+J81+K81+L81+N81</f>
        <v>1588971</v>
      </c>
      <c r="N81" s="709">
        <v>220754</v>
      </c>
      <c r="O81" s="709">
        <f>332421-21959</f>
        <v>310462</v>
      </c>
      <c r="P81" s="709">
        <f>113794-34298</f>
        <v>79496</v>
      </c>
      <c r="Q81" s="709">
        <v>0</v>
      </c>
      <c r="R81" s="709">
        <v>0</v>
      </c>
      <c r="S81" s="709">
        <v>0</v>
      </c>
      <c r="T81" s="709">
        <v>0</v>
      </c>
      <c r="U81" s="709"/>
      <c r="V81" s="709"/>
      <c r="W81" s="709"/>
      <c r="X81" s="3215"/>
      <c r="Y81" s="3226"/>
    </row>
    <row r="82" spans="1:28" s="1347" customFormat="1" ht="45" customHeight="1">
      <c r="A82" s="3207" t="s">
        <v>82</v>
      </c>
      <c r="B82" s="695" t="s">
        <v>193</v>
      </c>
      <c r="C82" s="696" t="s">
        <v>98</v>
      </c>
      <c r="D82" s="720"/>
      <c r="E82" s="718"/>
      <c r="F82" s="1526"/>
      <c r="G82" s="1526"/>
      <c r="H82" s="1527"/>
      <c r="I82" s="1528"/>
      <c r="J82" s="1528"/>
      <c r="K82" s="1529"/>
      <c r="L82" s="1529"/>
      <c r="M82" s="718"/>
      <c r="N82" s="718"/>
      <c r="O82" s="718"/>
      <c r="P82" s="718"/>
      <c r="Q82" s="718"/>
      <c r="R82" s="718"/>
      <c r="S82" s="718"/>
      <c r="T82" s="718"/>
      <c r="U82" s="718"/>
      <c r="V82" s="718"/>
      <c r="W82" s="997"/>
      <c r="X82" s="1385"/>
      <c r="Y82" s="3256" t="s">
        <v>553</v>
      </c>
    </row>
    <row r="83" spans="1:28" s="1347" customFormat="1" ht="14.25" customHeight="1">
      <c r="A83" s="3208"/>
      <c r="B83" s="374" t="s">
        <v>22</v>
      </c>
      <c r="C83" s="707"/>
      <c r="D83" s="1356">
        <f t="shared" ref="D83:L83" si="85">+D84+D86</f>
        <v>17684288</v>
      </c>
      <c r="E83" s="1356">
        <f t="shared" si="85"/>
        <v>0</v>
      </c>
      <c r="F83" s="1357">
        <f t="shared" si="85"/>
        <v>0</v>
      </c>
      <c r="G83" s="1357">
        <f t="shared" si="85"/>
        <v>0</v>
      </c>
      <c r="H83" s="1357">
        <f t="shared" si="85"/>
        <v>0</v>
      </c>
      <c r="I83" s="1358">
        <f t="shared" si="85"/>
        <v>0</v>
      </c>
      <c r="J83" s="1358">
        <f t="shared" si="85"/>
        <v>36900</v>
      </c>
      <c r="K83" s="1358">
        <f t="shared" si="85"/>
        <v>5181984</v>
      </c>
      <c r="L83" s="1358">
        <f t="shared" si="85"/>
        <v>7037633</v>
      </c>
      <c r="M83" s="1356">
        <f>+M84+M86</f>
        <v>12620733</v>
      </c>
      <c r="N83" s="1356">
        <f>+N84+N86</f>
        <v>364216</v>
      </c>
      <c r="O83" s="1356">
        <f>+O84+O86</f>
        <v>5063555</v>
      </c>
      <c r="P83" s="1356">
        <f t="shared" ref="P83:T83" si="86">+P84+P86</f>
        <v>0</v>
      </c>
      <c r="Q83" s="1356">
        <f t="shared" si="86"/>
        <v>0</v>
      </c>
      <c r="R83" s="1356">
        <f t="shared" si="86"/>
        <v>0</v>
      </c>
      <c r="S83" s="1356">
        <f t="shared" si="86"/>
        <v>0</v>
      </c>
      <c r="T83" s="1356">
        <f t="shared" si="86"/>
        <v>0</v>
      </c>
      <c r="U83" s="1356"/>
      <c r="V83" s="1356"/>
      <c r="W83" s="1356"/>
      <c r="X83" s="1359">
        <f>+X84+X86</f>
        <v>0</v>
      </c>
      <c r="Y83" s="3257"/>
      <c r="Z83" s="1322"/>
    </row>
    <row r="84" spans="1:28" s="1407" customFormat="1" ht="13.5" customHeight="1">
      <c r="A84" s="3208"/>
      <c r="B84" s="698" t="s">
        <v>36</v>
      </c>
      <c r="C84" s="3232" t="s">
        <v>194</v>
      </c>
      <c r="D84" s="1403">
        <f>+D85</f>
        <v>20564</v>
      </c>
      <c r="E84" s="1403">
        <f t="shared" ref="E84:X84" si="87">+E85</f>
        <v>0</v>
      </c>
      <c r="F84" s="1404">
        <f t="shared" si="87"/>
        <v>0</v>
      </c>
      <c r="G84" s="1404">
        <f t="shared" si="87"/>
        <v>0</v>
      </c>
      <c r="H84" s="1404">
        <f t="shared" si="87"/>
        <v>0</v>
      </c>
      <c r="I84" s="1405">
        <f t="shared" si="87"/>
        <v>0</v>
      </c>
      <c r="J84" s="1405">
        <f t="shared" si="87"/>
        <v>9225</v>
      </c>
      <c r="K84" s="1405">
        <f t="shared" si="87"/>
        <v>11070</v>
      </c>
      <c r="L84" s="1405">
        <f t="shared" si="87"/>
        <v>0</v>
      </c>
      <c r="M84" s="1403">
        <f t="shared" si="87"/>
        <v>20564</v>
      </c>
      <c r="N84" s="1403">
        <f t="shared" si="87"/>
        <v>269</v>
      </c>
      <c r="O84" s="1403">
        <f t="shared" si="87"/>
        <v>0</v>
      </c>
      <c r="P84" s="1403">
        <f t="shared" si="87"/>
        <v>0</v>
      </c>
      <c r="Q84" s="1403">
        <f t="shared" si="87"/>
        <v>0</v>
      </c>
      <c r="R84" s="1403">
        <f t="shared" si="87"/>
        <v>0</v>
      </c>
      <c r="S84" s="1403">
        <f t="shared" si="87"/>
        <v>0</v>
      </c>
      <c r="T84" s="1403">
        <f t="shared" si="87"/>
        <v>0</v>
      </c>
      <c r="U84" s="1403"/>
      <c r="V84" s="1403"/>
      <c r="W84" s="1403"/>
      <c r="X84" s="1406">
        <f t="shared" si="87"/>
        <v>0</v>
      </c>
      <c r="Y84" s="3257"/>
    </row>
    <row r="85" spans="1:28" s="1347" customFormat="1" ht="13.5" customHeight="1">
      <c r="A85" s="3208"/>
      <c r="B85" s="699" t="s">
        <v>24</v>
      </c>
      <c r="C85" s="3193"/>
      <c r="D85" s="1391">
        <f>M85+O85+P85+Q85+R85+S85+T85+U85+V85+W85</f>
        <v>20564</v>
      </c>
      <c r="E85" s="1374">
        <v>0</v>
      </c>
      <c r="F85" s="1375">
        <v>0</v>
      </c>
      <c r="G85" s="1375">
        <v>0</v>
      </c>
      <c r="H85" s="1375"/>
      <c r="I85" s="1376">
        <v>0</v>
      </c>
      <c r="J85" s="1376">
        <f>2105000-842700-1249950-3125</f>
        <v>9225</v>
      </c>
      <c r="K85" s="1376">
        <v>11070</v>
      </c>
      <c r="L85" s="1376">
        <v>0</v>
      </c>
      <c r="M85" s="1366">
        <f>+E85+I85+J85+K85+L85+N85</f>
        <v>20564</v>
      </c>
      <c r="N85" s="1374">
        <v>269</v>
      </c>
      <c r="O85" s="1374">
        <v>0</v>
      </c>
      <c r="P85" s="2212">
        <v>0</v>
      </c>
      <c r="Q85" s="1409">
        <v>0</v>
      </c>
      <c r="R85" s="1409">
        <v>0</v>
      </c>
      <c r="S85" s="1409">
        <v>0</v>
      </c>
      <c r="T85" s="1409">
        <v>0</v>
      </c>
      <c r="U85" s="1409"/>
      <c r="V85" s="1409"/>
      <c r="W85" s="1409"/>
      <c r="X85" s="1334">
        <f>SUM(P85:T85)</f>
        <v>0</v>
      </c>
      <c r="Y85" s="3257"/>
    </row>
    <row r="86" spans="1:28" s="1347" customFormat="1" ht="11.25" customHeight="1">
      <c r="A86" s="3208"/>
      <c r="B86" s="518" t="s">
        <v>30</v>
      </c>
      <c r="C86" s="3193"/>
      <c r="D86" s="1369">
        <f>+D87</f>
        <v>17663724</v>
      </c>
      <c r="E86" s="1369">
        <f t="shared" ref="E86:X86" si="88">+E87</f>
        <v>0</v>
      </c>
      <c r="F86" s="1361">
        <f t="shared" si="88"/>
        <v>0</v>
      </c>
      <c r="G86" s="1361">
        <f t="shared" si="88"/>
        <v>0</v>
      </c>
      <c r="H86" s="1361">
        <f t="shared" si="88"/>
        <v>0</v>
      </c>
      <c r="I86" s="1362">
        <f t="shared" si="88"/>
        <v>0</v>
      </c>
      <c r="J86" s="1362">
        <f t="shared" si="88"/>
        <v>27675</v>
      </c>
      <c r="K86" s="1362">
        <f t="shared" si="88"/>
        <v>5170914</v>
      </c>
      <c r="L86" s="1362">
        <f t="shared" si="88"/>
        <v>7037633</v>
      </c>
      <c r="M86" s="1369">
        <f t="shared" si="88"/>
        <v>12600169</v>
      </c>
      <c r="N86" s="1369">
        <f t="shared" si="88"/>
        <v>363947</v>
      </c>
      <c r="O86" s="1369">
        <f t="shared" si="88"/>
        <v>5063555</v>
      </c>
      <c r="P86" s="1369">
        <f t="shared" si="88"/>
        <v>0</v>
      </c>
      <c r="Q86" s="1369">
        <f t="shared" si="88"/>
        <v>0</v>
      </c>
      <c r="R86" s="1369">
        <f t="shared" si="88"/>
        <v>0</v>
      </c>
      <c r="S86" s="1369">
        <f t="shared" si="88"/>
        <v>0</v>
      </c>
      <c r="T86" s="1369">
        <f t="shared" si="88"/>
        <v>0</v>
      </c>
      <c r="U86" s="1410"/>
      <c r="V86" s="1410"/>
      <c r="W86" s="1410"/>
      <c r="X86" s="1411">
        <f t="shared" si="88"/>
        <v>0</v>
      </c>
      <c r="Y86" s="3257"/>
    </row>
    <row r="87" spans="1:28" s="2667" customFormat="1" ht="12" customHeight="1">
      <c r="A87" s="3208"/>
      <c r="B87" s="1370" t="s">
        <v>33</v>
      </c>
      <c r="C87" s="3189"/>
      <c r="D87" s="1391">
        <f>M87+O87+P87+Q87+R87+S87+T87+U87+V87+W87</f>
        <v>17663724</v>
      </c>
      <c r="E87" s="1371">
        <v>0</v>
      </c>
      <c r="F87" s="1372">
        <v>0</v>
      </c>
      <c r="G87" s="1372">
        <v>0</v>
      </c>
      <c r="H87" s="1372"/>
      <c r="I87" s="1373">
        <v>0</v>
      </c>
      <c r="J87" s="1373">
        <f>6315000-2528100-3749850-9375</f>
        <v>27675</v>
      </c>
      <c r="K87" s="1373">
        <v>5170914</v>
      </c>
      <c r="L87" s="1373">
        <v>7037633</v>
      </c>
      <c r="M87" s="1366">
        <f>+E87+I87+J87+K87+L87+N87</f>
        <v>12600169</v>
      </c>
      <c r="N87" s="1371">
        <v>363947</v>
      </c>
      <c r="O87" s="1371">
        <v>5063555</v>
      </c>
      <c r="P87" s="642">
        <v>0</v>
      </c>
      <c r="Q87" s="642">
        <v>0</v>
      </c>
      <c r="R87" s="642">
        <v>0</v>
      </c>
      <c r="S87" s="642">
        <v>0</v>
      </c>
      <c r="T87" s="642">
        <v>0</v>
      </c>
      <c r="U87" s="642"/>
      <c r="V87" s="642"/>
      <c r="W87" s="642"/>
      <c r="X87" s="1334">
        <f>SUM(P87:T87)</f>
        <v>0</v>
      </c>
      <c r="Y87" s="3257"/>
    </row>
    <row r="88" spans="1:28" s="2667" customFormat="1" ht="14.25" customHeight="1">
      <c r="A88" s="2988"/>
      <c r="B88" s="374" t="s">
        <v>34</v>
      </c>
      <c r="C88" s="701"/>
      <c r="D88" s="1356">
        <f>+D89</f>
        <v>17663724</v>
      </c>
      <c r="E88" s="1356">
        <f t="shared" ref="E88:T88" si="89">+E89</f>
        <v>0</v>
      </c>
      <c r="F88" s="1357">
        <f t="shared" si="89"/>
        <v>0</v>
      </c>
      <c r="G88" s="1357">
        <f t="shared" si="89"/>
        <v>0</v>
      </c>
      <c r="H88" s="1357">
        <f t="shared" si="89"/>
        <v>0</v>
      </c>
      <c r="I88" s="1358">
        <f t="shared" si="89"/>
        <v>0</v>
      </c>
      <c r="J88" s="1358">
        <f t="shared" si="89"/>
        <v>0</v>
      </c>
      <c r="K88" s="1358">
        <f t="shared" si="89"/>
        <v>4114813</v>
      </c>
      <c r="L88" s="1358">
        <f t="shared" si="89"/>
        <v>5066676</v>
      </c>
      <c r="M88" s="1356">
        <f t="shared" si="89"/>
        <v>9376546</v>
      </c>
      <c r="N88" s="1356">
        <f t="shared" si="89"/>
        <v>195057</v>
      </c>
      <c r="O88" s="1356">
        <f t="shared" si="89"/>
        <v>3933596</v>
      </c>
      <c r="P88" s="1356">
        <f t="shared" si="89"/>
        <v>4353582</v>
      </c>
      <c r="Q88" s="1356">
        <f t="shared" si="89"/>
        <v>0</v>
      </c>
      <c r="R88" s="1356">
        <f t="shared" si="89"/>
        <v>0</v>
      </c>
      <c r="S88" s="1356">
        <f t="shared" si="89"/>
        <v>0</v>
      </c>
      <c r="T88" s="1356">
        <f t="shared" si="89"/>
        <v>0</v>
      </c>
      <c r="U88" s="1356"/>
      <c r="V88" s="1356"/>
      <c r="W88" s="1356"/>
      <c r="X88" s="3231" t="s">
        <v>77</v>
      </c>
      <c r="Y88" s="3257"/>
    </row>
    <row r="89" spans="1:28" s="2667" customFormat="1" ht="13.5" customHeight="1">
      <c r="A89" s="2988"/>
      <c r="B89" s="1401" t="s">
        <v>30</v>
      </c>
      <c r="C89" s="3193"/>
      <c r="D89" s="1369">
        <f t="shared" ref="D89:T89" si="90">+D90</f>
        <v>17663724</v>
      </c>
      <c r="E89" s="1369">
        <f t="shared" si="90"/>
        <v>0</v>
      </c>
      <c r="F89" s="1361">
        <f t="shared" si="90"/>
        <v>0</v>
      </c>
      <c r="G89" s="1361">
        <f t="shared" si="90"/>
        <v>0</v>
      </c>
      <c r="H89" s="1361">
        <f t="shared" si="90"/>
        <v>0</v>
      </c>
      <c r="I89" s="1362">
        <f t="shared" si="90"/>
        <v>0</v>
      </c>
      <c r="J89" s="1362">
        <f t="shared" si="90"/>
        <v>0</v>
      </c>
      <c r="K89" s="1362">
        <f t="shared" si="90"/>
        <v>4114813</v>
      </c>
      <c r="L89" s="1362">
        <f t="shared" si="90"/>
        <v>5066676</v>
      </c>
      <c r="M89" s="1369">
        <f t="shared" si="90"/>
        <v>9376546</v>
      </c>
      <c r="N89" s="1369">
        <f t="shared" si="90"/>
        <v>195057</v>
      </c>
      <c r="O89" s="1369">
        <f t="shared" si="90"/>
        <v>3933596</v>
      </c>
      <c r="P89" s="1369">
        <f t="shared" si="90"/>
        <v>4353582</v>
      </c>
      <c r="Q89" s="1369">
        <f t="shared" si="90"/>
        <v>0</v>
      </c>
      <c r="R89" s="1369">
        <f t="shared" si="90"/>
        <v>0</v>
      </c>
      <c r="S89" s="1369">
        <f t="shared" si="90"/>
        <v>0</v>
      </c>
      <c r="T89" s="1369">
        <f t="shared" si="90"/>
        <v>0</v>
      </c>
      <c r="U89" s="1369"/>
      <c r="V89" s="1369"/>
      <c r="W89" s="1369"/>
      <c r="X89" s="3214"/>
      <c r="Y89" s="3257"/>
    </row>
    <row r="90" spans="1:28" s="2667" customFormat="1" ht="14.25" customHeight="1" thickBot="1">
      <c r="A90" s="2989"/>
      <c r="B90" s="1378" t="s">
        <v>33</v>
      </c>
      <c r="C90" s="3190"/>
      <c r="D90" s="1391">
        <f>M90+O90+P90+Q90+R90+S90+T90+U90+V90+W90</f>
        <v>17663724</v>
      </c>
      <c r="E90" s="706">
        <v>0</v>
      </c>
      <c r="F90" s="1379"/>
      <c r="G90" s="1379"/>
      <c r="H90" s="1379"/>
      <c r="I90" s="1380">
        <v>0</v>
      </c>
      <c r="J90" s="1380">
        <f>6315000-2528100-3749850-37050</f>
        <v>0</v>
      </c>
      <c r="K90" s="1380">
        <f>7252500+2528100+3749850+37050-9452687</f>
        <v>4114813</v>
      </c>
      <c r="L90" s="1380">
        <v>5066676</v>
      </c>
      <c r="M90" s="1366">
        <f>+E90+I90+J90+K90+L90+N90</f>
        <v>9376546</v>
      </c>
      <c r="N90" s="706">
        <v>195057</v>
      </c>
      <c r="O90" s="706">
        <v>3933596</v>
      </c>
      <c r="P90" s="706">
        <v>4353582</v>
      </c>
      <c r="Q90" s="706">
        <v>0</v>
      </c>
      <c r="R90" s="706">
        <v>0</v>
      </c>
      <c r="S90" s="592">
        <v>0</v>
      </c>
      <c r="T90" s="592">
        <v>0</v>
      </c>
      <c r="U90" s="592"/>
      <c r="V90" s="592"/>
      <c r="W90" s="592"/>
      <c r="X90" s="3215"/>
      <c r="Y90" s="3258"/>
    </row>
    <row r="91" spans="1:28" s="1347" customFormat="1" ht="17.25" customHeight="1">
      <c r="A91" s="3207" t="s">
        <v>83</v>
      </c>
      <c r="B91" s="695" t="s">
        <v>383</v>
      </c>
      <c r="C91" s="696" t="s">
        <v>130</v>
      </c>
      <c r="D91" s="1525"/>
      <c r="E91" s="1525"/>
      <c r="F91" s="1526"/>
      <c r="G91" s="1526"/>
      <c r="H91" s="1527"/>
      <c r="I91" s="1528"/>
      <c r="J91" s="1528"/>
      <c r="K91" s="1528"/>
      <c r="L91" s="1528"/>
      <c r="M91" s="1525"/>
      <c r="N91" s="1525"/>
      <c r="O91" s="1525"/>
      <c r="P91" s="1525"/>
      <c r="Q91" s="1525"/>
      <c r="R91" s="1525"/>
      <c r="S91" s="1525"/>
      <c r="T91" s="1525"/>
      <c r="U91" s="1525"/>
      <c r="V91" s="1525"/>
      <c r="W91" s="1525"/>
      <c r="X91" s="1525"/>
      <c r="Y91" s="3255" t="s">
        <v>554</v>
      </c>
      <c r="Z91" s="1386"/>
      <c r="AA91" s="1387"/>
      <c r="AB91" s="1354"/>
    </row>
    <row r="92" spans="1:28" s="1347" customFormat="1" ht="15.75" customHeight="1">
      <c r="A92" s="3208"/>
      <c r="B92" s="374" t="s">
        <v>22</v>
      </c>
      <c r="C92" s="1964"/>
      <c r="D92" s="1891">
        <f>+D103+D93</f>
        <v>216690657</v>
      </c>
      <c r="E92" s="1891">
        <f t="shared" ref="E92:T92" si="91">+E103+E93</f>
        <v>0</v>
      </c>
      <c r="F92" s="1891">
        <f t="shared" si="91"/>
        <v>0</v>
      </c>
      <c r="G92" s="1891">
        <f t="shared" si="91"/>
        <v>0</v>
      </c>
      <c r="H92" s="1891">
        <f t="shared" si="91"/>
        <v>0</v>
      </c>
      <c r="I92" s="1891">
        <f t="shared" si="91"/>
        <v>0</v>
      </c>
      <c r="J92" s="1891">
        <f t="shared" si="91"/>
        <v>0</v>
      </c>
      <c r="K92" s="1891">
        <f t="shared" si="91"/>
        <v>0</v>
      </c>
      <c r="L92" s="1891">
        <f t="shared" si="91"/>
        <v>0</v>
      </c>
      <c r="M92" s="1891">
        <f t="shared" si="91"/>
        <v>0</v>
      </c>
      <c r="N92" s="1891">
        <f t="shared" si="91"/>
        <v>0</v>
      </c>
      <c r="O92" s="1891">
        <f t="shared" si="91"/>
        <v>95653</v>
      </c>
      <c r="P92" s="1891">
        <f t="shared" si="91"/>
        <v>28054293</v>
      </c>
      <c r="Q92" s="1891">
        <f t="shared" si="91"/>
        <v>27957116</v>
      </c>
      <c r="R92" s="1891">
        <f t="shared" si="91"/>
        <v>28102933</v>
      </c>
      <c r="S92" s="1891">
        <f t="shared" si="91"/>
        <v>26642259</v>
      </c>
      <c r="T92" s="1891">
        <f t="shared" si="91"/>
        <v>26998728</v>
      </c>
      <c r="U92" s="1891">
        <f t="shared" ref="U92:W92" si="92">+U103+U93</f>
        <v>27362330</v>
      </c>
      <c r="V92" s="1891">
        <f t="shared" si="92"/>
        <v>25549534</v>
      </c>
      <c r="W92" s="1891">
        <f t="shared" si="92"/>
        <v>25927811</v>
      </c>
      <c r="X92" s="1983">
        <f>+X103+X93</f>
        <v>212648123</v>
      </c>
      <c r="Y92" s="3225"/>
      <c r="Z92" s="1322"/>
      <c r="AA92" s="1387"/>
    </row>
    <row r="93" spans="1:28" s="1331" customFormat="1" ht="15.75" customHeight="1">
      <c r="A93" s="3208"/>
      <c r="B93" s="698" t="s">
        <v>36</v>
      </c>
      <c r="C93" s="3246" t="s">
        <v>366</v>
      </c>
      <c r="D93" s="1984">
        <f>D94+D100</f>
        <v>35697399</v>
      </c>
      <c r="E93" s="1984">
        <f t="shared" ref="E93:T93" si="93">E94+E100</f>
        <v>0</v>
      </c>
      <c r="F93" s="1984">
        <f t="shared" si="93"/>
        <v>0</v>
      </c>
      <c r="G93" s="1984">
        <f t="shared" si="93"/>
        <v>0</v>
      </c>
      <c r="H93" s="1984">
        <f t="shared" si="93"/>
        <v>0</v>
      </c>
      <c r="I93" s="1984">
        <f t="shared" si="93"/>
        <v>0</v>
      </c>
      <c r="J93" s="1984">
        <f t="shared" si="93"/>
        <v>0</v>
      </c>
      <c r="K93" s="1984">
        <f t="shared" si="93"/>
        <v>0</v>
      </c>
      <c r="L93" s="1984">
        <f t="shared" si="93"/>
        <v>0</v>
      </c>
      <c r="M93" s="1984">
        <f t="shared" si="93"/>
        <v>0</v>
      </c>
      <c r="N93" s="1984">
        <f t="shared" si="93"/>
        <v>0</v>
      </c>
      <c r="O93" s="1984">
        <f>O94+O100</f>
        <v>12575</v>
      </c>
      <c r="P93" s="1984">
        <f t="shared" si="93"/>
        <v>4810882</v>
      </c>
      <c r="Q93" s="1984">
        <f t="shared" si="93"/>
        <v>4783319</v>
      </c>
      <c r="R93" s="1984">
        <f t="shared" si="93"/>
        <v>4886255</v>
      </c>
      <c r="S93" s="1984">
        <f t="shared" si="93"/>
        <v>4932265</v>
      </c>
      <c r="T93" s="1984">
        <f t="shared" si="93"/>
        <v>5021500</v>
      </c>
      <c r="U93" s="1984">
        <f t="shared" ref="U93:W93" si="94">U94+U100</f>
        <v>5112520</v>
      </c>
      <c r="V93" s="1984">
        <f t="shared" si="94"/>
        <v>3021693</v>
      </c>
      <c r="W93" s="1984">
        <f t="shared" si="94"/>
        <v>3116390</v>
      </c>
      <c r="X93" s="1985">
        <f t="shared" ref="X93" si="95">X94+X100</f>
        <v>31737943</v>
      </c>
      <c r="Y93" s="3225"/>
      <c r="Z93" s="1414"/>
      <c r="AA93" s="1395"/>
    </row>
    <row r="94" spans="1:28" s="1347" customFormat="1">
      <c r="A94" s="3208"/>
      <c r="B94" s="699" t="s">
        <v>24</v>
      </c>
      <c r="C94" s="3193"/>
      <c r="D94" s="1986">
        <f t="shared" ref="D94:D100" si="96">M94+O94+P94+Q94+R94+S94+T94+U94+V94+W94</f>
        <v>31750518</v>
      </c>
      <c r="E94" s="1987">
        <f t="shared" ref="E94:T94" si="97">E96+E97+E98+E99</f>
        <v>0</v>
      </c>
      <c r="F94" s="1987">
        <f t="shared" si="97"/>
        <v>0</v>
      </c>
      <c r="G94" s="1987">
        <f t="shared" si="97"/>
        <v>0</v>
      </c>
      <c r="H94" s="1987">
        <f t="shared" si="97"/>
        <v>0</v>
      </c>
      <c r="I94" s="1987">
        <f t="shared" si="97"/>
        <v>0</v>
      </c>
      <c r="J94" s="1987">
        <f t="shared" si="97"/>
        <v>0</v>
      </c>
      <c r="K94" s="1987">
        <f t="shared" si="97"/>
        <v>0</v>
      </c>
      <c r="L94" s="1987">
        <f t="shared" si="97"/>
        <v>0</v>
      </c>
      <c r="M94" s="1973">
        <f>+E94+I94+J94+K94+L94+N94</f>
        <v>0</v>
      </c>
      <c r="N94" s="1987">
        <f t="shared" si="97"/>
        <v>0</v>
      </c>
      <c r="O94" s="1987">
        <f t="shared" si="97"/>
        <v>12575</v>
      </c>
      <c r="P94" s="1987">
        <f t="shared" si="97"/>
        <v>4204424</v>
      </c>
      <c r="Q94" s="1987">
        <f t="shared" si="97"/>
        <v>4307355</v>
      </c>
      <c r="R94" s="1987">
        <f t="shared" si="97"/>
        <v>4374282</v>
      </c>
      <c r="S94" s="1987">
        <f t="shared" si="97"/>
        <v>4461767</v>
      </c>
      <c r="T94" s="1987">
        <f t="shared" si="97"/>
        <v>4551003</v>
      </c>
      <c r="U94" s="1987">
        <f t="shared" ref="U94:W94" si="98">U96+U97+U98+U99</f>
        <v>4642023</v>
      </c>
      <c r="V94" s="1987">
        <f t="shared" si="98"/>
        <v>2551196</v>
      </c>
      <c r="W94" s="1987">
        <f t="shared" si="98"/>
        <v>2645893</v>
      </c>
      <c r="X94" s="1988">
        <f>X96+X97+X98+X99</f>
        <v>31737943</v>
      </c>
      <c r="Y94" s="3225"/>
      <c r="Z94" s="1414"/>
      <c r="AA94" s="1387"/>
    </row>
    <row r="95" spans="1:28" s="1347" customFormat="1" hidden="1">
      <c r="A95" s="3208"/>
      <c r="B95" s="2115" t="s">
        <v>188</v>
      </c>
      <c r="C95" s="3193"/>
      <c r="D95" s="1986">
        <f t="shared" si="96"/>
        <v>0</v>
      </c>
      <c r="E95" s="1989"/>
      <c r="F95" s="1989"/>
      <c r="G95" s="1989"/>
      <c r="H95" s="1989"/>
      <c r="I95" s="1989"/>
      <c r="J95" s="1989"/>
      <c r="K95" s="1989"/>
      <c r="L95" s="1989"/>
      <c r="M95" s="1989"/>
      <c r="N95" s="1989"/>
      <c r="O95" s="1989"/>
      <c r="P95" s="1989"/>
      <c r="Q95" s="1989"/>
      <c r="R95" s="1989"/>
      <c r="S95" s="1989"/>
      <c r="T95" s="1989"/>
      <c r="U95" s="1989"/>
      <c r="V95" s="1989"/>
      <c r="W95" s="1989"/>
      <c r="X95" s="1990"/>
      <c r="Y95" s="3225"/>
      <c r="Z95" s="1322"/>
      <c r="AA95" s="1387"/>
    </row>
    <row r="96" spans="1:28" s="1347" customFormat="1" hidden="1">
      <c r="A96" s="3208"/>
      <c r="B96" s="2124" t="s">
        <v>189</v>
      </c>
      <c r="C96" s="3193"/>
      <c r="D96" s="1986">
        <f t="shared" si="96"/>
        <v>1261405</v>
      </c>
      <c r="E96" s="1991"/>
      <c r="F96" s="1991"/>
      <c r="G96" s="1991"/>
      <c r="H96" s="1991"/>
      <c r="I96" s="1991"/>
      <c r="J96" s="1991"/>
      <c r="K96" s="1991"/>
      <c r="L96" s="1991"/>
      <c r="M96" s="1991"/>
      <c r="N96" s="1991"/>
      <c r="O96" s="1991">
        <v>0</v>
      </c>
      <c r="P96" s="1991">
        <f>350438+910967</f>
        <v>1261405</v>
      </c>
      <c r="Q96" s="1991"/>
      <c r="R96" s="1991"/>
      <c r="S96" s="1991"/>
      <c r="T96" s="1991"/>
      <c r="U96" s="1991"/>
      <c r="V96" s="1991"/>
      <c r="W96" s="1991"/>
      <c r="X96" s="1992">
        <f>P96+Q96+R96+S96+T96</f>
        <v>1261405</v>
      </c>
      <c r="Y96" s="3225"/>
      <c r="Z96" s="1322"/>
      <c r="AA96" s="1387"/>
    </row>
    <row r="97" spans="1:30" s="1347" customFormat="1" hidden="1">
      <c r="A97" s="3208"/>
      <c r="B97" s="2125" t="s">
        <v>190</v>
      </c>
      <c r="C97" s="3193"/>
      <c r="D97" s="1986">
        <f t="shared" si="96"/>
        <v>0</v>
      </c>
      <c r="E97" s="1993"/>
      <c r="F97" s="1993"/>
      <c r="G97" s="1993"/>
      <c r="H97" s="1993"/>
      <c r="I97" s="1993"/>
      <c r="J97" s="1993"/>
      <c r="K97" s="1993"/>
      <c r="L97" s="1993"/>
      <c r="M97" s="1993"/>
      <c r="N97" s="1993"/>
      <c r="O97" s="1993"/>
      <c r="P97" s="1993"/>
      <c r="Q97" s="1993"/>
      <c r="R97" s="1993"/>
      <c r="S97" s="1993"/>
      <c r="T97" s="1993"/>
      <c r="U97" s="1993"/>
      <c r="V97" s="1993"/>
      <c r="W97" s="1993"/>
      <c r="X97" s="1992">
        <f>P97+Q97+R97+S97+T97</f>
        <v>0</v>
      </c>
      <c r="Y97" s="3225"/>
      <c r="Z97" s="1322"/>
      <c r="AA97" s="1387"/>
    </row>
    <row r="98" spans="1:30" s="1347" customFormat="1" hidden="1">
      <c r="A98" s="3208"/>
      <c r="B98" s="2126" t="s">
        <v>191</v>
      </c>
      <c r="C98" s="3193"/>
      <c r="D98" s="1986">
        <f t="shared" si="96"/>
        <v>30489113</v>
      </c>
      <c r="E98" s="1994"/>
      <c r="F98" s="1994"/>
      <c r="G98" s="1994"/>
      <c r="H98" s="1994"/>
      <c r="I98" s="1994"/>
      <c r="J98" s="1994"/>
      <c r="K98" s="1994"/>
      <c r="L98" s="1994"/>
      <c r="M98" s="1994">
        <v>0</v>
      </c>
      <c r="N98" s="1994">
        <v>0</v>
      </c>
      <c r="O98" s="1994">
        <f>25145+6274-18844</f>
        <v>12575</v>
      </c>
      <c r="P98" s="1415">
        <f>851713+1276394+93851+1982466-350438-910967</f>
        <v>2943019</v>
      </c>
      <c r="Q98" s="1415">
        <f>868747+1301922+95728+2022114+18844</f>
        <v>4307355</v>
      </c>
      <c r="R98" s="1416">
        <f>886122+1327960+97643+2062557</f>
        <v>4374282</v>
      </c>
      <c r="S98" s="1416">
        <f>903845+1354520+99595+2103807</f>
        <v>4461767</v>
      </c>
      <c r="T98" s="1416">
        <f>921922+1381610+101587+2145884</f>
        <v>4551003</v>
      </c>
      <c r="U98" s="1416">
        <v>4642023</v>
      </c>
      <c r="V98" s="1416">
        <v>2551196</v>
      </c>
      <c r="W98" s="1416">
        <v>2645893</v>
      </c>
      <c r="X98" s="1995">
        <f>P98+Q98+R98+S98+T98+U98+V98+W98</f>
        <v>30476538</v>
      </c>
      <c r="Y98" s="3225"/>
      <c r="Z98" s="1322"/>
      <c r="AA98" s="1387"/>
    </row>
    <row r="99" spans="1:30" s="1347" customFormat="1" hidden="1">
      <c r="A99" s="3208"/>
      <c r="B99" s="2127" t="s">
        <v>192</v>
      </c>
      <c r="C99" s="3193"/>
      <c r="D99" s="1986">
        <f t="shared" si="96"/>
        <v>0</v>
      </c>
      <c r="E99" s="1996"/>
      <c r="F99" s="1996"/>
      <c r="G99" s="1996"/>
      <c r="H99" s="1996"/>
      <c r="I99" s="1996"/>
      <c r="J99" s="1996"/>
      <c r="K99" s="1996"/>
      <c r="L99" s="1996"/>
      <c r="M99" s="1996"/>
      <c r="N99" s="1996"/>
      <c r="O99" s="1996"/>
      <c r="P99" s="1996"/>
      <c r="Q99" s="1996"/>
      <c r="R99" s="1996"/>
      <c r="S99" s="1996"/>
      <c r="T99" s="1996"/>
      <c r="U99" s="1996"/>
      <c r="V99" s="1996"/>
      <c r="W99" s="1996"/>
      <c r="X99" s="1992">
        <f>P99+Q99+R99+S99+T99</f>
        <v>0</v>
      </c>
      <c r="Y99" s="3225"/>
      <c r="Z99" s="1322"/>
      <c r="AA99" s="1387"/>
    </row>
    <row r="100" spans="1:30" s="1347" customFormat="1">
      <c r="A100" s="3208"/>
      <c r="B100" s="2128" t="s">
        <v>45</v>
      </c>
      <c r="C100" s="3193"/>
      <c r="D100" s="1986">
        <f t="shared" si="96"/>
        <v>3946881</v>
      </c>
      <c r="E100" s="1987">
        <f t="shared" ref="E100:W100" si="99">E101+E102</f>
        <v>0</v>
      </c>
      <c r="F100" s="1987">
        <f t="shared" si="99"/>
        <v>0</v>
      </c>
      <c r="G100" s="1987">
        <f t="shared" si="99"/>
        <v>0</v>
      </c>
      <c r="H100" s="1987">
        <f t="shared" si="99"/>
        <v>0</v>
      </c>
      <c r="I100" s="1987">
        <f t="shared" si="99"/>
        <v>0</v>
      </c>
      <c r="J100" s="1987">
        <f t="shared" si="99"/>
        <v>0</v>
      </c>
      <c r="K100" s="1987">
        <f t="shared" si="99"/>
        <v>0</v>
      </c>
      <c r="L100" s="1987">
        <f t="shared" si="99"/>
        <v>0</v>
      </c>
      <c r="M100" s="1973">
        <f>+E100+I100+J100+K100+L100+N100</f>
        <v>0</v>
      </c>
      <c r="N100" s="1987">
        <f t="shared" si="99"/>
        <v>0</v>
      </c>
      <c r="O100" s="1987">
        <f t="shared" si="99"/>
        <v>0</v>
      </c>
      <c r="P100" s="1987">
        <f t="shared" si="99"/>
        <v>606458</v>
      </c>
      <c r="Q100" s="1987">
        <f t="shared" si="99"/>
        <v>475964</v>
      </c>
      <c r="R100" s="1987">
        <f t="shared" si="99"/>
        <v>511973</v>
      </c>
      <c r="S100" s="1987">
        <f t="shared" si="99"/>
        <v>470498</v>
      </c>
      <c r="T100" s="1987">
        <f t="shared" si="99"/>
        <v>470497</v>
      </c>
      <c r="U100" s="1987">
        <f t="shared" si="99"/>
        <v>470497</v>
      </c>
      <c r="V100" s="1987">
        <f t="shared" si="99"/>
        <v>470497</v>
      </c>
      <c r="W100" s="1987">
        <f t="shared" si="99"/>
        <v>470497</v>
      </c>
      <c r="X100" s="1997">
        <f t="shared" ref="X100" si="100">X101+X102</f>
        <v>0</v>
      </c>
      <c r="Y100" s="3225"/>
      <c r="Z100" s="1322"/>
      <c r="AA100" s="1387"/>
    </row>
    <row r="101" spans="1:30" s="1347" customFormat="1" ht="12.75" hidden="1" customHeight="1">
      <c r="A101" s="3208"/>
      <c r="B101" s="2129" t="s">
        <v>358</v>
      </c>
      <c r="C101" s="3193"/>
      <c r="D101" s="1998">
        <f>M101+N101+O101+P101+Q101+R101+S101+T101+U101+V101+W101</f>
        <v>575333</v>
      </c>
      <c r="E101" s="1998"/>
      <c r="F101" s="1998"/>
      <c r="G101" s="1998"/>
      <c r="H101" s="1998"/>
      <c r="I101" s="1998"/>
      <c r="J101" s="1998"/>
      <c r="K101" s="1998"/>
      <c r="L101" s="1998"/>
      <c r="M101" s="1998"/>
      <c r="N101" s="1998"/>
      <c r="O101" s="2130">
        <f>42324-42324</f>
        <v>0</v>
      </c>
      <c r="P101" s="2131">
        <f>70707+28533</f>
        <v>99240</v>
      </c>
      <c r="Q101" s="2131">
        <f>70632+15201</f>
        <v>85833</v>
      </c>
      <c r="R101" s="1417">
        <v>70167</v>
      </c>
      <c r="S101" s="1417">
        <v>64019</v>
      </c>
      <c r="T101" s="1417">
        <v>64019</v>
      </c>
      <c r="U101" s="1417">
        <v>64019</v>
      </c>
      <c r="V101" s="1417">
        <v>64018</v>
      </c>
      <c r="W101" s="1417">
        <v>64018</v>
      </c>
      <c r="X101" s="1999">
        <v>0</v>
      </c>
      <c r="Y101" s="3225"/>
      <c r="Z101" s="1322"/>
      <c r="AA101" s="1387"/>
    </row>
    <row r="102" spans="1:30" s="1347" customFormat="1" ht="12.75" hidden="1" customHeight="1">
      <c r="A102" s="3208"/>
      <c r="B102" s="2129" t="s">
        <v>359</v>
      </c>
      <c r="C102" s="3193"/>
      <c r="D102" s="1998">
        <f>M102+N102+O102+P102+Q102+R102+S102+T102+U102+V102+W102</f>
        <v>3371548</v>
      </c>
      <c r="E102" s="1998"/>
      <c r="F102" s="1998"/>
      <c r="G102" s="1998"/>
      <c r="H102" s="1998"/>
      <c r="I102" s="1998"/>
      <c r="J102" s="1998"/>
      <c r="K102" s="1998"/>
      <c r="L102" s="1998"/>
      <c r="M102" s="1998"/>
      <c r="N102" s="1998"/>
      <c r="O102" s="2130">
        <f>88661-88661</f>
        <v>0</v>
      </c>
      <c r="P102" s="2131">
        <f>303188+204030</f>
        <v>507218</v>
      </c>
      <c r="Q102" s="2131">
        <f>390656-525</f>
        <v>390131</v>
      </c>
      <c r="R102" s="1417">
        <f>441506+300</f>
        <v>441806</v>
      </c>
      <c r="S102" s="1417">
        <v>406479</v>
      </c>
      <c r="T102" s="1417">
        <v>406478</v>
      </c>
      <c r="U102" s="1417">
        <v>406478</v>
      </c>
      <c r="V102" s="1417">
        <v>406479</v>
      </c>
      <c r="W102" s="1417">
        <v>406479</v>
      </c>
      <c r="X102" s="1999">
        <v>0</v>
      </c>
      <c r="Y102" s="3225"/>
      <c r="Z102" s="1322"/>
      <c r="AA102" s="1387"/>
    </row>
    <row r="103" spans="1:30" s="1347" customFormat="1">
      <c r="A103" s="3208"/>
      <c r="B103" s="518" t="s">
        <v>30</v>
      </c>
      <c r="C103" s="3193"/>
      <c r="D103" s="1976">
        <f>+D104</f>
        <v>180993258</v>
      </c>
      <c r="E103" s="1976">
        <f t="shared" ref="E103:X103" si="101">+E104</f>
        <v>0</v>
      </c>
      <c r="F103" s="1970">
        <f t="shared" si="101"/>
        <v>0</v>
      </c>
      <c r="G103" s="1970">
        <f t="shared" si="101"/>
        <v>0</v>
      </c>
      <c r="H103" s="1970">
        <f t="shared" si="101"/>
        <v>0</v>
      </c>
      <c r="I103" s="1971">
        <f t="shared" si="101"/>
        <v>0</v>
      </c>
      <c r="J103" s="1971">
        <f t="shared" si="101"/>
        <v>0</v>
      </c>
      <c r="K103" s="1971">
        <f>+K104</f>
        <v>0</v>
      </c>
      <c r="L103" s="1971">
        <f t="shared" si="101"/>
        <v>0</v>
      </c>
      <c r="M103" s="1976">
        <f t="shared" si="101"/>
        <v>0</v>
      </c>
      <c r="N103" s="1976">
        <f t="shared" si="101"/>
        <v>0</v>
      </c>
      <c r="O103" s="1976">
        <f t="shared" si="101"/>
        <v>83078</v>
      </c>
      <c r="P103" s="1976">
        <f>+P104</f>
        <v>23243411</v>
      </c>
      <c r="Q103" s="1976">
        <f>+Q104</f>
        <v>23173797</v>
      </c>
      <c r="R103" s="1888">
        <f t="shared" si="101"/>
        <v>23216678</v>
      </c>
      <c r="S103" s="1888">
        <f t="shared" si="101"/>
        <v>21709994</v>
      </c>
      <c r="T103" s="1888">
        <f t="shared" si="101"/>
        <v>21977228</v>
      </c>
      <c r="U103" s="1888">
        <f t="shared" si="101"/>
        <v>22249810</v>
      </c>
      <c r="V103" s="1888">
        <f t="shared" si="101"/>
        <v>22527841</v>
      </c>
      <c r="W103" s="1888">
        <f t="shared" si="101"/>
        <v>22811421</v>
      </c>
      <c r="X103" s="1990">
        <f t="shared" si="101"/>
        <v>180910180</v>
      </c>
      <c r="Y103" s="3225"/>
      <c r="Z103" s="1418"/>
      <c r="AA103" s="1387"/>
    </row>
    <row r="104" spans="1:30" s="2667" customFormat="1" ht="13.5" thickBot="1">
      <c r="A104" s="3208"/>
      <c r="B104" s="2115" t="s">
        <v>33</v>
      </c>
      <c r="C104" s="3189"/>
      <c r="D104" s="1986">
        <f>M104+O104+P104+Q104+R104+S104+T104+U104+V104+W104</f>
        <v>180993258</v>
      </c>
      <c r="E104" s="1887">
        <f t="shared" ref="E104:X104" si="102">SUM(E106:E111)</f>
        <v>0</v>
      </c>
      <c r="F104" s="1887">
        <f t="shared" si="102"/>
        <v>0</v>
      </c>
      <c r="G104" s="1887">
        <f t="shared" si="102"/>
        <v>0</v>
      </c>
      <c r="H104" s="1887">
        <f t="shared" si="102"/>
        <v>0</v>
      </c>
      <c r="I104" s="1887">
        <f t="shared" si="102"/>
        <v>0</v>
      </c>
      <c r="J104" s="1887">
        <f t="shared" si="102"/>
        <v>0</v>
      </c>
      <c r="K104" s="1887">
        <f t="shared" si="102"/>
        <v>0</v>
      </c>
      <c r="L104" s="1887">
        <f t="shared" si="102"/>
        <v>0</v>
      </c>
      <c r="M104" s="1973">
        <f>+E104+I104+J104+K104+L104+N104</f>
        <v>0</v>
      </c>
      <c r="N104" s="1887">
        <f t="shared" si="102"/>
        <v>0</v>
      </c>
      <c r="O104" s="1887">
        <f t="shared" si="102"/>
        <v>83078</v>
      </c>
      <c r="P104" s="1887">
        <f t="shared" si="102"/>
        <v>23243411</v>
      </c>
      <c r="Q104" s="1887">
        <f t="shared" si="102"/>
        <v>23173797</v>
      </c>
      <c r="R104" s="1887">
        <f t="shared" si="102"/>
        <v>23216678</v>
      </c>
      <c r="S104" s="1887">
        <f t="shared" si="102"/>
        <v>21709994</v>
      </c>
      <c r="T104" s="1887">
        <f t="shared" si="102"/>
        <v>21977228</v>
      </c>
      <c r="U104" s="1887">
        <f t="shared" ref="U104:W104" si="103">SUM(U106:U111)</f>
        <v>22249810</v>
      </c>
      <c r="V104" s="1887">
        <f t="shared" si="103"/>
        <v>22527841</v>
      </c>
      <c r="W104" s="1887">
        <f t="shared" si="103"/>
        <v>22811421</v>
      </c>
      <c r="X104" s="1988">
        <f t="shared" si="102"/>
        <v>180910180</v>
      </c>
      <c r="Y104" s="3225"/>
      <c r="Z104" s="1390"/>
      <c r="AA104" s="1387"/>
      <c r="AD104" s="1396"/>
    </row>
    <row r="105" spans="1:30" s="2667" customFormat="1" hidden="1">
      <c r="A105" s="3208"/>
      <c r="B105" s="2115" t="s">
        <v>188</v>
      </c>
      <c r="C105" s="2000"/>
      <c r="D105" s="1887"/>
      <c r="E105" s="1973"/>
      <c r="F105" s="2001"/>
      <c r="G105" s="2001"/>
      <c r="H105" s="2001"/>
      <c r="I105" s="1975"/>
      <c r="J105" s="1975"/>
      <c r="K105" s="1975"/>
      <c r="L105" s="1975"/>
      <c r="M105" s="1973"/>
      <c r="N105" s="1973"/>
      <c r="O105" s="1973"/>
      <c r="P105" s="2002"/>
      <c r="Q105" s="2002"/>
      <c r="R105" s="2002"/>
      <c r="S105" s="2002"/>
      <c r="T105" s="2002"/>
      <c r="U105" s="2002"/>
      <c r="V105" s="2002"/>
      <c r="W105" s="2002"/>
      <c r="X105" s="1536"/>
      <c r="Y105" s="3225"/>
      <c r="Z105" s="1390"/>
      <c r="AA105" s="1387"/>
      <c r="AD105" s="711"/>
    </row>
    <row r="106" spans="1:30" s="2667" customFormat="1" hidden="1">
      <c r="A106" s="3208"/>
      <c r="B106" s="2124" t="s">
        <v>189</v>
      </c>
      <c r="C106" s="1420"/>
      <c r="D106" s="1421">
        <f t="shared" ref="D106:D111" si="104">+E106+I106+J106+K106+L106+N106+O106+P106+Q106+R106+S106+T106+U106+V106+W106</f>
        <v>21512484</v>
      </c>
      <c r="E106" s="1422"/>
      <c r="F106" s="1422"/>
      <c r="G106" s="1422"/>
      <c r="H106" s="1422"/>
      <c r="I106" s="1422"/>
      <c r="J106" s="1422"/>
      <c r="K106" s="1422"/>
      <c r="L106" s="1422"/>
      <c r="M106" s="1422"/>
      <c r="N106" s="1422"/>
      <c r="O106" s="1423">
        <f>140250-133832</f>
        <v>6418</v>
      </c>
      <c r="P106" s="1423">
        <f>2407721+10000000-10000000+1253504+1281625+2511971</f>
        <v>7454821</v>
      </c>
      <c r="Q106" s="1423">
        <f>2407721+10000000-9866168</f>
        <v>2541553</v>
      </c>
      <c r="R106" s="1423">
        <v>2407721</v>
      </c>
      <c r="S106" s="1423">
        <v>1820395</v>
      </c>
      <c r="T106" s="1423">
        <v>1820395</v>
      </c>
      <c r="U106" s="1423">
        <v>1820395</v>
      </c>
      <c r="V106" s="1423">
        <v>1820395</v>
      </c>
      <c r="W106" s="1423">
        <v>1820391</v>
      </c>
      <c r="X106" s="1424">
        <f t="shared" ref="X106:X111" si="105">P106+Q106+R106+S106+T106+U106+V106+W106</f>
        <v>21506066</v>
      </c>
      <c r="Y106" s="3225"/>
      <c r="Z106" s="1322"/>
      <c r="AA106" s="1387"/>
      <c r="AD106" s="711"/>
    </row>
    <row r="107" spans="1:30" s="2667" customFormat="1" hidden="1">
      <c r="A107" s="3208"/>
      <c r="B107" s="2125" t="s">
        <v>190</v>
      </c>
      <c r="C107" s="2003"/>
      <c r="D107" s="1421">
        <f t="shared" si="104"/>
        <v>17103503</v>
      </c>
      <c r="E107" s="1993"/>
      <c r="F107" s="1993"/>
      <c r="G107" s="1993"/>
      <c r="H107" s="1993"/>
      <c r="I107" s="1993"/>
      <c r="J107" s="1993"/>
      <c r="K107" s="1993"/>
      <c r="L107" s="1993"/>
      <c r="M107" s="1993"/>
      <c r="N107" s="1993"/>
      <c r="O107" s="1993">
        <f>182812-177406</f>
        <v>5406</v>
      </c>
      <c r="P107" s="1993">
        <v>2618000</v>
      </c>
      <c r="Q107" s="1993">
        <f>2618000+177406</f>
        <v>2795406</v>
      </c>
      <c r="R107" s="1993">
        <v>2618000</v>
      </c>
      <c r="S107" s="1993">
        <v>1813339</v>
      </c>
      <c r="T107" s="1993">
        <v>1813339</v>
      </c>
      <c r="U107" s="1993">
        <v>1813339</v>
      </c>
      <c r="V107" s="1993">
        <v>1813339</v>
      </c>
      <c r="W107" s="1993">
        <v>1813335</v>
      </c>
      <c r="X107" s="1424">
        <f t="shared" si="105"/>
        <v>17098097</v>
      </c>
      <c r="Y107" s="3225"/>
      <c r="Z107" s="1322"/>
      <c r="AA107" s="1387"/>
      <c r="AD107" s="711"/>
    </row>
    <row r="108" spans="1:30" s="1397" customFormat="1" hidden="1">
      <c r="A108" s="3208"/>
      <c r="B108" s="2126" t="s">
        <v>191</v>
      </c>
      <c r="C108" s="2004"/>
      <c r="D108" s="1994">
        <f t="shared" si="104"/>
        <v>103199920</v>
      </c>
      <c r="E108" s="1994"/>
      <c r="F108" s="1994"/>
      <c r="G108" s="1994"/>
      <c r="H108" s="1994"/>
      <c r="I108" s="1994"/>
      <c r="J108" s="1994"/>
      <c r="K108" s="1994"/>
      <c r="L108" s="1994"/>
      <c r="M108" s="1994"/>
      <c r="N108" s="1994"/>
      <c r="O108" s="1426">
        <f>142489+35554-106789</f>
        <v>71254</v>
      </c>
      <c r="P108" s="1427">
        <f>4826373+7232899+531823-1253504-1281625-2511971</f>
        <v>7543995</v>
      </c>
      <c r="Q108" s="1427">
        <f>4922901+7377557+542459+106789</f>
        <v>12949706</v>
      </c>
      <c r="R108" s="1427">
        <f>5021358+7525108+553309</f>
        <v>13099775</v>
      </c>
      <c r="S108" s="1427">
        <f>5121786+7675610+564375</f>
        <v>13361771</v>
      </c>
      <c r="T108" s="1427">
        <f>5224221+7829122+575662</f>
        <v>13629005</v>
      </c>
      <c r="U108" s="1427">
        <v>13901587</v>
      </c>
      <c r="V108" s="1427">
        <v>14179618</v>
      </c>
      <c r="W108" s="1427">
        <v>14463209</v>
      </c>
      <c r="X108" s="1995">
        <f t="shared" si="105"/>
        <v>103128666</v>
      </c>
      <c r="Y108" s="3225"/>
      <c r="Z108" s="1322"/>
      <c r="AA108" s="1387"/>
      <c r="AD108" s="1398"/>
    </row>
    <row r="109" spans="1:30" s="1397" customFormat="1" hidden="1">
      <c r="A109" s="3208"/>
      <c r="B109" s="2132" t="s">
        <v>192</v>
      </c>
      <c r="C109" s="2005"/>
      <c r="D109" s="1421">
        <f t="shared" si="104"/>
        <v>16811692</v>
      </c>
      <c r="E109" s="1996"/>
      <c r="F109" s="1996"/>
      <c r="G109" s="1996"/>
      <c r="H109" s="1996"/>
      <c r="I109" s="1996"/>
      <c r="J109" s="1996"/>
      <c r="K109" s="1996"/>
      <c r="L109" s="1996"/>
      <c r="M109" s="1996">
        <f>+E109+I109+J109+K109+L109</f>
        <v>0</v>
      </c>
      <c r="N109" s="1996"/>
      <c r="O109" s="1996"/>
      <c r="P109" s="1996">
        <v>2190000</v>
      </c>
      <c r="Q109" s="1996">
        <v>2190000</v>
      </c>
      <c r="R109" s="1996">
        <v>2190000</v>
      </c>
      <c r="S109" s="1996">
        <v>2048339</v>
      </c>
      <c r="T109" s="1996">
        <v>2048339</v>
      </c>
      <c r="U109" s="1996">
        <v>2048339</v>
      </c>
      <c r="V109" s="1996">
        <v>2048339</v>
      </c>
      <c r="W109" s="1996">
        <v>2048336</v>
      </c>
      <c r="X109" s="1424">
        <f t="shared" si="105"/>
        <v>16811692</v>
      </c>
      <c r="Y109" s="3225"/>
      <c r="Z109" s="1322"/>
      <c r="AA109" s="1387"/>
      <c r="AD109" s="1398"/>
    </row>
    <row r="110" spans="1:30" s="1397" customFormat="1" hidden="1">
      <c r="A110" s="3208"/>
      <c r="B110" s="2129" t="s">
        <v>403</v>
      </c>
      <c r="C110" s="2006"/>
      <c r="D110" s="1421">
        <f t="shared" si="104"/>
        <v>3260222</v>
      </c>
      <c r="E110" s="1998"/>
      <c r="F110" s="1998"/>
      <c r="G110" s="1998"/>
      <c r="H110" s="1998"/>
      <c r="I110" s="1998"/>
      <c r="J110" s="1998"/>
      <c r="K110" s="1998"/>
      <c r="L110" s="1998"/>
      <c r="M110" s="1998"/>
      <c r="N110" s="1998"/>
      <c r="O110" s="2133">
        <f>239836-239836</f>
        <v>0</v>
      </c>
      <c r="P110" s="1429">
        <f>400673+161686</f>
        <v>562359</v>
      </c>
      <c r="Q110" s="2133">
        <f>400248+86140</f>
        <v>486388</v>
      </c>
      <c r="R110" s="1429">
        <v>397613</v>
      </c>
      <c r="S110" s="1429">
        <v>362772</v>
      </c>
      <c r="T110" s="1429">
        <v>362772</v>
      </c>
      <c r="U110" s="1429">
        <v>362772</v>
      </c>
      <c r="V110" s="1429">
        <v>362773</v>
      </c>
      <c r="W110" s="1429">
        <v>362773</v>
      </c>
      <c r="X110" s="1424">
        <f t="shared" si="105"/>
        <v>3260222</v>
      </c>
      <c r="Y110" s="3225"/>
      <c r="Z110" s="1322"/>
      <c r="AA110" s="1387"/>
      <c r="AD110" s="1398"/>
    </row>
    <row r="111" spans="1:30" s="1397" customFormat="1" hidden="1">
      <c r="A111" s="3208"/>
      <c r="B111" s="2129" t="s">
        <v>404</v>
      </c>
      <c r="C111" s="2007"/>
      <c r="D111" s="1421">
        <f t="shared" si="104"/>
        <v>19105437</v>
      </c>
      <c r="E111" s="1998"/>
      <c r="F111" s="1998"/>
      <c r="G111" s="1998"/>
      <c r="H111" s="1998"/>
      <c r="I111" s="1998"/>
      <c r="J111" s="1998"/>
      <c r="K111" s="1998"/>
      <c r="L111" s="1998"/>
      <c r="M111" s="1998"/>
      <c r="N111" s="1998"/>
      <c r="O111" s="2133">
        <f>502414-502414</f>
        <v>0</v>
      </c>
      <c r="P111" s="1429">
        <f>1718064+1156172</f>
        <v>2874236</v>
      </c>
      <c r="Q111" s="2133">
        <f>2213719-2975</f>
        <v>2210744</v>
      </c>
      <c r="R111" s="1429">
        <f>2501869+1700</f>
        <v>2503569</v>
      </c>
      <c r="S111" s="1429">
        <v>2303378</v>
      </c>
      <c r="T111" s="1429">
        <v>2303378</v>
      </c>
      <c r="U111" s="1429">
        <v>2303378</v>
      </c>
      <c r="V111" s="1429">
        <v>2303377</v>
      </c>
      <c r="W111" s="1429">
        <v>2303377</v>
      </c>
      <c r="X111" s="1424">
        <f t="shared" si="105"/>
        <v>19105437</v>
      </c>
      <c r="Y111" s="3225"/>
      <c r="Z111" s="1322"/>
      <c r="AA111" s="1387"/>
      <c r="AD111" s="1398"/>
    </row>
    <row r="112" spans="1:30" s="2667" customFormat="1" ht="16.5" customHeight="1">
      <c r="A112" s="2988"/>
      <c r="B112" s="517" t="s">
        <v>34</v>
      </c>
      <c r="C112" s="708"/>
      <c r="D112" s="1431">
        <f>+D113</f>
        <v>180993258</v>
      </c>
      <c r="E112" s="1431">
        <f t="shared" ref="E112:W112" si="106">+E113</f>
        <v>0</v>
      </c>
      <c r="F112" s="1432">
        <f t="shared" si="106"/>
        <v>0</v>
      </c>
      <c r="G112" s="1432">
        <f t="shared" si="106"/>
        <v>2563346</v>
      </c>
      <c r="H112" s="1432">
        <f t="shared" si="106"/>
        <v>8175757</v>
      </c>
      <c r="I112" s="1433">
        <f t="shared" si="106"/>
        <v>0</v>
      </c>
      <c r="J112" s="1433">
        <f t="shared" si="106"/>
        <v>0</v>
      </c>
      <c r="K112" s="1433">
        <f t="shared" si="106"/>
        <v>0</v>
      </c>
      <c r="L112" s="1433">
        <f t="shared" si="106"/>
        <v>0</v>
      </c>
      <c r="M112" s="1431">
        <f t="shared" si="106"/>
        <v>0</v>
      </c>
      <c r="N112" s="1431">
        <f t="shared" si="106"/>
        <v>0</v>
      </c>
      <c r="O112" s="1431">
        <f t="shared" si="106"/>
        <v>0</v>
      </c>
      <c r="P112" s="1431">
        <f t="shared" si="106"/>
        <v>20616609</v>
      </c>
      <c r="Q112" s="1431">
        <f t="shared" si="106"/>
        <v>25248481</v>
      </c>
      <c r="R112" s="1431">
        <f t="shared" si="106"/>
        <v>23883866</v>
      </c>
      <c r="S112" s="1890">
        <f t="shared" si="106"/>
        <v>22064091</v>
      </c>
      <c r="T112" s="1890">
        <f t="shared" si="106"/>
        <v>21591139</v>
      </c>
      <c r="U112" s="1890">
        <f t="shared" si="106"/>
        <v>22249810</v>
      </c>
      <c r="V112" s="1890">
        <f t="shared" si="106"/>
        <v>22527841</v>
      </c>
      <c r="W112" s="1890">
        <f t="shared" si="106"/>
        <v>22811421</v>
      </c>
      <c r="X112" s="3239" t="s">
        <v>77</v>
      </c>
      <c r="Y112" s="3225"/>
      <c r="Z112" s="1435"/>
      <c r="AA112" s="1387"/>
    </row>
    <row r="113" spans="1:27" s="2667" customFormat="1">
      <c r="A113" s="2988"/>
      <c r="B113" s="2134" t="s">
        <v>30</v>
      </c>
      <c r="C113" s="3246" t="s">
        <v>357</v>
      </c>
      <c r="D113" s="1976">
        <f t="shared" ref="D113:W113" si="107">+D114</f>
        <v>180993258</v>
      </c>
      <c r="E113" s="1976">
        <f t="shared" si="107"/>
        <v>0</v>
      </c>
      <c r="F113" s="1970">
        <f t="shared" si="107"/>
        <v>0</v>
      </c>
      <c r="G113" s="1970">
        <f t="shared" si="107"/>
        <v>2563346</v>
      </c>
      <c r="H113" s="1970">
        <f t="shared" si="107"/>
        <v>8175757</v>
      </c>
      <c r="I113" s="1971">
        <f t="shared" si="107"/>
        <v>0</v>
      </c>
      <c r="J113" s="1971">
        <f t="shared" si="107"/>
        <v>0</v>
      </c>
      <c r="K113" s="1971">
        <f t="shared" si="107"/>
        <v>0</v>
      </c>
      <c r="L113" s="1971">
        <f t="shared" si="107"/>
        <v>0</v>
      </c>
      <c r="M113" s="1976">
        <f t="shared" si="107"/>
        <v>0</v>
      </c>
      <c r="N113" s="1976">
        <f t="shared" si="107"/>
        <v>0</v>
      </c>
      <c r="O113" s="1976">
        <f t="shared" si="107"/>
        <v>0</v>
      </c>
      <c r="P113" s="1976">
        <f t="shared" si="107"/>
        <v>20616609</v>
      </c>
      <c r="Q113" s="1888">
        <f t="shared" si="107"/>
        <v>25248481</v>
      </c>
      <c r="R113" s="1888">
        <f t="shared" si="107"/>
        <v>23883866</v>
      </c>
      <c r="S113" s="1888">
        <f t="shared" si="107"/>
        <v>22064091</v>
      </c>
      <c r="T113" s="1888">
        <f t="shared" si="107"/>
        <v>21591139</v>
      </c>
      <c r="U113" s="1888">
        <f t="shared" si="107"/>
        <v>22249810</v>
      </c>
      <c r="V113" s="1888">
        <f t="shared" si="107"/>
        <v>22527841</v>
      </c>
      <c r="W113" s="1888">
        <f t="shared" si="107"/>
        <v>22811421</v>
      </c>
      <c r="X113" s="3214"/>
      <c r="Y113" s="3225"/>
      <c r="Z113" s="1390"/>
      <c r="AA113" s="1387"/>
    </row>
    <row r="114" spans="1:27" s="2667" customFormat="1" ht="15.75" customHeight="1" thickBot="1">
      <c r="A114" s="2989"/>
      <c r="B114" s="1378" t="s">
        <v>33</v>
      </c>
      <c r="C114" s="3190"/>
      <c r="D114" s="1286">
        <f>M114+O114+P114+Q114+R114+S114+T114+U114+V114+W114</f>
        <v>180993258</v>
      </c>
      <c r="E114" s="706"/>
      <c r="F114" s="1379">
        <v>0</v>
      </c>
      <c r="G114" s="1379">
        <v>2563346</v>
      </c>
      <c r="H114" s="1379">
        <f>8310034-134277</f>
        <v>8175757</v>
      </c>
      <c r="I114" s="1380"/>
      <c r="J114" s="1380"/>
      <c r="K114" s="1380"/>
      <c r="L114" s="1380"/>
      <c r="M114" s="709">
        <f>+E114+I114+J114+K114+L114+N114</f>
        <v>0</v>
      </c>
      <c r="N114" s="706">
        <v>0</v>
      </c>
      <c r="O114" s="706">
        <f>1513355-270000-1243355</f>
        <v>0</v>
      </c>
      <c r="P114" s="706">
        <f>30449000-8318334-1514057</f>
        <v>20616609</v>
      </c>
      <c r="Q114" s="706">
        <f>51433208-8318334-17866393</f>
        <v>25248481</v>
      </c>
      <c r="R114" s="706">
        <f>30885930-8318334+1316270</f>
        <v>23883866</v>
      </c>
      <c r="S114" s="706">
        <f>29939078-8229084+354097</f>
        <v>22064091</v>
      </c>
      <c r="T114" s="706">
        <f>30223312-8246084-386089</f>
        <v>21591139</v>
      </c>
      <c r="U114" s="706">
        <f>30407494-8157684</f>
        <v>22249810</v>
      </c>
      <c r="V114" s="706">
        <f>30073524-7545683</f>
        <v>22527841</v>
      </c>
      <c r="W114" s="706">
        <f>30175721-7364300</f>
        <v>22811421</v>
      </c>
      <c r="X114" s="3215"/>
      <c r="Y114" s="3226"/>
      <c r="Z114" s="1322"/>
      <c r="AA114" s="1322"/>
    </row>
    <row r="115" spans="1:27" s="2667" customFormat="1" ht="26.25" customHeight="1">
      <c r="A115" s="3207" t="s">
        <v>138</v>
      </c>
      <c r="B115" s="695" t="s">
        <v>384</v>
      </c>
      <c r="C115" s="696" t="s">
        <v>98</v>
      </c>
      <c r="D115" s="1524"/>
      <c r="E115" s="1518"/>
      <c r="F115" s="1519"/>
      <c r="G115" s="1519"/>
      <c r="H115" s="1520"/>
      <c r="I115" s="1521"/>
      <c r="J115" s="1522"/>
      <c r="K115" s="1521"/>
      <c r="L115" s="1521"/>
      <c r="M115" s="1517"/>
      <c r="N115" s="1517"/>
      <c r="O115" s="1517"/>
      <c r="P115" s="1518"/>
      <c r="Q115" s="1518"/>
      <c r="R115" s="1518"/>
      <c r="S115" s="1518"/>
      <c r="T115" s="1518"/>
      <c r="U115" s="1518"/>
      <c r="V115" s="1518"/>
      <c r="W115" s="1523"/>
      <c r="X115" s="1385"/>
      <c r="Y115" s="3224" t="s">
        <v>555</v>
      </c>
      <c r="Z115" s="1322"/>
    </row>
    <row r="116" spans="1:27" s="2667" customFormat="1" ht="14.25" customHeight="1">
      <c r="A116" s="3208"/>
      <c r="B116" s="374" t="s">
        <v>22</v>
      </c>
      <c r="C116" s="707"/>
      <c r="D116" s="2425">
        <f t="shared" ref="D116:X116" si="108">+D121+D117</f>
        <v>1580196</v>
      </c>
      <c r="E116" s="2425">
        <f t="shared" si="108"/>
        <v>0</v>
      </c>
      <c r="F116" s="2425">
        <f t="shared" si="108"/>
        <v>0</v>
      </c>
      <c r="G116" s="2425">
        <f t="shared" si="108"/>
        <v>0</v>
      </c>
      <c r="H116" s="2425">
        <f t="shared" si="108"/>
        <v>0</v>
      </c>
      <c r="I116" s="2425">
        <f t="shared" si="108"/>
        <v>0</v>
      </c>
      <c r="J116" s="2425">
        <f t="shared" si="108"/>
        <v>0</v>
      </c>
      <c r="K116" s="2425">
        <f t="shared" si="108"/>
        <v>0</v>
      </c>
      <c r="L116" s="2425">
        <f t="shared" si="108"/>
        <v>0</v>
      </c>
      <c r="M116" s="2425">
        <f t="shared" si="108"/>
        <v>0</v>
      </c>
      <c r="N116" s="2425">
        <f t="shared" si="108"/>
        <v>0</v>
      </c>
      <c r="O116" s="2425">
        <f t="shared" si="108"/>
        <v>0</v>
      </c>
      <c r="P116" s="2425">
        <f t="shared" si="108"/>
        <v>397196</v>
      </c>
      <c r="Q116" s="2425">
        <f t="shared" si="108"/>
        <v>171500</v>
      </c>
      <c r="R116" s="2425">
        <f t="shared" si="108"/>
        <v>171500</v>
      </c>
      <c r="S116" s="2425">
        <f t="shared" si="108"/>
        <v>168000</v>
      </c>
      <c r="T116" s="2425">
        <f t="shared" si="108"/>
        <v>168000</v>
      </c>
      <c r="U116" s="2425">
        <f t="shared" ref="U116:W116" si="109">+U121+U117</f>
        <v>168000</v>
      </c>
      <c r="V116" s="2425">
        <f t="shared" si="109"/>
        <v>168000</v>
      </c>
      <c r="W116" s="2425">
        <f t="shared" si="109"/>
        <v>168000</v>
      </c>
      <c r="X116" s="2426">
        <f t="shared" si="108"/>
        <v>1536967</v>
      </c>
      <c r="Y116" s="3249"/>
      <c r="Z116" s="1414"/>
    </row>
    <row r="117" spans="1:27" s="2667" customFormat="1" ht="13.5" customHeight="1">
      <c r="A117" s="3208"/>
      <c r="B117" s="698" t="s">
        <v>36</v>
      </c>
      <c r="C117" s="3246" t="s">
        <v>366</v>
      </c>
      <c r="D117" s="2427">
        <f>+D118</f>
        <v>43229</v>
      </c>
      <c r="E117" s="2427">
        <f t="shared" ref="E117:W117" si="110">+E118</f>
        <v>0</v>
      </c>
      <c r="F117" s="2427">
        <f t="shared" si="110"/>
        <v>0</v>
      </c>
      <c r="G117" s="2427">
        <f t="shared" si="110"/>
        <v>0</v>
      </c>
      <c r="H117" s="2427">
        <f t="shared" si="110"/>
        <v>0</v>
      </c>
      <c r="I117" s="2427">
        <f t="shared" si="110"/>
        <v>0</v>
      </c>
      <c r="J117" s="2427">
        <f t="shared" si="110"/>
        <v>0</v>
      </c>
      <c r="K117" s="2427">
        <f t="shared" si="110"/>
        <v>0</v>
      </c>
      <c r="L117" s="2427">
        <f t="shared" si="110"/>
        <v>0</v>
      </c>
      <c r="M117" s="2427">
        <f t="shared" si="110"/>
        <v>0</v>
      </c>
      <c r="N117" s="2427">
        <f t="shared" si="110"/>
        <v>0</v>
      </c>
      <c r="O117" s="2427">
        <f t="shared" si="110"/>
        <v>0</v>
      </c>
      <c r="P117" s="2427">
        <f t="shared" si="110"/>
        <v>35354</v>
      </c>
      <c r="Q117" s="2427">
        <f t="shared" si="110"/>
        <v>1500</v>
      </c>
      <c r="R117" s="2427">
        <f t="shared" si="110"/>
        <v>1500</v>
      </c>
      <c r="S117" s="2427">
        <f t="shared" si="110"/>
        <v>975</v>
      </c>
      <c r="T117" s="2427">
        <f t="shared" si="110"/>
        <v>975</v>
      </c>
      <c r="U117" s="2427">
        <f t="shared" si="110"/>
        <v>975</v>
      </c>
      <c r="V117" s="2427">
        <f t="shared" si="110"/>
        <v>975</v>
      </c>
      <c r="W117" s="2427">
        <f t="shared" si="110"/>
        <v>975</v>
      </c>
      <c r="X117" s="2428">
        <f>+X118</f>
        <v>0</v>
      </c>
      <c r="Y117" s="3249"/>
      <c r="Z117" s="1322"/>
    </row>
    <row r="118" spans="1:27" s="2667" customFormat="1" ht="13.5" customHeight="1">
      <c r="A118" s="3208"/>
      <c r="B118" s="2135" t="s">
        <v>45</v>
      </c>
      <c r="C118" s="3193"/>
      <c r="D118" s="2429">
        <f>M118+O118+P118+Q118+R118+S118+T118+U118+V118+W118</f>
        <v>43229</v>
      </c>
      <c r="E118" s="2430">
        <f t="shared" ref="E118" si="111">E119+E120</f>
        <v>0</v>
      </c>
      <c r="F118" s="2430">
        <f t="shared" ref="F118" si="112">F119+F120</f>
        <v>0</v>
      </c>
      <c r="G118" s="2430">
        <f t="shared" ref="G118" si="113">G119+G120</f>
        <v>0</v>
      </c>
      <c r="H118" s="2430">
        <f t="shared" ref="H118" si="114">H119+H120</f>
        <v>0</v>
      </c>
      <c r="I118" s="2430">
        <f t="shared" ref="I118" si="115">I119+I120</f>
        <v>0</v>
      </c>
      <c r="J118" s="2430">
        <f t="shared" ref="J118" si="116">J119+J120</f>
        <v>0</v>
      </c>
      <c r="K118" s="2430">
        <f t="shared" ref="K118" si="117">K119+K120</f>
        <v>0</v>
      </c>
      <c r="L118" s="2430">
        <f t="shared" ref="L118" si="118">L119+L120</f>
        <v>0</v>
      </c>
      <c r="M118" s="2431">
        <f>+E118+I118+J118+K118+L118+N118</f>
        <v>0</v>
      </c>
      <c r="N118" s="2430">
        <f t="shared" ref="N118" si="119">N119+N120</f>
        <v>0</v>
      </c>
      <c r="O118" s="2430">
        <f t="shared" ref="O118" si="120">O119+O120</f>
        <v>0</v>
      </c>
      <c r="P118" s="2430">
        <f t="shared" ref="P118" si="121">P119+P120</f>
        <v>35354</v>
      </c>
      <c r="Q118" s="2430">
        <f t="shared" ref="Q118" si="122">Q119+Q120</f>
        <v>1500</v>
      </c>
      <c r="R118" s="2430">
        <f t="shared" ref="R118" si="123">R119+R120</f>
        <v>1500</v>
      </c>
      <c r="S118" s="2430">
        <f t="shared" ref="S118" si="124">S119+S120</f>
        <v>975</v>
      </c>
      <c r="T118" s="2430">
        <f t="shared" ref="T118:W118" si="125">T119+T120</f>
        <v>975</v>
      </c>
      <c r="U118" s="2430">
        <f t="shared" si="125"/>
        <v>975</v>
      </c>
      <c r="V118" s="2430">
        <f t="shared" si="125"/>
        <v>975</v>
      </c>
      <c r="W118" s="2430">
        <f t="shared" si="125"/>
        <v>975</v>
      </c>
      <c r="X118" s="2432">
        <f t="shared" ref="X118" si="126">X119+X120</f>
        <v>0</v>
      </c>
      <c r="Y118" s="3249"/>
      <c r="Z118" s="1322"/>
    </row>
    <row r="119" spans="1:27" s="2667" customFormat="1" ht="13.5" hidden="1" customHeight="1">
      <c r="A119" s="3208"/>
      <c r="B119" s="2129" t="s">
        <v>358</v>
      </c>
      <c r="C119" s="3193"/>
      <c r="D119" s="2433">
        <f>M119+N119+O119+P119+Q119+R119+S119+T119+U119+V119+W119</f>
        <v>8760</v>
      </c>
      <c r="E119" s="2433"/>
      <c r="F119" s="2433"/>
      <c r="G119" s="2433"/>
      <c r="H119" s="2433"/>
      <c r="I119" s="2433"/>
      <c r="J119" s="2433"/>
      <c r="K119" s="2433"/>
      <c r="L119" s="2433"/>
      <c r="M119" s="2433"/>
      <c r="N119" s="2433"/>
      <c r="O119" s="2434">
        <f>7350-7350</f>
        <v>0</v>
      </c>
      <c r="P119" s="2131">
        <f>1410+7350</f>
        <v>8760</v>
      </c>
      <c r="Q119" s="2131">
        <f>1410-1410</f>
        <v>0</v>
      </c>
      <c r="R119" s="1417"/>
      <c r="S119" s="1417"/>
      <c r="T119" s="1417"/>
      <c r="U119" s="1417"/>
      <c r="V119" s="1417"/>
      <c r="W119" s="1417"/>
      <c r="X119" s="2435">
        <v>0</v>
      </c>
      <c r="Y119" s="3249"/>
      <c r="Z119" s="1322"/>
    </row>
    <row r="120" spans="1:27" s="2667" customFormat="1" ht="13.5" hidden="1" customHeight="1">
      <c r="A120" s="3208"/>
      <c r="B120" s="2129" t="s">
        <v>359</v>
      </c>
      <c r="C120" s="3193"/>
      <c r="D120" s="2433">
        <f>M120+N120+O120+P120+Q120+R120+S120+T120+U120+V120+W120</f>
        <v>34469</v>
      </c>
      <c r="E120" s="2433"/>
      <c r="F120" s="2433"/>
      <c r="G120" s="2433"/>
      <c r="H120" s="2433"/>
      <c r="I120" s="2433"/>
      <c r="J120" s="2433"/>
      <c r="K120" s="2433"/>
      <c r="L120" s="2433"/>
      <c r="M120" s="2433"/>
      <c r="N120" s="2433"/>
      <c r="O120" s="2434">
        <f>71550-71550</f>
        <v>0</v>
      </c>
      <c r="P120" s="2131">
        <f>70413-43819</f>
        <v>26594</v>
      </c>
      <c r="Q120" s="2131">
        <f>975+525</f>
        <v>1500</v>
      </c>
      <c r="R120" s="1417">
        <f>1800-300</f>
        <v>1500</v>
      </c>
      <c r="S120" s="1417">
        <v>975</v>
      </c>
      <c r="T120" s="1417">
        <v>975</v>
      </c>
      <c r="U120" s="1417">
        <v>975</v>
      </c>
      <c r="V120" s="1417">
        <v>975</v>
      </c>
      <c r="W120" s="1417">
        <v>975</v>
      </c>
      <c r="X120" s="2435">
        <v>0</v>
      </c>
      <c r="Y120" s="3249"/>
      <c r="Z120" s="1322"/>
    </row>
    <row r="121" spans="1:27" s="2667" customFormat="1" ht="13.5" customHeight="1">
      <c r="A121" s="3208"/>
      <c r="B121" s="518" t="s">
        <v>30</v>
      </c>
      <c r="C121" s="3193"/>
      <c r="D121" s="2436">
        <f>+D122</f>
        <v>1536967</v>
      </c>
      <c r="E121" s="2436">
        <f t="shared" ref="E121:X121" si="127">+E122</f>
        <v>0</v>
      </c>
      <c r="F121" s="2437">
        <f t="shared" si="127"/>
        <v>0</v>
      </c>
      <c r="G121" s="2437">
        <f t="shared" si="127"/>
        <v>0</v>
      </c>
      <c r="H121" s="2437">
        <f t="shared" si="127"/>
        <v>0</v>
      </c>
      <c r="I121" s="2438">
        <f t="shared" si="127"/>
        <v>0</v>
      </c>
      <c r="J121" s="2438">
        <f t="shared" si="127"/>
        <v>0</v>
      </c>
      <c r="K121" s="2438">
        <f>+K122</f>
        <v>0</v>
      </c>
      <c r="L121" s="2438">
        <f t="shared" si="127"/>
        <v>0</v>
      </c>
      <c r="M121" s="2436">
        <f t="shared" si="127"/>
        <v>0</v>
      </c>
      <c r="N121" s="2436">
        <f t="shared" si="127"/>
        <v>0</v>
      </c>
      <c r="O121" s="2436">
        <f t="shared" si="127"/>
        <v>0</v>
      </c>
      <c r="P121" s="2436">
        <f>+P122</f>
        <v>361842</v>
      </c>
      <c r="Q121" s="2436">
        <f>+Q122</f>
        <v>170000</v>
      </c>
      <c r="R121" s="2439">
        <f t="shared" si="127"/>
        <v>170000</v>
      </c>
      <c r="S121" s="2439">
        <f t="shared" si="127"/>
        <v>167025</v>
      </c>
      <c r="T121" s="2439">
        <f t="shared" si="127"/>
        <v>167025</v>
      </c>
      <c r="U121" s="2439">
        <f t="shared" si="127"/>
        <v>167025</v>
      </c>
      <c r="V121" s="2439">
        <f t="shared" si="127"/>
        <v>167025</v>
      </c>
      <c r="W121" s="2439">
        <f t="shared" si="127"/>
        <v>167025</v>
      </c>
      <c r="X121" s="2440">
        <f t="shared" si="127"/>
        <v>1536967</v>
      </c>
      <c r="Y121" s="3249"/>
      <c r="Z121" s="1414"/>
    </row>
    <row r="122" spans="1:27" s="2667" customFormat="1">
      <c r="A122" s="3208"/>
      <c r="B122" s="2115" t="s">
        <v>33</v>
      </c>
      <c r="C122" s="3189"/>
      <c r="D122" s="2429">
        <f>M122+O122+P122+Q122+R122+S122+T122+U122+V122+W122</f>
        <v>1536967</v>
      </c>
      <c r="E122" s="2441">
        <f t="shared" ref="E122:T122" si="128">SUM(E124:E129)</f>
        <v>0</v>
      </c>
      <c r="F122" s="2441">
        <f t="shared" si="128"/>
        <v>0</v>
      </c>
      <c r="G122" s="2441">
        <f t="shared" si="128"/>
        <v>0</v>
      </c>
      <c r="H122" s="2441">
        <f t="shared" si="128"/>
        <v>0</v>
      </c>
      <c r="I122" s="2441">
        <f t="shared" si="128"/>
        <v>0</v>
      </c>
      <c r="J122" s="2441">
        <f t="shared" si="128"/>
        <v>0</v>
      </c>
      <c r="K122" s="2441">
        <f t="shared" si="128"/>
        <v>0</v>
      </c>
      <c r="L122" s="2441">
        <f t="shared" si="128"/>
        <v>0</v>
      </c>
      <c r="M122" s="2431">
        <f>+E122+I122+J122+K122+L122+N122</f>
        <v>0</v>
      </c>
      <c r="N122" s="2441">
        <f t="shared" si="128"/>
        <v>0</v>
      </c>
      <c r="O122" s="2441">
        <f t="shared" si="128"/>
        <v>0</v>
      </c>
      <c r="P122" s="2441">
        <f t="shared" si="128"/>
        <v>361842</v>
      </c>
      <c r="Q122" s="2441">
        <f t="shared" si="128"/>
        <v>170000</v>
      </c>
      <c r="R122" s="2441">
        <f t="shared" si="128"/>
        <v>170000</v>
      </c>
      <c r="S122" s="2441">
        <f t="shared" si="128"/>
        <v>167025</v>
      </c>
      <c r="T122" s="2441">
        <f t="shared" si="128"/>
        <v>167025</v>
      </c>
      <c r="U122" s="2441">
        <f t="shared" ref="U122:W122" si="129">SUM(U124:U129)</f>
        <v>167025</v>
      </c>
      <c r="V122" s="2441">
        <f t="shared" si="129"/>
        <v>167025</v>
      </c>
      <c r="W122" s="2441">
        <f t="shared" si="129"/>
        <v>167025</v>
      </c>
      <c r="X122" s="2442">
        <f>SUM(X124:X129)</f>
        <v>1536967</v>
      </c>
      <c r="Y122" s="3249"/>
      <c r="Z122" s="1322"/>
    </row>
    <row r="123" spans="1:27" s="2667" customFormat="1" hidden="1">
      <c r="A123" s="3208"/>
      <c r="B123" s="2115" t="s">
        <v>188</v>
      </c>
      <c r="C123" s="1419"/>
      <c r="D123" s="2441"/>
      <c r="E123" s="2431"/>
      <c r="F123" s="2443"/>
      <c r="G123" s="2443"/>
      <c r="H123" s="2443"/>
      <c r="I123" s="2444"/>
      <c r="J123" s="2444"/>
      <c r="K123" s="2444"/>
      <c r="L123" s="2444"/>
      <c r="M123" s="2431"/>
      <c r="N123" s="2431"/>
      <c r="O123" s="2431"/>
      <c r="P123" s="2445"/>
      <c r="Q123" s="2445"/>
      <c r="R123" s="2445"/>
      <c r="S123" s="2445"/>
      <c r="T123" s="2445"/>
      <c r="U123" s="2445"/>
      <c r="V123" s="2445"/>
      <c r="W123" s="2445"/>
      <c r="X123" s="2442"/>
      <c r="Y123" s="3249"/>
      <c r="Z123" s="1322"/>
    </row>
    <row r="124" spans="1:27" s="2667" customFormat="1" hidden="1">
      <c r="A124" s="3208"/>
      <c r="B124" s="2124" t="s">
        <v>189</v>
      </c>
      <c r="C124" s="1420"/>
      <c r="D124" s="2433">
        <f>M124+N124+O124+P124+Q124+R124+S124+T124+U124+V124+W124</f>
        <v>1156000</v>
      </c>
      <c r="E124" s="1422"/>
      <c r="F124" s="1422"/>
      <c r="G124" s="1422"/>
      <c r="H124" s="1422"/>
      <c r="I124" s="1422"/>
      <c r="J124" s="1422"/>
      <c r="K124" s="1422"/>
      <c r="L124" s="1422"/>
      <c r="M124" s="1422"/>
      <c r="N124" s="1422"/>
      <c r="O124" s="1423"/>
      <c r="P124" s="1423">
        <v>144500</v>
      </c>
      <c r="Q124" s="1423">
        <v>144500</v>
      </c>
      <c r="R124" s="1423">
        <v>144500</v>
      </c>
      <c r="S124" s="1423">
        <v>144500</v>
      </c>
      <c r="T124" s="1423">
        <v>144500</v>
      </c>
      <c r="U124" s="1423">
        <v>144500</v>
      </c>
      <c r="V124" s="1423">
        <v>144500</v>
      </c>
      <c r="W124" s="1423">
        <v>144500</v>
      </c>
      <c r="X124" s="1424">
        <f t="shared" ref="X124:X129" si="130">P124+Q124+R124+S124+T124+U124+V124+W124</f>
        <v>1156000</v>
      </c>
      <c r="Y124" s="3249"/>
      <c r="Z124" s="1322"/>
    </row>
    <row r="125" spans="1:27" s="2667" customFormat="1" hidden="1">
      <c r="A125" s="3208"/>
      <c r="B125" s="2125" t="s">
        <v>190</v>
      </c>
      <c r="C125" s="1425"/>
      <c r="D125" s="2433">
        <f>M125+N125+O125+P125+Q125+R125+S125+T125+U125+V125+W125</f>
        <v>136000</v>
      </c>
      <c r="E125" s="2446"/>
      <c r="F125" s="2446"/>
      <c r="G125" s="2446"/>
      <c r="H125" s="2446"/>
      <c r="I125" s="2446"/>
      <c r="J125" s="2446"/>
      <c r="K125" s="2446"/>
      <c r="L125" s="2446"/>
      <c r="M125" s="2446"/>
      <c r="N125" s="2446"/>
      <c r="O125" s="2446"/>
      <c r="P125" s="2446">
        <v>17000</v>
      </c>
      <c r="Q125" s="2446">
        <v>17000</v>
      </c>
      <c r="R125" s="2446">
        <v>17000</v>
      </c>
      <c r="S125" s="2446">
        <v>17000</v>
      </c>
      <c r="T125" s="2446">
        <v>17000</v>
      </c>
      <c r="U125" s="2446">
        <v>17000</v>
      </c>
      <c r="V125" s="2446">
        <v>17000</v>
      </c>
      <c r="W125" s="2446">
        <v>17000</v>
      </c>
      <c r="X125" s="1424">
        <f t="shared" si="130"/>
        <v>136000</v>
      </c>
      <c r="Y125" s="3249"/>
      <c r="Z125" s="1322"/>
    </row>
    <row r="126" spans="1:27" s="2667" customFormat="1" hidden="1">
      <c r="A126" s="3208"/>
      <c r="B126" s="2126" t="s">
        <v>191</v>
      </c>
      <c r="C126" s="2004"/>
      <c r="D126" s="2447">
        <f>+E126+I126+J126+K126+L126+N126+O126+P126+Q126+R126+S126+T126</f>
        <v>0</v>
      </c>
      <c r="E126" s="2447"/>
      <c r="F126" s="2447"/>
      <c r="G126" s="2447"/>
      <c r="H126" s="2447"/>
      <c r="I126" s="2447"/>
      <c r="J126" s="2447"/>
      <c r="K126" s="2447"/>
      <c r="L126" s="2447"/>
      <c r="M126" s="2447"/>
      <c r="N126" s="2447"/>
      <c r="O126" s="1426"/>
      <c r="P126" s="1427"/>
      <c r="Q126" s="1427"/>
      <c r="R126" s="1427"/>
      <c r="S126" s="1427"/>
      <c r="T126" s="1427"/>
      <c r="U126" s="1427"/>
      <c r="V126" s="1427"/>
      <c r="W126" s="1427"/>
      <c r="X126" s="1424">
        <f t="shared" si="130"/>
        <v>0</v>
      </c>
      <c r="Y126" s="3249"/>
      <c r="Z126" s="1322"/>
    </row>
    <row r="127" spans="1:27" s="2667" customFormat="1" hidden="1">
      <c r="A127" s="3208"/>
      <c r="B127" s="2136" t="s">
        <v>192</v>
      </c>
      <c r="C127" s="1428"/>
      <c r="D127" s="2448">
        <f>+E127+I127+J127+K127+L127+N127+O127+P127+Q127+R127+S127+T127</f>
        <v>0</v>
      </c>
      <c r="E127" s="2449"/>
      <c r="F127" s="2449"/>
      <c r="G127" s="2449"/>
      <c r="H127" s="2449"/>
      <c r="I127" s="2449"/>
      <c r="J127" s="2449"/>
      <c r="K127" s="2449"/>
      <c r="L127" s="2449"/>
      <c r="M127" s="2449">
        <f>+E127+I127+J127+K127+L127</f>
        <v>0</v>
      </c>
      <c r="N127" s="2449"/>
      <c r="O127" s="2449"/>
      <c r="P127" s="2449"/>
      <c r="Q127" s="2449"/>
      <c r="R127" s="2449"/>
      <c r="S127" s="2449"/>
      <c r="T127" s="2449"/>
      <c r="U127" s="2449"/>
      <c r="V127" s="2449"/>
      <c r="W127" s="2449"/>
      <c r="X127" s="1424">
        <f t="shared" si="130"/>
        <v>0</v>
      </c>
      <c r="Y127" s="3249"/>
      <c r="Z127" s="1322"/>
    </row>
    <row r="128" spans="1:27" s="2667" customFormat="1" hidden="1">
      <c r="A128" s="3208"/>
      <c r="B128" s="2129" t="s">
        <v>358</v>
      </c>
      <c r="C128" s="2006"/>
      <c r="D128" s="2433">
        <f>M128+N128+O128+P128+Q128+R128+S128+T128</f>
        <v>49640</v>
      </c>
      <c r="E128" s="2433"/>
      <c r="F128" s="2433"/>
      <c r="G128" s="2433"/>
      <c r="H128" s="2433"/>
      <c r="I128" s="2433"/>
      <c r="J128" s="2433"/>
      <c r="K128" s="2433"/>
      <c r="L128" s="2433"/>
      <c r="M128" s="2433"/>
      <c r="N128" s="2433"/>
      <c r="O128" s="2433">
        <f>41650-41650</f>
        <v>0</v>
      </c>
      <c r="P128" s="2433">
        <f>7990+41650</f>
        <v>49640</v>
      </c>
      <c r="Q128" s="2433">
        <f>7990-7990</f>
        <v>0</v>
      </c>
      <c r="R128" s="2433"/>
      <c r="S128" s="2433"/>
      <c r="T128" s="2433"/>
      <c r="U128" s="2433"/>
      <c r="V128" s="2433"/>
      <c r="W128" s="2433"/>
      <c r="X128" s="1424">
        <f t="shared" si="130"/>
        <v>49640</v>
      </c>
      <c r="Y128" s="3249"/>
      <c r="Z128" s="1322"/>
    </row>
    <row r="129" spans="1:26" s="2667" customFormat="1" hidden="1">
      <c r="A129" s="3208"/>
      <c r="B129" s="2129" t="s">
        <v>359</v>
      </c>
      <c r="C129" s="1430"/>
      <c r="D129" s="2433">
        <f>M129+N129+O129+P129+Q129+R129+S129+T129+5525+5525+5525</f>
        <v>195327</v>
      </c>
      <c r="E129" s="2433"/>
      <c r="F129" s="2433"/>
      <c r="G129" s="2433"/>
      <c r="H129" s="2433"/>
      <c r="I129" s="2433"/>
      <c r="J129" s="2433"/>
      <c r="K129" s="2433"/>
      <c r="L129" s="2433"/>
      <c r="M129" s="2433"/>
      <c r="N129" s="2433"/>
      <c r="O129" s="2433">
        <f>405450-405450</f>
        <v>0</v>
      </c>
      <c r="P129" s="2433">
        <f>399010-248308</f>
        <v>150702</v>
      </c>
      <c r="Q129" s="2433">
        <f>5525+2975</f>
        <v>8500</v>
      </c>
      <c r="R129" s="2433">
        <f>10200-1700</f>
        <v>8500</v>
      </c>
      <c r="S129" s="2433">
        <v>5525</v>
      </c>
      <c r="T129" s="2433">
        <v>5525</v>
      </c>
      <c r="U129" s="2433">
        <v>5525</v>
      </c>
      <c r="V129" s="2433">
        <v>5525</v>
      </c>
      <c r="W129" s="2433">
        <v>5525</v>
      </c>
      <c r="X129" s="1424">
        <f t="shared" si="130"/>
        <v>195327</v>
      </c>
      <c r="Y129" s="3249"/>
      <c r="Z129" s="1322"/>
    </row>
    <row r="130" spans="1:26" s="2667" customFormat="1" ht="16.5" customHeight="1">
      <c r="A130" s="3208"/>
      <c r="B130" s="517" t="s">
        <v>34</v>
      </c>
      <c r="C130" s="708"/>
      <c r="D130" s="1431">
        <f>+D131</f>
        <v>1536967</v>
      </c>
      <c r="E130" s="1431">
        <f t="shared" ref="E130:W130" si="131">+E131</f>
        <v>0</v>
      </c>
      <c r="F130" s="1432">
        <f t="shared" si="131"/>
        <v>0</v>
      </c>
      <c r="G130" s="1432">
        <f t="shared" si="131"/>
        <v>0</v>
      </c>
      <c r="H130" s="1432">
        <f t="shared" si="131"/>
        <v>134277</v>
      </c>
      <c r="I130" s="1433">
        <f t="shared" si="131"/>
        <v>0</v>
      </c>
      <c r="J130" s="1433">
        <f t="shared" si="131"/>
        <v>0</v>
      </c>
      <c r="K130" s="1433">
        <f t="shared" si="131"/>
        <v>0</v>
      </c>
      <c r="L130" s="1433">
        <f t="shared" si="131"/>
        <v>0</v>
      </c>
      <c r="M130" s="1431">
        <f t="shared" si="131"/>
        <v>0</v>
      </c>
      <c r="N130" s="1431">
        <f t="shared" si="131"/>
        <v>0</v>
      </c>
      <c r="O130" s="1431">
        <f t="shared" si="131"/>
        <v>0</v>
      </c>
      <c r="P130" s="1431">
        <f t="shared" si="131"/>
        <v>361842</v>
      </c>
      <c r="Q130" s="1431">
        <f t="shared" si="131"/>
        <v>170000</v>
      </c>
      <c r="R130" s="1431">
        <f t="shared" si="131"/>
        <v>170000</v>
      </c>
      <c r="S130" s="1431">
        <f t="shared" si="131"/>
        <v>167025</v>
      </c>
      <c r="T130" s="1431">
        <f t="shared" si="131"/>
        <v>167025</v>
      </c>
      <c r="U130" s="1431">
        <f t="shared" si="131"/>
        <v>167025</v>
      </c>
      <c r="V130" s="1431">
        <f t="shared" si="131"/>
        <v>167025</v>
      </c>
      <c r="W130" s="1431">
        <f t="shared" si="131"/>
        <v>167025</v>
      </c>
      <c r="X130" s="3251" t="s">
        <v>77</v>
      </c>
      <c r="Y130" s="3249"/>
      <c r="Z130" s="1322"/>
    </row>
    <row r="131" spans="1:26" s="2667" customFormat="1" ht="15.75" customHeight="1">
      <c r="A131" s="3208"/>
      <c r="B131" s="1947" t="s">
        <v>30</v>
      </c>
      <c r="C131" s="3246" t="s">
        <v>357</v>
      </c>
      <c r="D131" s="2450">
        <f t="shared" ref="D131:W131" si="132">+D132</f>
        <v>1536967</v>
      </c>
      <c r="E131" s="2450">
        <f t="shared" si="132"/>
        <v>0</v>
      </c>
      <c r="F131" s="2451">
        <f t="shared" si="132"/>
        <v>0</v>
      </c>
      <c r="G131" s="2451">
        <f t="shared" si="132"/>
        <v>0</v>
      </c>
      <c r="H131" s="2451">
        <f t="shared" si="132"/>
        <v>134277</v>
      </c>
      <c r="I131" s="2452">
        <f t="shared" si="132"/>
        <v>0</v>
      </c>
      <c r="J131" s="2452">
        <f t="shared" si="132"/>
        <v>0</v>
      </c>
      <c r="K131" s="2452">
        <f t="shared" si="132"/>
        <v>0</v>
      </c>
      <c r="L131" s="2452">
        <f t="shared" si="132"/>
        <v>0</v>
      </c>
      <c r="M131" s="2450">
        <f t="shared" si="132"/>
        <v>0</v>
      </c>
      <c r="N131" s="2450">
        <f t="shared" si="132"/>
        <v>0</v>
      </c>
      <c r="O131" s="2453">
        <f t="shared" si="132"/>
        <v>0</v>
      </c>
      <c r="P131" s="2453">
        <f t="shared" si="132"/>
        <v>361842</v>
      </c>
      <c r="Q131" s="2453">
        <f t="shared" si="132"/>
        <v>170000</v>
      </c>
      <c r="R131" s="2453">
        <f t="shared" si="132"/>
        <v>170000</v>
      </c>
      <c r="S131" s="2453">
        <f t="shared" si="132"/>
        <v>167025</v>
      </c>
      <c r="T131" s="2453">
        <f t="shared" si="132"/>
        <v>167025</v>
      </c>
      <c r="U131" s="2453">
        <f t="shared" si="132"/>
        <v>167025</v>
      </c>
      <c r="V131" s="2453">
        <f t="shared" si="132"/>
        <v>167025</v>
      </c>
      <c r="W131" s="2453">
        <f t="shared" si="132"/>
        <v>167025</v>
      </c>
      <c r="X131" s="3214"/>
      <c r="Y131" s="3249"/>
      <c r="Z131" s="1322"/>
    </row>
    <row r="132" spans="1:26" s="2667" customFormat="1" ht="13.5" customHeight="1" thickBot="1">
      <c r="A132" s="3245"/>
      <c r="B132" s="1378" t="s">
        <v>33</v>
      </c>
      <c r="C132" s="3190"/>
      <c r="D132" s="1286">
        <f>M132+O132+P132+Q132+R132+S132+T132+U132+V132+W132</f>
        <v>1536967</v>
      </c>
      <c r="E132" s="706"/>
      <c r="F132" s="1379">
        <v>0</v>
      </c>
      <c r="G132" s="1379"/>
      <c r="H132" s="1379">
        <v>134277</v>
      </c>
      <c r="I132" s="1380"/>
      <c r="J132" s="1380"/>
      <c r="K132" s="1380"/>
      <c r="L132" s="1380"/>
      <c r="M132" s="709">
        <f>+E132+I132+J132+K132+L132+N132</f>
        <v>0</v>
      </c>
      <c r="N132" s="706"/>
      <c r="O132" s="2148">
        <f>447100-447100</f>
        <v>0</v>
      </c>
      <c r="P132" s="2148">
        <f>551000-189158</f>
        <v>361842</v>
      </c>
      <c r="Q132" s="2148">
        <f>192515-22515</f>
        <v>170000</v>
      </c>
      <c r="R132" s="2148">
        <f>171700-1700</f>
        <v>170000</v>
      </c>
      <c r="S132" s="2148">
        <v>167025</v>
      </c>
      <c r="T132" s="2148">
        <v>167025</v>
      </c>
      <c r="U132" s="2148">
        <v>167025</v>
      </c>
      <c r="V132" s="2148">
        <v>167025</v>
      </c>
      <c r="W132" s="2148">
        <v>167025</v>
      </c>
      <c r="X132" s="3215"/>
      <c r="Y132" s="3250"/>
      <c r="Z132" s="1322"/>
    </row>
    <row r="133" spans="1:26" s="2667" customFormat="1" ht="26.25" customHeight="1">
      <c r="A133" s="3207" t="s">
        <v>105</v>
      </c>
      <c r="B133" s="695" t="s">
        <v>500</v>
      </c>
      <c r="C133" s="696" t="s">
        <v>98</v>
      </c>
      <c r="D133" s="1517"/>
      <c r="E133" s="1518"/>
      <c r="F133" s="1519"/>
      <c r="G133" s="1519"/>
      <c r="H133" s="1520"/>
      <c r="I133" s="1521"/>
      <c r="J133" s="1522"/>
      <c r="K133" s="1521"/>
      <c r="L133" s="1521"/>
      <c r="M133" s="1517"/>
      <c r="N133" s="1517"/>
      <c r="O133" s="1517"/>
      <c r="P133" s="1518"/>
      <c r="Q133" s="1518"/>
      <c r="R133" s="1518"/>
      <c r="S133" s="1518"/>
      <c r="T133" s="1518"/>
      <c r="U133" s="1518"/>
      <c r="V133" s="1518"/>
      <c r="W133" s="1523"/>
      <c r="X133" s="2138"/>
      <c r="Y133" s="3224" t="s">
        <v>556</v>
      </c>
      <c r="Z133" s="1322"/>
    </row>
    <row r="134" spans="1:26" s="2667" customFormat="1" ht="13.5" customHeight="1">
      <c r="A134" s="3208"/>
      <c r="B134" s="374" t="s">
        <v>22</v>
      </c>
      <c r="C134" s="2139"/>
      <c r="D134" s="1434">
        <f>+D135+D138</f>
        <v>89390020</v>
      </c>
      <c r="E134" s="1434"/>
      <c r="F134" s="1434"/>
      <c r="G134" s="1434"/>
      <c r="H134" s="1434"/>
      <c r="I134" s="1434"/>
      <c r="J134" s="1434"/>
      <c r="K134" s="1434"/>
      <c r="L134" s="1434"/>
      <c r="M134" s="1434">
        <f t="shared" ref="M134:W134" si="133">+M135+M138</f>
        <v>0</v>
      </c>
      <c r="N134" s="1434">
        <f t="shared" si="133"/>
        <v>0</v>
      </c>
      <c r="O134" s="1434">
        <f t="shared" si="133"/>
        <v>0</v>
      </c>
      <c r="P134" s="1434">
        <f>+P135+P138</f>
        <v>1543800</v>
      </c>
      <c r="Q134" s="1434">
        <f t="shared" si="133"/>
        <v>14675460</v>
      </c>
      <c r="R134" s="1434">
        <f t="shared" si="133"/>
        <v>23596460</v>
      </c>
      <c r="S134" s="1434">
        <f t="shared" si="133"/>
        <v>34618600</v>
      </c>
      <c r="T134" s="1434">
        <f t="shared" si="133"/>
        <v>14955700</v>
      </c>
      <c r="U134" s="1434">
        <f t="shared" si="133"/>
        <v>0</v>
      </c>
      <c r="V134" s="1434">
        <f t="shared" si="133"/>
        <v>0</v>
      </c>
      <c r="W134" s="1434">
        <f t="shared" si="133"/>
        <v>0</v>
      </c>
      <c r="X134" s="1444">
        <f>SUM(M134:W134)</f>
        <v>89390020</v>
      </c>
      <c r="Y134" s="3249"/>
      <c r="Z134" s="1322"/>
    </row>
    <row r="135" spans="1:26" s="2667" customFormat="1" ht="13.5" customHeight="1">
      <c r="A135" s="3208"/>
      <c r="B135" s="698" t="s">
        <v>36</v>
      </c>
      <c r="C135" s="3235" t="s">
        <v>416</v>
      </c>
      <c r="D135" s="1436">
        <f>+D136+D137</f>
        <v>17526020</v>
      </c>
      <c r="E135" s="1436"/>
      <c r="F135" s="1436"/>
      <c r="G135" s="1436"/>
      <c r="H135" s="1436"/>
      <c r="I135" s="1436"/>
      <c r="J135" s="1436"/>
      <c r="K135" s="1436"/>
      <c r="L135" s="1436"/>
      <c r="M135" s="1436">
        <f>+M136+M137</f>
        <v>0</v>
      </c>
      <c r="N135" s="1436">
        <v>0</v>
      </c>
      <c r="O135" s="1436">
        <f t="shared" ref="O135:X135" si="134">+O136+O137</f>
        <v>0</v>
      </c>
      <c r="P135" s="1436">
        <f t="shared" si="134"/>
        <v>100000</v>
      </c>
      <c r="Q135" s="1436">
        <f t="shared" si="134"/>
        <v>4422860</v>
      </c>
      <c r="R135" s="1436">
        <f t="shared" si="134"/>
        <v>5640660</v>
      </c>
      <c r="S135" s="1436">
        <f t="shared" si="134"/>
        <v>5142800</v>
      </c>
      <c r="T135" s="1436">
        <f t="shared" si="134"/>
        <v>2219700</v>
      </c>
      <c r="U135" s="1436">
        <f t="shared" si="134"/>
        <v>0</v>
      </c>
      <c r="V135" s="1436">
        <f t="shared" si="134"/>
        <v>0</v>
      </c>
      <c r="W135" s="1436">
        <f t="shared" si="134"/>
        <v>0</v>
      </c>
      <c r="X135" s="2140">
        <f t="shared" si="134"/>
        <v>17526020</v>
      </c>
      <c r="Y135" s="3249"/>
      <c r="Z135" s="1322"/>
    </row>
    <row r="136" spans="1:26" s="2667" customFormat="1" ht="13.5" customHeight="1">
      <c r="A136" s="3208"/>
      <c r="B136" s="2141" t="s">
        <v>24</v>
      </c>
      <c r="C136" s="3235"/>
      <c r="D136" s="2142">
        <f t="shared" ref="D136:W136" si="135">+D154+D168+D184+D195</f>
        <v>12526020</v>
      </c>
      <c r="E136" s="2142">
        <f t="shared" si="135"/>
        <v>0</v>
      </c>
      <c r="F136" s="2142">
        <f t="shared" si="135"/>
        <v>0</v>
      </c>
      <c r="G136" s="2142">
        <f t="shared" si="135"/>
        <v>0</v>
      </c>
      <c r="H136" s="2142">
        <f t="shared" si="135"/>
        <v>0</v>
      </c>
      <c r="I136" s="2142">
        <f t="shared" si="135"/>
        <v>0</v>
      </c>
      <c r="J136" s="2142">
        <f t="shared" si="135"/>
        <v>0</v>
      </c>
      <c r="K136" s="2142">
        <f t="shared" si="135"/>
        <v>0</v>
      </c>
      <c r="L136" s="2142">
        <f t="shared" si="135"/>
        <v>0</v>
      </c>
      <c r="M136" s="2142">
        <f t="shared" si="135"/>
        <v>0</v>
      </c>
      <c r="N136" s="2142">
        <f t="shared" si="135"/>
        <v>0</v>
      </c>
      <c r="O136" s="2142">
        <f t="shared" si="135"/>
        <v>0</v>
      </c>
      <c r="P136" s="2142">
        <f t="shared" si="135"/>
        <v>100000</v>
      </c>
      <c r="Q136" s="2142">
        <f t="shared" si="135"/>
        <v>4422860</v>
      </c>
      <c r="R136" s="2142">
        <f t="shared" si="135"/>
        <v>5363360</v>
      </c>
      <c r="S136" s="2142">
        <f t="shared" si="135"/>
        <v>1814600</v>
      </c>
      <c r="T136" s="2142">
        <f t="shared" si="135"/>
        <v>825200</v>
      </c>
      <c r="U136" s="2142">
        <f t="shared" si="135"/>
        <v>0</v>
      </c>
      <c r="V136" s="2142">
        <f t="shared" si="135"/>
        <v>0</v>
      </c>
      <c r="W136" s="2142">
        <f t="shared" si="135"/>
        <v>0</v>
      </c>
      <c r="X136" s="2143">
        <f>SUM(M136:W136)</f>
        <v>12526020</v>
      </c>
      <c r="Y136" s="3249"/>
      <c r="Z136" s="1322"/>
    </row>
    <row r="137" spans="1:26" s="2667" customFormat="1" ht="13.5" customHeight="1">
      <c r="A137" s="3208"/>
      <c r="B137" s="2141" t="s">
        <v>28</v>
      </c>
      <c r="C137" s="3235"/>
      <c r="D137" s="2142">
        <f>+D155+D169+D196</f>
        <v>5000000</v>
      </c>
      <c r="E137" s="2142">
        <f t="shared" ref="E137:W137" si="136">+E155+E169+E196</f>
        <v>0</v>
      </c>
      <c r="F137" s="2142">
        <f t="shared" si="136"/>
        <v>0</v>
      </c>
      <c r="G137" s="2142">
        <f t="shared" si="136"/>
        <v>0</v>
      </c>
      <c r="H137" s="2142">
        <f t="shared" si="136"/>
        <v>0</v>
      </c>
      <c r="I137" s="2142">
        <f t="shared" si="136"/>
        <v>0</v>
      </c>
      <c r="J137" s="2142">
        <f t="shared" si="136"/>
        <v>0</v>
      </c>
      <c r="K137" s="2142">
        <f t="shared" si="136"/>
        <v>0</v>
      </c>
      <c r="L137" s="2142">
        <f t="shared" si="136"/>
        <v>0</v>
      </c>
      <c r="M137" s="2142">
        <f t="shared" si="136"/>
        <v>0</v>
      </c>
      <c r="N137" s="2142">
        <f t="shared" si="136"/>
        <v>0</v>
      </c>
      <c r="O137" s="2142">
        <f t="shared" si="136"/>
        <v>0</v>
      </c>
      <c r="P137" s="2142">
        <f t="shared" si="136"/>
        <v>0</v>
      </c>
      <c r="Q137" s="2142">
        <f t="shared" si="136"/>
        <v>0</v>
      </c>
      <c r="R137" s="2142">
        <f t="shared" si="136"/>
        <v>277300</v>
      </c>
      <c r="S137" s="2142">
        <f t="shared" si="136"/>
        <v>3328200</v>
      </c>
      <c r="T137" s="2142">
        <f t="shared" si="136"/>
        <v>1394500</v>
      </c>
      <c r="U137" s="2142">
        <f t="shared" si="136"/>
        <v>0</v>
      </c>
      <c r="V137" s="2142">
        <f t="shared" si="136"/>
        <v>0</v>
      </c>
      <c r="W137" s="2142">
        <f t="shared" si="136"/>
        <v>0</v>
      </c>
      <c r="X137" s="2143">
        <f>SUM(M137:W137)</f>
        <v>5000000</v>
      </c>
      <c r="Y137" s="3249"/>
      <c r="Z137" s="1322"/>
    </row>
    <row r="138" spans="1:26" s="2667" customFormat="1" ht="13.5" customHeight="1">
      <c r="A138" s="3208"/>
      <c r="B138" s="518" t="s">
        <v>30</v>
      </c>
      <c r="C138" s="3235"/>
      <c r="D138" s="2144">
        <f>+D139</f>
        <v>71864000</v>
      </c>
      <c r="E138" s="2144">
        <f t="shared" ref="E138:W138" si="137">+E139</f>
        <v>0</v>
      </c>
      <c r="F138" s="2144">
        <f t="shared" si="137"/>
        <v>0</v>
      </c>
      <c r="G138" s="2144">
        <f t="shared" si="137"/>
        <v>0</v>
      </c>
      <c r="H138" s="2144">
        <f t="shared" si="137"/>
        <v>0</v>
      </c>
      <c r="I138" s="2144">
        <f t="shared" si="137"/>
        <v>0</v>
      </c>
      <c r="J138" s="2144">
        <f t="shared" si="137"/>
        <v>0</v>
      </c>
      <c r="K138" s="2144">
        <f t="shared" si="137"/>
        <v>0</v>
      </c>
      <c r="L138" s="2144">
        <f t="shared" si="137"/>
        <v>0</v>
      </c>
      <c r="M138" s="2144">
        <f t="shared" si="137"/>
        <v>0</v>
      </c>
      <c r="N138" s="2144">
        <f t="shared" si="137"/>
        <v>0</v>
      </c>
      <c r="O138" s="2144">
        <f t="shared" si="137"/>
        <v>0</v>
      </c>
      <c r="P138" s="2144">
        <f t="shared" si="137"/>
        <v>1443800</v>
      </c>
      <c r="Q138" s="2144">
        <f t="shared" si="137"/>
        <v>10252600</v>
      </c>
      <c r="R138" s="2144">
        <f t="shared" si="137"/>
        <v>17955800</v>
      </c>
      <c r="S138" s="2144">
        <f t="shared" si="137"/>
        <v>29475800</v>
      </c>
      <c r="T138" s="2144">
        <f t="shared" si="137"/>
        <v>12736000</v>
      </c>
      <c r="U138" s="2144">
        <f t="shared" si="137"/>
        <v>0</v>
      </c>
      <c r="V138" s="2144">
        <f t="shared" si="137"/>
        <v>0</v>
      </c>
      <c r="W138" s="2144">
        <f t="shared" si="137"/>
        <v>0</v>
      </c>
      <c r="X138" s="2140">
        <f>+X140+X141+X142</f>
        <v>71864000</v>
      </c>
      <c r="Y138" s="3249"/>
      <c r="Z138" s="1322"/>
    </row>
    <row r="139" spans="1:26" s="2667" customFormat="1" ht="12.75" customHeight="1">
      <c r="A139" s="3208"/>
      <c r="B139" s="503" t="s">
        <v>33</v>
      </c>
      <c r="C139" s="3235"/>
      <c r="D139" s="2142">
        <f>+D140+D141+D142</f>
        <v>71864000</v>
      </c>
      <c r="E139" s="2142">
        <f t="shared" ref="E139:W139" si="138">+E140+E141+E142</f>
        <v>0</v>
      </c>
      <c r="F139" s="2142">
        <f t="shared" si="138"/>
        <v>0</v>
      </c>
      <c r="G139" s="2142">
        <f t="shared" si="138"/>
        <v>0</v>
      </c>
      <c r="H139" s="2142">
        <f t="shared" si="138"/>
        <v>0</v>
      </c>
      <c r="I139" s="2142">
        <f t="shared" si="138"/>
        <v>0</v>
      </c>
      <c r="J139" s="2142">
        <f t="shared" si="138"/>
        <v>0</v>
      </c>
      <c r="K139" s="2142">
        <f t="shared" si="138"/>
        <v>0</v>
      </c>
      <c r="L139" s="2142">
        <f t="shared" si="138"/>
        <v>0</v>
      </c>
      <c r="M139" s="2142">
        <f t="shared" si="138"/>
        <v>0</v>
      </c>
      <c r="N139" s="2142">
        <f t="shared" si="138"/>
        <v>0</v>
      </c>
      <c r="O139" s="2142">
        <f t="shared" si="138"/>
        <v>0</v>
      </c>
      <c r="P139" s="2142">
        <f t="shared" si="138"/>
        <v>1443800</v>
      </c>
      <c r="Q139" s="2142">
        <f t="shared" si="138"/>
        <v>10252600</v>
      </c>
      <c r="R139" s="2142">
        <f t="shared" si="138"/>
        <v>17955800</v>
      </c>
      <c r="S139" s="2142">
        <f t="shared" si="138"/>
        <v>29475800</v>
      </c>
      <c r="T139" s="2142">
        <f t="shared" si="138"/>
        <v>12736000</v>
      </c>
      <c r="U139" s="2142">
        <f t="shared" si="138"/>
        <v>0</v>
      </c>
      <c r="V139" s="2142">
        <f t="shared" si="138"/>
        <v>0</v>
      </c>
      <c r="W139" s="2142">
        <f t="shared" si="138"/>
        <v>0</v>
      </c>
      <c r="X139" s="2140">
        <f>SUM(M139:W139)</f>
        <v>71864000</v>
      </c>
      <c r="Y139" s="3249"/>
      <c r="Z139" s="1322"/>
    </row>
    <row r="140" spans="1:26" s="2667" customFormat="1" ht="23.25" hidden="1" customHeight="1">
      <c r="A140" s="3208"/>
      <c r="B140" s="2141" t="s">
        <v>417</v>
      </c>
      <c r="C140" s="3235"/>
      <c r="D140" s="2142">
        <f t="shared" ref="D140:W140" si="139">+D158+D172+D187+D199</f>
        <v>20000000</v>
      </c>
      <c r="E140" s="2142">
        <f t="shared" si="139"/>
        <v>0</v>
      </c>
      <c r="F140" s="2142">
        <f t="shared" si="139"/>
        <v>0</v>
      </c>
      <c r="G140" s="2142">
        <f t="shared" si="139"/>
        <v>0</v>
      </c>
      <c r="H140" s="2142">
        <f t="shared" si="139"/>
        <v>0</v>
      </c>
      <c r="I140" s="2142">
        <f t="shared" si="139"/>
        <v>0</v>
      </c>
      <c r="J140" s="2142">
        <f t="shared" si="139"/>
        <v>0</v>
      </c>
      <c r="K140" s="2142">
        <f t="shared" si="139"/>
        <v>0</v>
      </c>
      <c r="L140" s="2142">
        <f t="shared" si="139"/>
        <v>0</v>
      </c>
      <c r="M140" s="2142">
        <f t="shared" si="139"/>
        <v>0</v>
      </c>
      <c r="N140" s="2142">
        <f t="shared" si="139"/>
        <v>0</v>
      </c>
      <c r="O140" s="2142">
        <f t="shared" si="139"/>
        <v>0</v>
      </c>
      <c r="P140" s="2142">
        <f t="shared" si="139"/>
        <v>1443800</v>
      </c>
      <c r="Q140" s="2142">
        <f t="shared" si="139"/>
        <v>7252600</v>
      </c>
      <c r="R140" s="2142">
        <f t="shared" si="139"/>
        <v>8627800</v>
      </c>
      <c r="S140" s="2142">
        <f t="shared" si="139"/>
        <v>1539800</v>
      </c>
      <c r="T140" s="2142">
        <f t="shared" si="139"/>
        <v>1136000</v>
      </c>
      <c r="U140" s="2142">
        <f t="shared" si="139"/>
        <v>0</v>
      </c>
      <c r="V140" s="2142">
        <f t="shared" si="139"/>
        <v>0</v>
      </c>
      <c r="W140" s="2142">
        <f t="shared" si="139"/>
        <v>0</v>
      </c>
      <c r="X140" s="2143">
        <f>SUM(M140:W140)</f>
        <v>20000000</v>
      </c>
      <c r="Y140" s="3249"/>
      <c r="Z140" s="1322"/>
    </row>
    <row r="141" spans="1:26" s="2667" customFormat="1" ht="20.25" hidden="1" customHeight="1">
      <c r="A141" s="3208"/>
      <c r="B141" s="2141" t="s">
        <v>418</v>
      </c>
      <c r="C141" s="3235"/>
      <c r="D141" s="2142">
        <f>+D173</f>
        <v>10000000</v>
      </c>
      <c r="E141" s="2142">
        <f t="shared" ref="E141:W141" si="140">+E173</f>
        <v>0</v>
      </c>
      <c r="F141" s="2142">
        <f t="shared" si="140"/>
        <v>0</v>
      </c>
      <c r="G141" s="2142">
        <f t="shared" si="140"/>
        <v>0</v>
      </c>
      <c r="H141" s="2142">
        <f t="shared" si="140"/>
        <v>0</v>
      </c>
      <c r="I141" s="2142">
        <f t="shared" si="140"/>
        <v>0</v>
      </c>
      <c r="J141" s="2142">
        <f t="shared" si="140"/>
        <v>0</v>
      </c>
      <c r="K141" s="2142">
        <f t="shared" si="140"/>
        <v>0</v>
      </c>
      <c r="L141" s="2142">
        <f t="shared" si="140"/>
        <v>0</v>
      </c>
      <c r="M141" s="2142">
        <f t="shared" si="140"/>
        <v>0</v>
      </c>
      <c r="N141" s="2142">
        <f t="shared" si="140"/>
        <v>0</v>
      </c>
      <c r="O141" s="2142">
        <f t="shared" si="140"/>
        <v>0</v>
      </c>
      <c r="P141" s="2142">
        <f t="shared" si="140"/>
        <v>0</v>
      </c>
      <c r="Q141" s="2142">
        <f t="shared" si="140"/>
        <v>3000000</v>
      </c>
      <c r="R141" s="2142">
        <f t="shared" si="140"/>
        <v>7000000</v>
      </c>
      <c r="S141" s="2142">
        <f t="shared" si="140"/>
        <v>0</v>
      </c>
      <c r="T141" s="2142">
        <f t="shared" si="140"/>
        <v>0</v>
      </c>
      <c r="U141" s="2142">
        <f t="shared" si="140"/>
        <v>0</v>
      </c>
      <c r="V141" s="2142">
        <f t="shared" si="140"/>
        <v>0</v>
      </c>
      <c r="W141" s="2142">
        <f t="shared" si="140"/>
        <v>0</v>
      </c>
      <c r="X141" s="2143">
        <f>SUM(M141:W141)</f>
        <v>10000000</v>
      </c>
      <c r="Y141" s="3249"/>
      <c r="Z141" s="1322"/>
    </row>
    <row r="142" spans="1:26" s="2667" customFormat="1" ht="27" hidden="1" customHeight="1">
      <c r="A142" s="3208"/>
      <c r="B142" s="2141" t="s">
        <v>419</v>
      </c>
      <c r="C142" s="3235"/>
      <c r="D142" s="1515">
        <f>+D200</f>
        <v>41864000</v>
      </c>
      <c r="E142" s="1515">
        <f t="shared" ref="E142:W142" si="141">+E200</f>
        <v>0</v>
      </c>
      <c r="F142" s="1515">
        <f t="shared" si="141"/>
        <v>0</v>
      </c>
      <c r="G142" s="1515">
        <f t="shared" si="141"/>
        <v>0</v>
      </c>
      <c r="H142" s="1515">
        <f t="shared" si="141"/>
        <v>0</v>
      </c>
      <c r="I142" s="1515">
        <f t="shared" si="141"/>
        <v>0</v>
      </c>
      <c r="J142" s="1515">
        <f t="shared" si="141"/>
        <v>0</v>
      </c>
      <c r="K142" s="1515">
        <f t="shared" si="141"/>
        <v>0</v>
      </c>
      <c r="L142" s="1515">
        <f t="shared" si="141"/>
        <v>0</v>
      </c>
      <c r="M142" s="1515">
        <f t="shared" si="141"/>
        <v>0</v>
      </c>
      <c r="N142" s="1515">
        <f t="shared" si="141"/>
        <v>0</v>
      </c>
      <c r="O142" s="1515">
        <f t="shared" si="141"/>
        <v>0</v>
      </c>
      <c r="P142" s="1515">
        <f t="shared" si="141"/>
        <v>0</v>
      </c>
      <c r="Q142" s="1515">
        <f t="shared" si="141"/>
        <v>0</v>
      </c>
      <c r="R142" s="1515">
        <f t="shared" si="141"/>
        <v>2328000</v>
      </c>
      <c r="S142" s="1515">
        <f t="shared" si="141"/>
        <v>27936000</v>
      </c>
      <c r="T142" s="1515">
        <f t="shared" si="141"/>
        <v>11600000</v>
      </c>
      <c r="U142" s="1515">
        <f t="shared" si="141"/>
        <v>0</v>
      </c>
      <c r="V142" s="1515">
        <f t="shared" si="141"/>
        <v>0</v>
      </c>
      <c r="W142" s="1515">
        <f t="shared" si="141"/>
        <v>0</v>
      </c>
      <c r="X142" s="2143">
        <f>SUM(M142:W142)</f>
        <v>41864000</v>
      </c>
      <c r="Y142" s="3249"/>
      <c r="Z142" s="1322"/>
    </row>
    <row r="143" spans="1:26" s="2667" customFormat="1" ht="15.75" customHeight="1">
      <c r="A143" s="3208"/>
      <c r="B143" s="517" t="s">
        <v>420</v>
      </c>
      <c r="C143" s="2139"/>
      <c r="D143" s="1434">
        <f t="shared" ref="D143:W143" si="142">+D144+D146</f>
        <v>76864000</v>
      </c>
      <c r="E143" s="1434" t="e">
        <f t="shared" si="142"/>
        <v>#REF!</v>
      </c>
      <c r="F143" s="1434" t="e">
        <f t="shared" si="142"/>
        <v>#REF!</v>
      </c>
      <c r="G143" s="1434" t="e">
        <f t="shared" si="142"/>
        <v>#REF!</v>
      </c>
      <c r="H143" s="1434" t="e">
        <f t="shared" si="142"/>
        <v>#REF!</v>
      </c>
      <c r="I143" s="1434" t="e">
        <f t="shared" si="142"/>
        <v>#REF!</v>
      </c>
      <c r="J143" s="1434" t="e">
        <f t="shared" si="142"/>
        <v>#REF!</v>
      </c>
      <c r="K143" s="1434" t="e">
        <f t="shared" si="142"/>
        <v>#REF!</v>
      </c>
      <c r="L143" s="1434" t="e">
        <f t="shared" si="142"/>
        <v>#REF!</v>
      </c>
      <c r="M143" s="1434">
        <f t="shared" si="142"/>
        <v>0</v>
      </c>
      <c r="N143" s="1434">
        <f t="shared" si="142"/>
        <v>0</v>
      </c>
      <c r="O143" s="1434">
        <f t="shared" si="142"/>
        <v>0</v>
      </c>
      <c r="P143" s="1434">
        <f t="shared" si="142"/>
        <v>1443800</v>
      </c>
      <c r="Q143" s="1434">
        <f t="shared" si="142"/>
        <v>10252600</v>
      </c>
      <c r="R143" s="1434">
        <f t="shared" si="142"/>
        <v>18233100</v>
      </c>
      <c r="S143" s="1434">
        <f t="shared" si="142"/>
        <v>32804000</v>
      </c>
      <c r="T143" s="1434">
        <f t="shared" si="142"/>
        <v>14130500</v>
      </c>
      <c r="U143" s="1434">
        <f t="shared" si="142"/>
        <v>0</v>
      </c>
      <c r="V143" s="1434">
        <f t="shared" si="142"/>
        <v>0</v>
      </c>
      <c r="W143" s="1434">
        <f t="shared" si="142"/>
        <v>0</v>
      </c>
      <c r="X143" s="3214" t="s">
        <v>77</v>
      </c>
      <c r="Y143" s="3249"/>
      <c r="Z143" s="1322"/>
    </row>
    <row r="144" spans="1:26" s="2667" customFormat="1" ht="13.5" customHeight="1">
      <c r="A144" s="3208"/>
      <c r="B144" s="698" t="s">
        <v>36</v>
      </c>
      <c r="C144" s="3235" t="s">
        <v>421</v>
      </c>
      <c r="D144" s="1436">
        <f>+D145</f>
        <v>5000000</v>
      </c>
      <c r="E144" s="1436" t="e">
        <f>+E145+#REF!</f>
        <v>#REF!</v>
      </c>
      <c r="F144" s="1436" t="e">
        <f>+F145+#REF!</f>
        <v>#REF!</v>
      </c>
      <c r="G144" s="1436" t="e">
        <f>+G145+#REF!</f>
        <v>#REF!</v>
      </c>
      <c r="H144" s="1436" t="e">
        <f>+H145+#REF!</f>
        <v>#REF!</v>
      </c>
      <c r="I144" s="1436" t="e">
        <f>+I145+#REF!</f>
        <v>#REF!</v>
      </c>
      <c r="J144" s="1436" t="e">
        <f>+J145+#REF!</f>
        <v>#REF!</v>
      </c>
      <c r="K144" s="1436" t="e">
        <f>+K145+#REF!</f>
        <v>#REF!</v>
      </c>
      <c r="L144" s="1436" t="e">
        <f>+L145+#REF!</f>
        <v>#REF!</v>
      </c>
      <c r="M144" s="1436">
        <f t="shared" ref="M144:W144" si="143">+M145</f>
        <v>0</v>
      </c>
      <c r="N144" s="1436">
        <f t="shared" si="143"/>
        <v>0</v>
      </c>
      <c r="O144" s="1436">
        <f t="shared" si="143"/>
        <v>0</v>
      </c>
      <c r="P144" s="1436">
        <f t="shared" si="143"/>
        <v>0</v>
      </c>
      <c r="Q144" s="1436">
        <f t="shared" si="143"/>
        <v>0</v>
      </c>
      <c r="R144" s="1436">
        <f t="shared" si="143"/>
        <v>277300</v>
      </c>
      <c r="S144" s="1436">
        <f t="shared" si="143"/>
        <v>3328200</v>
      </c>
      <c r="T144" s="1436">
        <f t="shared" si="143"/>
        <v>1394500</v>
      </c>
      <c r="U144" s="1436">
        <f t="shared" si="143"/>
        <v>0</v>
      </c>
      <c r="V144" s="1436">
        <f t="shared" si="143"/>
        <v>0</v>
      </c>
      <c r="W144" s="1436">
        <f t="shared" si="143"/>
        <v>0</v>
      </c>
      <c r="X144" s="3214"/>
      <c r="Y144" s="3249"/>
      <c r="Z144" s="1322"/>
    </row>
    <row r="145" spans="1:26" s="2667" customFormat="1" ht="13.5" customHeight="1">
      <c r="A145" s="3208"/>
      <c r="B145" s="2141" t="s">
        <v>28</v>
      </c>
      <c r="C145" s="3235"/>
      <c r="D145" s="1392">
        <f t="shared" ref="D145:W145" si="144">+D176+D203</f>
        <v>5000000</v>
      </c>
      <c r="E145" s="1392">
        <f t="shared" si="144"/>
        <v>0</v>
      </c>
      <c r="F145" s="1392">
        <f t="shared" si="144"/>
        <v>0</v>
      </c>
      <c r="G145" s="1392">
        <f t="shared" si="144"/>
        <v>0</v>
      </c>
      <c r="H145" s="1392">
        <f t="shared" si="144"/>
        <v>0</v>
      </c>
      <c r="I145" s="1392">
        <f t="shared" si="144"/>
        <v>0</v>
      </c>
      <c r="J145" s="1392">
        <f t="shared" si="144"/>
        <v>0</v>
      </c>
      <c r="K145" s="1392">
        <f t="shared" si="144"/>
        <v>0</v>
      </c>
      <c r="L145" s="1392">
        <f t="shared" si="144"/>
        <v>0</v>
      </c>
      <c r="M145" s="1392">
        <f t="shared" si="144"/>
        <v>0</v>
      </c>
      <c r="N145" s="1392">
        <f t="shared" si="144"/>
        <v>0</v>
      </c>
      <c r="O145" s="1392">
        <f t="shared" si="144"/>
        <v>0</v>
      </c>
      <c r="P145" s="1392">
        <f t="shared" si="144"/>
        <v>0</v>
      </c>
      <c r="Q145" s="1392">
        <f t="shared" si="144"/>
        <v>0</v>
      </c>
      <c r="R145" s="1392">
        <f t="shared" si="144"/>
        <v>277300</v>
      </c>
      <c r="S145" s="1392">
        <f t="shared" si="144"/>
        <v>3328200</v>
      </c>
      <c r="T145" s="1392">
        <f t="shared" si="144"/>
        <v>1394500</v>
      </c>
      <c r="U145" s="1392">
        <f t="shared" si="144"/>
        <v>0</v>
      </c>
      <c r="V145" s="1392">
        <f t="shared" si="144"/>
        <v>0</v>
      </c>
      <c r="W145" s="1392">
        <f t="shared" si="144"/>
        <v>0</v>
      </c>
      <c r="X145" s="3214"/>
      <c r="Y145" s="3249"/>
      <c r="Z145" s="1322"/>
    </row>
    <row r="146" spans="1:26" s="2667" customFormat="1" ht="13.5" customHeight="1">
      <c r="A146" s="3208"/>
      <c r="B146" s="518" t="s">
        <v>30</v>
      </c>
      <c r="C146" s="3235"/>
      <c r="D146" s="1436">
        <f>+D147</f>
        <v>71864000</v>
      </c>
      <c r="E146" s="1436">
        <f t="shared" ref="E146:W146" si="145">+E147</f>
        <v>0</v>
      </c>
      <c r="F146" s="1436">
        <f t="shared" si="145"/>
        <v>0</v>
      </c>
      <c r="G146" s="1436">
        <f t="shared" si="145"/>
        <v>0</v>
      </c>
      <c r="H146" s="1436">
        <f t="shared" si="145"/>
        <v>0</v>
      </c>
      <c r="I146" s="1436">
        <f t="shared" si="145"/>
        <v>0</v>
      </c>
      <c r="J146" s="1436">
        <f t="shared" si="145"/>
        <v>0</v>
      </c>
      <c r="K146" s="1436">
        <f t="shared" si="145"/>
        <v>0</v>
      </c>
      <c r="L146" s="1436">
        <f t="shared" si="145"/>
        <v>0</v>
      </c>
      <c r="M146" s="1436">
        <f t="shared" si="145"/>
        <v>0</v>
      </c>
      <c r="N146" s="1436">
        <f t="shared" si="145"/>
        <v>0</v>
      </c>
      <c r="O146" s="1436">
        <f t="shared" si="145"/>
        <v>0</v>
      </c>
      <c r="P146" s="1436">
        <f>+P147</f>
        <v>1443800</v>
      </c>
      <c r="Q146" s="1436">
        <f>+Q147</f>
        <v>10252600</v>
      </c>
      <c r="R146" s="1436">
        <f t="shared" si="145"/>
        <v>17955800</v>
      </c>
      <c r="S146" s="1436">
        <f t="shared" si="145"/>
        <v>29475800</v>
      </c>
      <c r="T146" s="1436">
        <f t="shared" si="145"/>
        <v>12736000</v>
      </c>
      <c r="U146" s="1436">
        <f t="shared" si="145"/>
        <v>0</v>
      </c>
      <c r="V146" s="1436">
        <f t="shared" si="145"/>
        <v>0</v>
      </c>
      <c r="W146" s="1436">
        <f t="shared" si="145"/>
        <v>0</v>
      </c>
      <c r="X146" s="3214"/>
      <c r="Y146" s="3249"/>
      <c r="Z146" s="1322"/>
    </row>
    <row r="147" spans="1:26" s="2667" customFormat="1" ht="14.25" customHeight="1" thickBot="1">
      <c r="A147" s="3208"/>
      <c r="B147" s="512" t="s">
        <v>33</v>
      </c>
      <c r="C147" s="3235"/>
      <c r="D147" s="2142">
        <f>+D163+D178+D205+D190</f>
        <v>71864000</v>
      </c>
      <c r="E147" s="2142">
        <f t="shared" ref="E147:W147" si="146">+E163+E178+E205+E190</f>
        <v>0</v>
      </c>
      <c r="F147" s="2142">
        <f t="shared" si="146"/>
        <v>0</v>
      </c>
      <c r="G147" s="2142">
        <f t="shared" si="146"/>
        <v>0</v>
      </c>
      <c r="H147" s="2142">
        <f t="shared" si="146"/>
        <v>0</v>
      </c>
      <c r="I147" s="2142">
        <f t="shared" si="146"/>
        <v>0</v>
      </c>
      <c r="J147" s="2142">
        <f t="shared" si="146"/>
        <v>0</v>
      </c>
      <c r="K147" s="2142">
        <f t="shared" si="146"/>
        <v>0</v>
      </c>
      <c r="L147" s="2142">
        <f t="shared" si="146"/>
        <v>0</v>
      </c>
      <c r="M147" s="2142">
        <f t="shared" si="146"/>
        <v>0</v>
      </c>
      <c r="N147" s="2142">
        <f t="shared" si="146"/>
        <v>0</v>
      </c>
      <c r="O147" s="2142">
        <f t="shared" si="146"/>
        <v>0</v>
      </c>
      <c r="P147" s="2142">
        <f>+P163+P178+P205+P190</f>
        <v>1443800</v>
      </c>
      <c r="Q147" s="2142">
        <f t="shared" si="146"/>
        <v>10252600</v>
      </c>
      <c r="R147" s="2142">
        <f t="shared" si="146"/>
        <v>17955800</v>
      </c>
      <c r="S147" s="2142">
        <f t="shared" si="146"/>
        <v>29475800</v>
      </c>
      <c r="T147" s="2142">
        <f t="shared" si="146"/>
        <v>12736000</v>
      </c>
      <c r="U147" s="2142">
        <f t="shared" si="146"/>
        <v>0</v>
      </c>
      <c r="V147" s="2142">
        <f>+V163+V178+V205+V190</f>
        <v>0</v>
      </c>
      <c r="W147" s="2142">
        <f t="shared" si="146"/>
        <v>0</v>
      </c>
      <c r="X147" s="3214"/>
      <c r="Y147" s="3249"/>
      <c r="Z147" s="1322"/>
    </row>
    <row r="148" spans="1:26" s="2667" customFormat="1" ht="22.5" hidden="1" customHeight="1">
      <c r="A148" s="2665"/>
      <c r="B148" s="2145" t="s">
        <v>417</v>
      </c>
      <c r="C148" s="3235"/>
      <c r="D148" s="1392">
        <f>+D164+D179+D191+D206</f>
        <v>20000000</v>
      </c>
      <c r="E148" s="1392">
        <f t="shared" ref="E148:W148" si="147">+E164+E179+E191+E206</f>
        <v>0</v>
      </c>
      <c r="F148" s="1392">
        <f t="shared" si="147"/>
        <v>0</v>
      </c>
      <c r="G148" s="1392">
        <f t="shared" si="147"/>
        <v>0</v>
      </c>
      <c r="H148" s="1392">
        <f t="shared" si="147"/>
        <v>0</v>
      </c>
      <c r="I148" s="1392">
        <f t="shared" si="147"/>
        <v>0</v>
      </c>
      <c r="J148" s="1392">
        <f t="shared" si="147"/>
        <v>0</v>
      </c>
      <c r="K148" s="1392">
        <f t="shared" si="147"/>
        <v>0</v>
      </c>
      <c r="L148" s="1392">
        <f t="shared" si="147"/>
        <v>0</v>
      </c>
      <c r="M148" s="1392">
        <f t="shared" si="147"/>
        <v>0</v>
      </c>
      <c r="N148" s="1392">
        <f t="shared" si="147"/>
        <v>0</v>
      </c>
      <c r="O148" s="1392">
        <f t="shared" si="147"/>
        <v>0</v>
      </c>
      <c r="P148" s="1392">
        <f>+P164+P179+P191+P206</f>
        <v>1443800</v>
      </c>
      <c r="Q148" s="1392">
        <f t="shared" si="147"/>
        <v>7252600</v>
      </c>
      <c r="R148" s="1392">
        <f t="shared" si="147"/>
        <v>8627800</v>
      </c>
      <c r="S148" s="1392">
        <f t="shared" si="147"/>
        <v>1539800</v>
      </c>
      <c r="T148" s="1392">
        <f t="shared" si="147"/>
        <v>1136000</v>
      </c>
      <c r="U148" s="1392">
        <f t="shared" si="147"/>
        <v>0</v>
      </c>
      <c r="V148" s="1392">
        <f t="shared" si="147"/>
        <v>0</v>
      </c>
      <c r="W148" s="1392">
        <f t="shared" si="147"/>
        <v>0</v>
      </c>
      <c r="X148" s="3214"/>
      <c r="Y148" s="2146"/>
      <c r="Z148" s="1322"/>
    </row>
    <row r="149" spans="1:26" s="2667" customFormat="1" ht="19.5" hidden="1" customHeight="1">
      <c r="A149" s="2665"/>
      <c r="B149" s="817" t="s">
        <v>418</v>
      </c>
      <c r="C149" s="3235"/>
      <c r="D149" s="2142">
        <f>+D180</f>
        <v>10000000</v>
      </c>
      <c r="E149" s="2142">
        <f t="shared" ref="E149:W149" si="148">+E180</f>
        <v>0</v>
      </c>
      <c r="F149" s="2142">
        <f t="shared" si="148"/>
        <v>0</v>
      </c>
      <c r="G149" s="2142">
        <f t="shared" si="148"/>
        <v>0</v>
      </c>
      <c r="H149" s="2142">
        <f t="shared" si="148"/>
        <v>0</v>
      </c>
      <c r="I149" s="2142">
        <f t="shared" si="148"/>
        <v>0</v>
      </c>
      <c r="J149" s="2142">
        <f t="shared" si="148"/>
        <v>0</v>
      </c>
      <c r="K149" s="2142">
        <f t="shared" si="148"/>
        <v>0</v>
      </c>
      <c r="L149" s="2142">
        <f t="shared" si="148"/>
        <v>0</v>
      </c>
      <c r="M149" s="2142">
        <f t="shared" si="148"/>
        <v>0</v>
      </c>
      <c r="N149" s="2142">
        <f t="shared" si="148"/>
        <v>0</v>
      </c>
      <c r="O149" s="2142">
        <f t="shared" si="148"/>
        <v>0</v>
      </c>
      <c r="P149" s="2142">
        <f t="shared" si="148"/>
        <v>0</v>
      </c>
      <c r="Q149" s="2142">
        <f t="shared" si="148"/>
        <v>3000000</v>
      </c>
      <c r="R149" s="2142">
        <f t="shared" si="148"/>
        <v>7000000</v>
      </c>
      <c r="S149" s="2142">
        <f t="shared" si="148"/>
        <v>0</v>
      </c>
      <c r="T149" s="2142">
        <f t="shared" si="148"/>
        <v>0</v>
      </c>
      <c r="U149" s="2142">
        <f t="shared" si="148"/>
        <v>0</v>
      </c>
      <c r="V149" s="2142">
        <f t="shared" si="148"/>
        <v>0</v>
      </c>
      <c r="W149" s="2142">
        <f t="shared" si="148"/>
        <v>0</v>
      </c>
      <c r="X149" s="3214"/>
      <c r="Y149" s="2146"/>
      <c r="Z149" s="1322"/>
    </row>
    <row r="150" spans="1:26" s="2667" customFormat="1" ht="21" hidden="1" customHeight="1" thickBot="1">
      <c r="A150" s="2665"/>
      <c r="B150" s="2147" t="s">
        <v>419</v>
      </c>
      <c r="C150" s="3236"/>
      <c r="D150" s="2148">
        <f>+D207</f>
        <v>41864000</v>
      </c>
      <c r="E150" s="2148">
        <f t="shared" ref="E150:W150" si="149">+E207</f>
        <v>0</v>
      </c>
      <c r="F150" s="2148">
        <f t="shared" si="149"/>
        <v>0</v>
      </c>
      <c r="G150" s="2148">
        <f t="shared" si="149"/>
        <v>0</v>
      </c>
      <c r="H150" s="2148">
        <f t="shared" si="149"/>
        <v>0</v>
      </c>
      <c r="I150" s="2148">
        <f t="shared" si="149"/>
        <v>0</v>
      </c>
      <c r="J150" s="2148">
        <f t="shared" si="149"/>
        <v>0</v>
      </c>
      <c r="K150" s="2148">
        <f t="shared" si="149"/>
        <v>0</v>
      </c>
      <c r="L150" s="2148">
        <f t="shared" si="149"/>
        <v>0</v>
      </c>
      <c r="M150" s="2148">
        <f t="shared" si="149"/>
        <v>0</v>
      </c>
      <c r="N150" s="2148">
        <f t="shared" si="149"/>
        <v>0</v>
      </c>
      <c r="O150" s="2148">
        <f t="shared" si="149"/>
        <v>0</v>
      </c>
      <c r="P150" s="2148">
        <f t="shared" si="149"/>
        <v>0</v>
      </c>
      <c r="Q150" s="2148">
        <f t="shared" si="149"/>
        <v>0</v>
      </c>
      <c r="R150" s="2148">
        <f t="shared" si="149"/>
        <v>2328000</v>
      </c>
      <c r="S150" s="2148">
        <f t="shared" si="149"/>
        <v>27936000</v>
      </c>
      <c r="T150" s="2148">
        <f t="shared" si="149"/>
        <v>11600000</v>
      </c>
      <c r="U150" s="2148">
        <f t="shared" si="149"/>
        <v>0</v>
      </c>
      <c r="V150" s="2148">
        <f t="shared" si="149"/>
        <v>0</v>
      </c>
      <c r="W150" s="2148">
        <f t="shared" si="149"/>
        <v>0</v>
      </c>
      <c r="X150" s="3215"/>
      <c r="Y150" s="2146"/>
      <c r="Z150" s="1322"/>
    </row>
    <row r="151" spans="1:26" s="2667" customFormat="1" ht="18.75" hidden="1" customHeight="1">
      <c r="A151" s="3208" t="s">
        <v>450</v>
      </c>
      <c r="B151" s="1460" t="s">
        <v>422</v>
      </c>
      <c r="C151" s="2137" t="s">
        <v>130</v>
      </c>
      <c r="D151" s="1524"/>
      <c r="E151" s="1518"/>
      <c r="F151" s="1519"/>
      <c r="G151" s="1519"/>
      <c r="H151" s="1520"/>
      <c r="I151" s="1521"/>
      <c r="J151" s="1522"/>
      <c r="K151" s="1521"/>
      <c r="L151" s="1521"/>
      <c r="M151" s="1517"/>
      <c r="N151" s="1517"/>
      <c r="O151" s="1517"/>
      <c r="P151" s="1518"/>
      <c r="Q151" s="1518"/>
      <c r="R151" s="1518"/>
      <c r="S151" s="1518"/>
      <c r="T151" s="1518"/>
      <c r="U151" s="1518"/>
      <c r="V151" s="1518"/>
      <c r="W151" s="1523"/>
      <c r="X151" s="2138"/>
      <c r="Y151" s="2146"/>
      <c r="Z151" s="1322"/>
    </row>
    <row r="152" spans="1:26" s="2667" customFormat="1" ht="13.5" hidden="1" customHeight="1">
      <c r="A152" s="3208"/>
      <c r="B152" s="517" t="s">
        <v>22</v>
      </c>
      <c r="C152" s="2149"/>
      <c r="D152" s="1516">
        <f>SUM(M152:W152)</f>
        <v>0</v>
      </c>
      <c r="E152" s="1431"/>
      <c r="F152" s="1431"/>
      <c r="G152" s="1431"/>
      <c r="H152" s="1431"/>
      <c r="I152" s="1431"/>
      <c r="J152" s="1431"/>
      <c r="K152" s="1431"/>
      <c r="L152" s="1431"/>
      <c r="M152" s="1431">
        <f>+M153+M156</f>
        <v>0</v>
      </c>
      <c r="N152" s="1431">
        <f t="shared" ref="N152:W152" si="150">+N153+N156</f>
        <v>0</v>
      </c>
      <c r="O152" s="1431">
        <f t="shared" si="150"/>
        <v>0</v>
      </c>
      <c r="P152" s="1431">
        <f t="shared" si="150"/>
        <v>0</v>
      </c>
      <c r="Q152" s="1431">
        <f t="shared" si="150"/>
        <v>0</v>
      </c>
      <c r="R152" s="1431">
        <f t="shared" si="150"/>
        <v>0</v>
      </c>
      <c r="S152" s="1431">
        <f t="shared" si="150"/>
        <v>0</v>
      </c>
      <c r="T152" s="1431">
        <f t="shared" si="150"/>
        <v>0</v>
      </c>
      <c r="U152" s="1431">
        <f t="shared" si="150"/>
        <v>0</v>
      </c>
      <c r="V152" s="1431">
        <f t="shared" si="150"/>
        <v>0</v>
      </c>
      <c r="W152" s="1431">
        <f t="shared" si="150"/>
        <v>0</v>
      </c>
      <c r="X152" s="1444">
        <f>SUM(M152:W152)</f>
        <v>0</v>
      </c>
      <c r="Y152" s="2146"/>
      <c r="Z152" s="1322"/>
    </row>
    <row r="153" spans="1:26" s="2667" customFormat="1" ht="13.5" hidden="1" customHeight="1">
      <c r="A153" s="3208"/>
      <c r="B153" s="698" t="s">
        <v>36</v>
      </c>
      <c r="C153" s="3237" t="s">
        <v>429</v>
      </c>
      <c r="D153" s="1436">
        <f>SUM(M153:W153)</f>
        <v>0</v>
      </c>
      <c r="E153" s="2144"/>
      <c r="F153" s="2150"/>
      <c r="G153" s="2150"/>
      <c r="H153" s="2150"/>
      <c r="I153" s="2151"/>
      <c r="J153" s="2151"/>
      <c r="K153" s="2151"/>
      <c r="L153" s="2151"/>
      <c r="M153" s="1369">
        <f>+M154+M155</f>
        <v>0</v>
      </c>
      <c r="N153" s="1369">
        <f t="shared" ref="N153:W153" si="151">+N154+N155</f>
        <v>0</v>
      </c>
      <c r="O153" s="1369">
        <f t="shared" si="151"/>
        <v>0</v>
      </c>
      <c r="P153" s="1369">
        <f t="shared" si="151"/>
        <v>0</v>
      </c>
      <c r="Q153" s="1369">
        <f t="shared" si="151"/>
        <v>0</v>
      </c>
      <c r="R153" s="1369">
        <f t="shared" si="151"/>
        <v>0</v>
      </c>
      <c r="S153" s="1369">
        <f t="shared" si="151"/>
        <v>0</v>
      </c>
      <c r="T153" s="1369">
        <f t="shared" si="151"/>
        <v>0</v>
      </c>
      <c r="U153" s="1369">
        <f t="shared" si="151"/>
        <v>0</v>
      </c>
      <c r="V153" s="1369">
        <f t="shared" si="151"/>
        <v>0</v>
      </c>
      <c r="W153" s="1369">
        <f t="shared" si="151"/>
        <v>0</v>
      </c>
      <c r="X153" s="1444">
        <f t="shared" ref="X153:X158" si="152">SUM(M153:W153)</f>
        <v>0</v>
      </c>
      <c r="Y153" s="2146"/>
      <c r="Z153" s="1322"/>
    </row>
    <row r="154" spans="1:26" s="2667" customFormat="1" ht="13.5" hidden="1" customHeight="1">
      <c r="A154" s="3208"/>
      <c r="B154" s="1533" t="s">
        <v>24</v>
      </c>
      <c r="C154" s="3281"/>
      <c r="D154" s="1392">
        <f t="shared" ref="D154:D158" si="153">SUM(M154:W154)</f>
        <v>0</v>
      </c>
      <c r="E154" s="1394"/>
      <c r="F154" s="1393"/>
      <c r="G154" s="1393"/>
      <c r="H154" s="1393"/>
      <c r="I154" s="2119"/>
      <c r="J154" s="2119"/>
      <c r="K154" s="2119"/>
      <c r="L154" s="2119"/>
      <c r="M154" s="1366"/>
      <c r="N154" s="1394"/>
      <c r="O154" s="1392"/>
      <c r="P154" s="1392">
        <f>225270-225270</f>
        <v>0</v>
      </c>
      <c r="Q154" s="1392">
        <f>1524390-1524390</f>
        <v>0</v>
      </c>
      <c r="R154" s="1392">
        <f>1840690-1840690</f>
        <v>0</v>
      </c>
      <c r="S154" s="1392"/>
      <c r="T154" s="1392"/>
      <c r="U154" s="2152"/>
      <c r="V154" s="2152"/>
      <c r="W154" s="2152"/>
      <c r="X154" s="2153">
        <f t="shared" si="152"/>
        <v>0</v>
      </c>
      <c r="Y154" s="2146"/>
      <c r="Z154" s="1322"/>
    </row>
    <row r="155" spans="1:26" s="2667" customFormat="1" ht="13.5" hidden="1" customHeight="1">
      <c r="A155" s="3208"/>
      <c r="B155" s="1533" t="s">
        <v>78</v>
      </c>
      <c r="C155" s="3281"/>
      <c r="D155" s="2142">
        <f t="shared" si="153"/>
        <v>0</v>
      </c>
      <c r="E155" s="2154"/>
      <c r="F155" s="2155"/>
      <c r="G155" s="2155"/>
      <c r="H155" s="2155"/>
      <c r="I155" s="2156"/>
      <c r="J155" s="2156"/>
      <c r="K155" s="2156"/>
      <c r="L155" s="2156"/>
      <c r="M155" s="2157"/>
      <c r="N155" s="2154"/>
      <c r="O155" s="2142"/>
      <c r="P155" s="2142"/>
      <c r="Q155" s="2142"/>
      <c r="R155" s="2142"/>
      <c r="S155" s="2142"/>
      <c r="T155" s="2142"/>
      <c r="U155" s="2158"/>
      <c r="V155" s="2158"/>
      <c r="W155" s="2158"/>
      <c r="X155" s="2159">
        <f t="shared" si="152"/>
        <v>0</v>
      </c>
      <c r="Y155" s="2146"/>
      <c r="Z155" s="1322"/>
    </row>
    <row r="156" spans="1:26" s="2667" customFormat="1" ht="13.5" hidden="1" customHeight="1">
      <c r="A156" s="3208"/>
      <c r="B156" s="518" t="s">
        <v>30</v>
      </c>
      <c r="C156" s="3281"/>
      <c r="D156" s="1436">
        <f t="shared" si="153"/>
        <v>0</v>
      </c>
      <c r="E156" s="2144"/>
      <c r="F156" s="2150"/>
      <c r="G156" s="2150"/>
      <c r="H156" s="2150"/>
      <c r="I156" s="2151"/>
      <c r="J156" s="2151"/>
      <c r="K156" s="2151"/>
      <c r="L156" s="2151"/>
      <c r="M156" s="1369">
        <f>+M157</f>
        <v>0</v>
      </c>
      <c r="N156" s="1369">
        <f t="shared" ref="N156:W156" si="154">+N157</f>
        <v>0</v>
      </c>
      <c r="O156" s="1369">
        <f t="shared" si="154"/>
        <v>0</v>
      </c>
      <c r="P156" s="1369">
        <f t="shared" si="154"/>
        <v>0</v>
      </c>
      <c r="Q156" s="1369">
        <f t="shared" si="154"/>
        <v>0</v>
      </c>
      <c r="R156" s="1369">
        <f t="shared" si="154"/>
        <v>0</v>
      </c>
      <c r="S156" s="1369">
        <f t="shared" si="154"/>
        <v>0</v>
      </c>
      <c r="T156" s="1369">
        <f t="shared" si="154"/>
        <v>0</v>
      </c>
      <c r="U156" s="1369">
        <f t="shared" si="154"/>
        <v>0</v>
      </c>
      <c r="V156" s="1369">
        <f t="shared" si="154"/>
        <v>0</v>
      </c>
      <c r="W156" s="1369">
        <f t="shared" si="154"/>
        <v>0</v>
      </c>
      <c r="X156" s="2160">
        <f t="shared" si="152"/>
        <v>0</v>
      </c>
      <c r="Y156" s="2146"/>
      <c r="Z156" s="1322"/>
    </row>
    <row r="157" spans="1:26" s="2667" customFormat="1" ht="13.5" hidden="1" customHeight="1">
      <c r="A157" s="3208"/>
      <c r="B157" s="503" t="s">
        <v>33</v>
      </c>
      <c r="C157" s="3281"/>
      <c r="D157" s="1392">
        <f t="shared" si="153"/>
        <v>0</v>
      </c>
      <c r="E157" s="1394"/>
      <c r="F157" s="1393"/>
      <c r="G157" s="1393"/>
      <c r="H157" s="1393"/>
      <c r="I157" s="2119"/>
      <c r="J157" s="2119"/>
      <c r="K157" s="2119"/>
      <c r="L157" s="2119"/>
      <c r="M157" s="1366">
        <f>+M158</f>
        <v>0</v>
      </c>
      <c r="N157" s="1366">
        <f t="shared" ref="N157:W157" si="155">+N158</f>
        <v>0</v>
      </c>
      <c r="O157" s="1366">
        <f t="shared" si="155"/>
        <v>0</v>
      </c>
      <c r="P157" s="1366">
        <f t="shared" si="155"/>
        <v>0</v>
      </c>
      <c r="Q157" s="1366">
        <f t="shared" si="155"/>
        <v>0</v>
      </c>
      <c r="R157" s="1366">
        <f t="shared" si="155"/>
        <v>0</v>
      </c>
      <c r="S157" s="1366">
        <f t="shared" si="155"/>
        <v>0</v>
      </c>
      <c r="T157" s="1366">
        <f t="shared" si="155"/>
        <v>0</v>
      </c>
      <c r="U157" s="1366">
        <f t="shared" si="155"/>
        <v>0</v>
      </c>
      <c r="V157" s="1366">
        <f t="shared" si="155"/>
        <v>0</v>
      </c>
      <c r="W157" s="1366">
        <f t="shared" si="155"/>
        <v>0</v>
      </c>
      <c r="X157" s="2153">
        <f t="shared" si="152"/>
        <v>0</v>
      </c>
      <c r="Y157" s="2146"/>
      <c r="Z157" s="1322"/>
    </row>
    <row r="158" spans="1:26" s="2667" customFormat="1" ht="24.75" hidden="1" customHeight="1">
      <c r="A158" s="3208"/>
      <c r="B158" s="817" t="s">
        <v>423</v>
      </c>
      <c r="C158" s="3238"/>
      <c r="D158" s="2142">
        <f t="shared" si="153"/>
        <v>0</v>
      </c>
      <c r="E158" s="2154"/>
      <c r="F158" s="2155"/>
      <c r="G158" s="2155"/>
      <c r="H158" s="2155"/>
      <c r="I158" s="2156"/>
      <c r="J158" s="2156"/>
      <c r="K158" s="2156"/>
      <c r="L158" s="2156"/>
      <c r="M158" s="2157"/>
      <c r="N158" s="2154"/>
      <c r="O158" s="2142"/>
      <c r="P158" s="2142">
        <f>479800-479800</f>
        <v>0</v>
      </c>
      <c r="Q158" s="2142">
        <f>624800-624800</f>
        <v>0</v>
      </c>
      <c r="R158" s="2142">
        <f>312400-312400</f>
        <v>0</v>
      </c>
      <c r="S158" s="2142"/>
      <c r="T158" s="2142"/>
      <c r="U158" s="2158"/>
      <c r="V158" s="2158"/>
      <c r="W158" s="2142"/>
      <c r="X158" s="2159">
        <f t="shared" si="152"/>
        <v>0</v>
      </c>
      <c r="Y158" s="2146"/>
      <c r="Z158" s="1322"/>
    </row>
    <row r="159" spans="1:26" s="2667" customFormat="1" ht="13.5" hidden="1" customHeight="1">
      <c r="A159" s="3208"/>
      <c r="B159" s="374" t="s">
        <v>420</v>
      </c>
      <c r="C159" s="701"/>
      <c r="D159" s="1891">
        <f t="shared" ref="D159:D164" si="156">SUM(M159:W159)</f>
        <v>0</v>
      </c>
      <c r="E159" s="1891"/>
      <c r="F159" s="1962"/>
      <c r="G159" s="1962"/>
      <c r="H159" s="1962"/>
      <c r="I159" s="1963"/>
      <c r="J159" s="1963"/>
      <c r="K159" s="1963"/>
      <c r="L159" s="1963"/>
      <c r="M159" s="1891">
        <f>+M160+M162</f>
        <v>0</v>
      </c>
      <c r="N159" s="1891">
        <f t="shared" ref="N159:W159" si="157">+N160+N162</f>
        <v>0</v>
      </c>
      <c r="O159" s="1891">
        <f t="shared" si="157"/>
        <v>0</v>
      </c>
      <c r="P159" s="1891">
        <f t="shared" si="157"/>
        <v>0</v>
      </c>
      <c r="Q159" s="1891">
        <f t="shared" si="157"/>
        <v>0</v>
      </c>
      <c r="R159" s="1891">
        <f t="shared" si="157"/>
        <v>0</v>
      </c>
      <c r="S159" s="1891">
        <f t="shared" si="157"/>
        <v>0</v>
      </c>
      <c r="T159" s="1891">
        <f t="shared" si="157"/>
        <v>0</v>
      </c>
      <c r="U159" s="1891">
        <f t="shared" si="157"/>
        <v>0</v>
      </c>
      <c r="V159" s="1891">
        <f t="shared" si="157"/>
        <v>0</v>
      </c>
      <c r="W159" s="1891">
        <f t="shared" si="157"/>
        <v>0</v>
      </c>
      <c r="X159" s="3239" t="s">
        <v>77</v>
      </c>
      <c r="Y159" s="2146"/>
      <c r="Z159" s="1322"/>
    </row>
    <row r="160" spans="1:26" s="2667" customFormat="1" ht="13.5" hidden="1" customHeight="1">
      <c r="A160" s="3208"/>
      <c r="B160" s="698" t="s">
        <v>36</v>
      </c>
      <c r="C160" s="3237" t="s">
        <v>429</v>
      </c>
      <c r="D160" s="1954">
        <f t="shared" si="156"/>
        <v>0</v>
      </c>
      <c r="E160" s="1955"/>
      <c r="F160" s="1956"/>
      <c r="G160" s="1956"/>
      <c r="H160" s="1956"/>
      <c r="I160" s="1957"/>
      <c r="J160" s="1957"/>
      <c r="K160" s="1957"/>
      <c r="L160" s="1957"/>
      <c r="M160" s="1888">
        <f>+M161</f>
        <v>0</v>
      </c>
      <c r="N160" s="1888">
        <f t="shared" ref="N160:W160" si="158">+N161</f>
        <v>0</v>
      </c>
      <c r="O160" s="1888">
        <f t="shared" si="158"/>
        <v>0</v>
      </c>
      <c r="P160" s="1888">
        <f t="shared" si="158"/>
        <v>0</v>
      </c>
      <c r="Q160" s="1888">
        <f t="shared" si="158"/>
        <v>0</v>
      </c>
      <c r="R160" s="1888">
        <f t="shared" si="158"/>
        <v>0</v>
      </c>
      <c r="S160" s="1888">
        <f t="shared" si="158"/>
        <v>0</v>
      </c>
      <c r="T160" s="1888">
        <f t="shared" si="158"/>
        <v>0</v>
      </c>
      <c r="U160" s="1888">
        <f t="shared" si="158"/>
        <v>0</v>
      </c>
      <c r="V160" s="1888">
        <f t="shared" si="158"/>
        <v>0</v>
      </c>
      <c r="W160" s="1888">
        <f t="shared" si="158"/>
        <v>0</v>
      </c>
      <c r="X160" s="3214"/>
      <c r="Y160" s="2146"/>
      <c r="Z160" s="1322"/>
    </row>
    <row r="161" spans="1:26" s="2667" customFormat="1" ht="13.5" hidden="1" customHeight="1">
      <c r="A161" s="3208"/>
      <c r="B161" s="1533" t="s">
        <v>78</v>
      </c>
      <c r="C161" s="3238"/>
      <c r="D161" s="1889">
        <f t="shared" si="156"/>
        <v>0</v>
      </c>
      <c r="E161" s="1958"/>
      <c r="F161" s="1959"/>
      <c r="G161" s="1959"/>
      <c r="H161" s="1959"/>
      <c r="I161" s="1960"/>
      <c r="J161" s="1960"/>
      <c r="K161" s="1960"/>
      <c r="L161" s="1960"/>
      <c r="M161" s="1887"/>
      <c r="N161" s="1958"/>
      <c r="O161" s="1961"/>
      <c r="P161" s="1961"/>
      <c r="Q161" s="1961"/>
      <c r="R161" s="1961"/>
      <c r="S161" s="1961"/>
      <c r="T161" s="1961"/>
      <c r="U161" s="1961"/>
      <c r="V161" s="1961"/>
      <c r="W161" s="1961"/>
      <c r="X161" s="3214"/>
      <c r="Y161" s="2146"/>
      <c r="Z161" s="1322"/>
    </row>
    <row r="162" spans="1:26" s="2667" customFormat="1" ht="12" hidden="1" customHeight="1">
      <c r="A162" s="3208"/>
      <c r="B162" s="518" t="s">
        <v>30</v>
      </c>
      <c r="C162" s="3282" t="s">
        <v>357</v>
      </c>
      <c r="D162" s="2161">
        <f t="shared" si="156"/>
        <v>0</v>
      </c>
      <c r="E162" s="2162"/>
      <c r="F162" s="2163"/>
      <c r="G162" s="2163"/>
      <c r="H162" s="2163"/>
      <c r="I162" s="2164"/>
      <c r="J162" s="2164"/>
      <c r="K162" s="2164"/>
      <c r="L162" s="2164"/>
      <c r="M162" s="2165">
        <f>+M163</f>
        <v>0</v>
      </c>
      <c r="N162" s="2165">
        <f t="shared" ref="N162:W162" si="159">+N163</f>
        <v>0</v>
      </c>
      <c r="O162" s="2165">
        <f t="shared" si="159"/>
        <v>0</v>
      </c>
      <c r="P162" s="2165">
        <f t="shared" si="159"/>
        <v>0</v>
      </c>
      <c r="Q162" s="2165">
        <f t="shared" si="159"/>
        <v>0</v>
      </c>
      <c r="R162" s="2165">
        <f t="shared" si="159"/>
        <v>0</v>
      </c>
      <c r="S162" s="2165">
        <f t="shared" si="159"/>
        <v>0</v>
      </c>
      <c r="T162" s="2165">
        <f t="shared" si="159"/>
        <v>0</v>
      </c>
      <c r="U162" s="2165">
        <f t="shared" si="159"/>
        <v>0</v>
      </c>
      <c r="V162" s="2165">
        <f t="shared" si="159"/>
        <v>0</v>
      </c>
      <c r="W162" s="2165">
        <f t="shared" si="159"/>
        <v>0</v>
      </c>
      <c r="X162" s="3214"/>
      <c r="Y162" s="2146"/>
      <c r="Z162" s="1322"/>
    </row>
    <row r="163" spans="1:26" s="2667" customFormat="1" ht="15" hidden="1" customHeight="1">
      <c r="A163" s="3208"/>
      <c r="B163" s="503" t="s">
        <v>33</v>
      </c>
      <c r="C163" s="3283"/>
      <c r="D163" s="1889">
        <f>SUM(M163:W163)</f>
        <v>0</v>
      </c>
      <c r="E163" s="1958"/>
      <c r="F163" s="1959"/>
      <c r="G163" s="1959"/>
      <c r="H163" s="1959"/>
      <c r="I163" s="1960"/>
      <c r="J163" s="1960"/>
      <c r="K163" s="1960"/>
      <c r="L163" s="1960"/>
      <c r="M163" s="1887">
        <f>+M164</f>
        <v>0</v>
      </c>
      <c r="N163" s="1887">
        <f t="shared" ref="N163:W163" si="160">+N164</f>
        <v>0</v>
      </c>
      <c r="O163" s="1887">
        <f t="shared" si="160"/>
        <v>0</v>
      </c>
      <c r="P163" s="1887">
        <f t="shared" si="160"/>
        <v>0</v>
      </c>
      <c r="Q163" s="1887">
        <f t="shared" si="160"/>
        <v>0</v>
      </c>
      <c r="R163" s="1887">
        <f t="shared" si="160"/>
        <v>0</v>
      </c>
      <c r="S163" s="1887">
        <f t="shared" si="160"/>
        <v>0</v>
      </c>
      <c r="T163" s="1887">
        <f t="shared" si="160"/>
        <v>0</v>
      </c>
      <c r="U163" s="1887">
        <f t="shared" si="160"/>
        <v>0</v>
      </c>
      <c r="V163" s="1887">
        <f t="shared" si="160"/>
        <v>0</v>
      </c>
      <c r="W163" s="1887">
        <f t="shared" si="160"/>
        <v>0</v>
      </c>
      <c r="X163" s="3214"/>
      <c r="Y163" s="2146"/>
      <c r="Z163" s="1322"/>
    </row>
    <row r="164" spans="1:26" s="2667" customFormat="1" ht="24" hidden="1" customHeight="1">
      <c r="A164" s="2670"/>
      <c r="B164" s="2166" t="s">
        <v>417</v>
      </c>
      <c r="C164" s="3283"/>
      <c r="D164" s="2167">
        <f t="shared" si="156"/>
        <v>0</v>
      </c>
      <c r="E164" s="2168"/>
      <c r="F164" s="2169"/>
      <c r="G164" s="2169"/>
      <c r="H164" s="2169"/>
      <c r="I164" s="2170"/>
      <c r="J164" s="2170"/>
      <c r="K164" s="2170"/>
      <c r="L164" s="2170"/>
      <c r="M164" s="2171"/>
      <c r="N164" s="2168"/>
      <c r="O164" s="2167"/>
      <c r="P164" s="2167">
        <f>479800-479800</f>
        <v>0</v>
      </c>
      <c r="Q164" s="2167">
        <f>624800-624800</f>
        <v>0</v>
      </c>
      <c r="R164" s="2167">
        <f>312400-312400</f>
        <v>0</v>
      </c>
      <c r="S164" s="2167"/>
      <c r="T164" s="2167"/>
      <c r="U164" s="2167"/>
      <c r="V164" s="2167"/>
      <c r="W164" s="2167"/>
      <c r="X164" s="3214"/>
      <c r="Y164" s="2146"/>
      <c r="Z164" s="1322"/>
    </row>
    <row r="165" spans="1:26" s="2667" customFormat="1" ht="15.75" hidden="1" customHeight="1">
      <c r="A165" s="3247" t="s">
        <v>450</v>
      </c>
      <c r="B165" s="2508" t="s">
        <v>422</v>
      </c>
      <c r="C165" s="2509" t="s">
        <v>98</v>
      </c>
      <c r="D165" s="2172"/>
      <c r="E165" s="2173"/>
      <c r="F165" s="2174"/>
      <c r="G165" s="2174"/>
      <c r="H165" s="2175"/>
      <c r="I165" s="2176"/>
      <c r="J165" s="2177"/>
      <c r="K165" s="2176"/>
      <c r="L165" s="2176"/>
      <c r="M165" s="2178"/>
      <c r="N165" s="2178"/>
      <c r="O165" s="2178"/>
      <c r="P165" s="2173"/>
      <c r="Q165" s="2173"/>
      <c r="R165" s="2173"/>
      <c r="S165" s="2173"/>
      <c r="T165" s="2173"/>
      <c r="U165" s="2173"/>
      <c r="V165" s="2173"/>
      <c r="W165" s="2179"/>
      <c r="X165" s="2180"/>
      <c r="Y165" s="2146"/>
      <c r="Z165" s="1322"/>
    </row>
    <row r="166" spans="1:26" s="2667" customFormat="1" ht="13.5" hidden="1" customHeight="1">
      <c r="A166" s="3208"/>
      <c r="B166" s="517" t="s">
        <v>22</v>
      </c>
      <c r="C166" s="2181"/>
      <c r="D166" s="1516">
        <f t="shared" ref="D166:D173" si="161">SUM(M166:W166)</f>
        <v>34706920</v>
      </c>
      <c r="E166" s="1431"/>
      <c r="F166" s="1431"/>
      <c r="G166" s="1431"/>
      <c r="H166" s="1431"/>
      <c r="I166" s="1431"/>
      <c r="J166" s="1431"/>
      <c r="K166" s="1431"/>
      <c r="L166" s="1431"/>
      <c r="M166" s="1431">
        <f>+M167+M170</f>
        <v>0</v>
      </c>
      <c r="N166" s="1431">
        <f t="shared" ref="N166:W166" si="162">+N167+N170</f>
        <v>0</v>
      </c>
      <c r="O166" s="1431">
        <f t="shared" si="162"/>
        <v>0</v>
      </c>
      <c r="P166" s="1431">
        <f t="shared" si="162"/>
        <v>1543800</v>
      </c>
      <c r="Q166" s="1431">
        <f t="shared" si="162"/>
        <v>14675460</v>
      </c>
      <c r="R166" s="1431">
        <f t="shared" si="162"/>
        <v>18487660</v>
      </c>
      <c r="S166" s="1431">
        <f t="shared" si="162"/>
        <v>0</v>
      </c>
      <c r="T166" s="1431">
        <f t="shared" si="162"/>
        <v>0</v>
      </c>
      <c r="U166" s="1431">
        <f t="shared" si="162"/>
        <v>0</v>
      </c>
      <c r="V166" s="1431">
        <f t="shared" si="162"/>
        <v>0</v>
      </c>
      <c r="W166" s="1431">
        <f t="shared" si="162"/>
        <v>0</v>
      </c>
      <c r="X166" s="1444">
        <f>+X167+X170</f>
        <v>34706920</v>
      </c>
      <c r="Y166" s="2146"/>
      <c r="Z166" s="1322"/>
    </row>
    <row r="167" spans="1:26" s="2667" customFormat="1" ht="14.25" hidden="1" customHeight="1">
      <c r="A167" s="3208"/>
      <c r="B167" s="698" t="s">
        <v>36</v>
      </c>
      <c r="C167" s="3237" t="s">
        <v>429</v>
      </c>
      <c r="D167" s="1954">
        <f t="shared" si="161"/>
        <v>7382720</v>
      </c>
      <c r="E167" s="1955"/>
      <c r="F167" s="1956"/>
      <c r="G167" s="1956"/>
      <c r="H167" s="1956"/>
      <c r="I167" s="1957"/>
      <c r="J167" s="1957"/>
      <c r="K167" s="1957"/>
      <c r="L167" s="1957"/>
      <c r="M167" s="1888">
        <f>+M168+M169</f>
        <v>0</v>
      </c>
      <c r="N167" s="1888">
        <f t="shared" ref="N167:W167" si="163">+N168+N169</f>
        <v>0</v>
      </c>
      <c r="O167" s="1888">
        <f t="shared" si="163"/>
        <v>0</v>
      </c>
      <c r="P167" s="1888">
        <f t="shared" si="163"/>
        <v>100000</v>
      </c>
      <c r="Q167" s="1888">
        <f t="shared" si="163"/>
        <v>4422860</v>
      </c>
      <c r="R167" s="1888">
        <f t="shared" si="163"/>
        <v>2859860</v>
      </c>
      <c r="S167" s="1888">
        <f t="shared" si="163"/>
        <v>0</v>
      </c>
      <c r="T167" s="1888">
        <f t="shared" si="163"/>
        <v>0</v>
      </c>
      <c r="U167" s="1888">
        <f t="shared" si="163"/>
        <v>0</v>
      </c>
      <c r="V167" s="1888">
        <f t="shared" si="163"/>
        <v>0</v>
      </c>
      <c r="W167" s="1888">
        <f t="shared" si="163"/>
        <v>0</v>
      </c>
      <c r="X167" s="2182">
        <f t="shared" ref="X167:X173" si="164">SUM(M167:W167)</f>
        <v>7382720</v>
      </c>
      <c r="Y167" s="2146"/>
      <c r="Z167" s="1322"/>
    </row>
    <row r="168" spans="1:26" s="2667" customFormat="1" ht="15" hidden="1" customHeight="1">
      <c r="A168" s="3208"/>
      <c r="B168" s="1533" t="s">
        <v>24</v>
      </c>
      <c r="C168" s="3281"/>
      <c r="D168" s="1889">
        <f t="shared" si="161"/>
        <v>7382720</v>
      </c>
      <c r="E168" s="1958"/>
      <c r="F168" s="1959"/>
      <c r="G168" s="1959"/>
      <c r="H168" s="1959"/>
      <c r="I168" s="1960"/>
      <c r="J168" s="1960"/>
      <c r="K168" s="1960"/>
      <c r="L168" s="1960"/>
      <c r="M168" s="1887"/>
      <c r="N168" s="1958"/>
      <c r="O168" s="1889"/>
      <c r="P168" s="1889">
        <f>1300+98700</f>
        <v>100000</v>
      </c>
      <c r="Q168" s="1889">
        <f>2771900+1650960</f>
        <v>4422860</v>
      </c>
      <c r="R168" s="1889">
        <f>1331570+1528290</f>
        <v>2859860</v>
      </c>
      <c r="S168" s="1889"/>
      <c r="T168" s="1889"/>
      <c r="U168" s="1889"/>
      <c r="V168" s="1889"/>
      <c r="W168" s="1889"/>
      <c r="X168" s="2183">
        <f t="shared" si="164"/>
        <v>7382720</v>
      </c>
      <c r="Y168" s="2146"/>
      <c r="Z168" s="1322"/>
    </row>
    <row r="169" spans="1:26" s="2667" customFormat="1" ht="17.25" hidden="1" customHeight="1">
      <c r="A169" s="3208"/>
      <c r="B169" s="1533" t="s">
        <v>78</v>
      </c>
      <c r="C169" s="3281"/>
      <c r="D169" s="1961">
        <f t="shared" si="161"/>
        <v>0</v>
      </c>
      <c r="E169" s="2184"/>
      <c r="F169" s="2185"/>
      <c r="G169" s="2185"/>
      <c r="H169" s="2185"/>
      <c r="I169" s="2186"/>
      <c r="J169" s="2186"/>
      <c r="K169" s="2186"/>
      <c r="L169" s="2186"/>
      <c r="M169" s="2187"/>
      <c r="N169" s="2184"/>
      <c r="O169" s="1961"/>
      <c r="P169" s="1961"/>
      <c r="Q169" s="1961"/>
      <c r="R169" s="1961"/>
      <c r="S169" s="1961"/>
      <c r="T169" s="1961"/>
      <c r="U169" s="1961"/>
      <c r="V169" s="1961"/>
      <c r="W169" s="1961"/>
      <c r="X169" s="2188">
        <f t="shared" si="164"/>
        <v>0</v>
      </c>
      <c r="Y169" s="2146"/>
      <c r="Z169" s="1322"/>
    </row>
    <row r="170" spans="1:26" s="1067" customFormat="1" ht="15.75" hidden="1" customHeight="1">
      <c r="A170" s="3208"/>
      <c r="B170" s="2510" t="s">
        <v>30</v>
      </c>
      <c r="C170" s="3281"/>
      <c r="D170" s="1954">
        <f t="shared" si="161"/>
        <v>27324200</v>
      </c>
      <c r="E170" s="1955"/>
      <c r="F170" s="1956"/>
      <c r="G170" s="1956"/>
      <c r="H170" s="1956"/>
      <c r="I170" s="1957"/>
      <c r="J170" s="1957"/>
      <c r="K170" s="1957"/>
      <c r="L170" s="1957"/>
      <c r="M170" s="1954">
        <f>+M171</f>
        <v>0</v>
      </c>
      <c r="N170" s="1954">
        <f t="shared" ref="N170:W170" si="165">+N171</f>
        <v>0</v>
      </c>
      <c r="O170" s="1954">
        <f t="shared" si="165"/>
        <v>0</v>
      </c>
      <c r="P170" s="1954">
        <f>+P171</f>
        <v>1443800</v>
      </c>
      <c r="Q170" s="1954">
        <f t="shared" si="165"/>
        <v>10252600</v>
      </c>
      <c r="R170" s="1954">
        <f t="shared" si="165"/>
        <v>15627800</v>
      </c>
      <c r="S170" s="1954">
        <f t="shared" si="165"/>
        <v>0</v>
      </c>
      <c r="T170" s="1954">
        <f t="shared" si="165"/>
        <v>0</v>
      </c>
      <c r="U170" s="1954">
        <f t="shared" si="165"/>
        <v>0</v>
      </c>
      <c r="V170" s="1954">
        <f t="shared" si="165"/>
        <v>0</v>
      </c>
      <c r="W170" s="1954">
        <f t="shared" si="165"/>
        <v>0</v>
      </c>
      <c r="X170" s="2182">
        <f t="shared" si="164"/>
        <v>27324200</v>
      </c>
      <c r="Y170" s="2146"/>
      <c r="Z170" s="1414"/>
    </row>
    <row r="171" spans="1:26" s="2667" customFormat="1" ht="13.5" hidden="1" customHeight="1">
      <c r="A171" s="3208"/>
      <c r="B171" s="503" t="s">
        <v>33</v>
      </c>
      <c r="C171" s="3281"/>
      <c r="D171" s="1889">
        <f t="shared" si="161"/>
        <v>27324200</v>
      </c>
      <c r="E171" s="1958"/>
      <c r="F171" s="1959"/>
      <c r="G171" s="1959"/>
      <c r="H171" s="1959"/>
      <c r="I171" s="1960"/>
      <c r="J171" s="1960"/>
      <c r="K171" s="1960"/>
      <c r="L171" s="1960"/>
      <c r="M171" s="1887">
        <f>+M172+M173</f>
        <v>0</v>
      </c>
      <c r="N171" s="1887">
        <f t="shared" ref="N171:W171" si="166">+N172+N173</f>
        <v>0</v>
      </c>
      <c r="O171" s="1887">
        <f t="shared" si="166"/>
        <v>0</v>
      </c>
      <c r="P171" s="1887">
        <f t="shared" si="166"/>
        <v>1443800</v>
      </c>
      <c r="Q171" s="1887">
        <f t="shared" si="166"/>
        <v>10252600</v>
      </c>
      <c r="R171" s="1887">
        <f t="shared" si="166"/>
        <v>15627800</v>
      </c>
      <c r="S171" s="1887">
        <f t="shared" si="166"/>
        <v>0</v>
      </c>
      <c r="T171" s="1887">
        <f t="shared" si="166"/>
        <v>0</v>
      </c>
      <c r="U171" s="1887">
        <f t="shared" si="166"/>
        <v>0</v>
      </c>
      <c r="V171" s="1887">
        <f t="shared" si="166"/>
        <v>0</v>
      </c>
      <c r="W171" s="1887">
        <f t="shared" si="166"/>
        <v>0</v>
      </c>
      <c r="X171" s="2183">
        <f t="shared" si="164"/>
        <v>27324200</v>
      </c>
      <c r="Y171" s="2146"/>
      <c r="Z171" s="1322"/>
    </row>
    <row r="172" spans="1:26" s="2667" customFormat="1" ht="27" hidden="1" customHeight="1">
      <c r="A172" s="3208"/>
      <c r="B172" s="817" t="s">
        <v>417</v>
      </c>
      <c r="C172" s="3281"/>
      <c r="D172" s="1961">
        <f t="shared" si="161"/>
        <v>17324200</v>
      </c>
      <c r="E172" s="2184"/>
      <c r="F172" s="2185"/>
      <c r="G172" s="2185"/>
      <c r="H172" s="2185"/>
      <c r="I172" s="2186"/>
      <c r="J172" s="2186"/>
      <c r="K172" s="2186"/>
      <c r="L172" s="2186"/>
      <c r="M172" s="2187">
        <v>0</v>
      </c>
      <c r="N172" s="2184"/>
      <c r="O172" s="1961">
        <v>0</v>
      </c>
      <c r="P172" s="1961">
        <f>964000+479800</f>
        <v>1443800</v>
      </c>
      <c r="Q172" s="1961">
        <f>6627800+624800</f>
        <v>7252600</v>
      </c>
      <c r="R172" s="1961">
        <f>8003000+624800</f>
        <v>8627800</v>
      </c>
      <c r="S172" s="1961">
        <v>0</v>
      </c>
      <c r="T172" s="1961">
        <v>0</v>
      </c>
      <c r="U172" s="1961">
        <v>0</v>
      </c>
      <c r="V172" s="1961">
        <v>0</v>
      </c>
      <c r="W172" s="1961">
        <v>0</v>
      </c>
      <c r="X172" s="2188">
        <f t="shared" si="164"/>
        <v>17324200</v>
      </c>
      <c r="Y172" s="2146"/>
      <c r="Z172" s="1322"/>
    </row>
    <row r="173" spans="1:26" s="2667" customFormat="1" ht="21.75" hidden="1" customHeight="1">
      <c r="A173" s="3208"/>
      <c r="B173" s="817" t="s">
        <v>418</v>
      </c>
      <c r="C173" s="3238"/>
      <c r="D173" s="1961">
        <f t="shared" si="161"/>
        <v>10000000</v>
      </c>
      <c r="E173" s="2184"/>
      <c r="F173" s="2185"/>
      <c r="G173" s="2185"/>
      <c r="H173" s="2185"/>
      <c r="I173" s="2186"/>
      <c r="J173" s="2186"/>
      <c r="K173" s="2186"/>
      <c r="L173" s="2186"/>
      <c r="M173" s="2187">
        <v>0</v>
      </c>
      <c r="N173" s="2184"/>
      <c r="O173" s="1961">
        <v>0</v>
      </c>
      <c r="P173" s="1961">
        <v>0</v>
      </c>
      <c r="Q173" s="1961">
        <v>3000000</v>
      </c>
      <c r="R173" s="1961">
        <v>7000000</v>
      </c>
      <c r="S173" s="1961"/>
      <c r="T173" s="1961">
        <v>0</v>
      </c>
      <c r="U173" s="1961">
        <v>0</v>
      </c>
      <c r="V173" s="1961">
        <v>0</v>
      </c>
      <c r="W173" s="1961">
        <v>0</v>
      </c>
      <c r="X173" s="2188">
        <f t="shared" si="164"/>
        <v>10000000</v>
      </c>
      <c r="Y173" s="2146"/>
      <c r="Z173" s="1322"/>
    </row>
    <row r="174" spans="1:26" s="2667" customFormat="1" ht="17.25" hidden="1" customHeight="1">
      <c r="A174" s="3208"/>
      <c r="B174" s="517" t="s">
        <v>420</v>
      </c>
      <c r="C174" s="701"/>
      <c r="D174" s="1431">
        <f t="shared" ref="D174:W174" si="167">+D175+D177</f>
        <v>27324200</v>
      </c>
      <c r="E174" s="1431">
        <f t="shared" si="167"/>
        <v>0</v>
      </c>
      <c r="F174" s="1431">
        <f t="shared" si="167"/>
        <v>0</v>
      </c>
      <c r="G174" s="1431">
        <f t="shared" si="167"/>
        <v>0</v>
      </c>
      <c r="H174" s="1431">
        <f t="shared" si="167"/>
        <v>0</v>
      </c>
      <c r="I174" s="1431">
        <f t="shared" si="167"/>
        <v>0</v>
      </c>
      <c r="J174" s="1431">
        <f t="shared" si="167"/>
        <v>0</v>
      </c>
      <c r="K174" s="1431">
        <f t="shared" si="167"/>
        <v>0</v>
      </c>
      <c r="L174" s="1431">
        <f t="shared" si="167"/>
        <v>0</v>
      </c>
      <c r="M174" s="1431">
        <f t="shared" si="167"/>
        <v>0</v>
      </c>
      <c r="N174" s="1431">
        <f t="shared" si="167"/>
        <v>0</v>
      </c>
      <c r="O174" s="1431">
        <f t="shared" si="167"/>
        <v>0</v>
      </c>
      <c r="P174" s="1431">
        <f t="shared" si="167"/>
        <v>1443800</v>
      </c>
      <c r="Q174" s="1431">
        <f t="shared" si="167"/>
        <v>10252600</v>
      </c>
      <c r="R174" s="1431">
        <f t="shared" si="167"/>
        <v>15627800</v>
      </c>
      <c r="S174" s="1431">
        <f t="shared" si="167"/>
        <v>0</v>
      </c>
      <c r="T174" s="1431">
        <f t="shared" si="167"/>
        <v>0</v>
      </c>
      <c r="U174" s="1431">
        <f t="shared" si="167"/>
        <v>0</v>
      </c>
      <c r="V174" s="1431">
        <f t="shared" si="167"/>
        <v>0</v>
      </c>
      <c r="W174" s="1431">
        <f t="shared" si="167"/>
        <v>0</v>
      </c>
      <c r="X174" s="3239" t="s">
        <v>77</v>
      </c>
      <c r="Y174" s="2146"/>
      <c r="Z174" s="1322"/>
    </row>
    <row r="175" spans="1:26" s="2667" customFormat="1" ht="13.5" hidden="1" customHeight="1">
      <c r="A175" s="3208"/>
      <c r="B175" s="698" t="s">
        <v>36</v>
      </c>
      <c r="C175" s="3237" t="s">
        <v>429</v>
      </c>
      <c r="D175" s="1954">
        <f t="shared" ref="D175:D180" si="168">SUM(M175:W175)</f>
        <v>0</v>
      </c>
      <c r="E175" s="1955"/>
      <c r="F175" s="1956"/>
      <c r="G175" s="1956"/>
      <c r="H175" s="1956"/>
      <c r="I175" s="1957"/>
      <c r="J175" s="1957"/>
      <c r="K175" s="1957"/>
      <c r="L175" s="1957"/>
      <c r="M175" s="1888">
        <f t="shared" ref="M175:W175" si="169">+M176</f>
        <v>0</v>
      </c>
      <c r="N175" s="1888">
        <f t="shared" si="169"/>
        <v>0</v>
      </c>
      <c r="O175" s="1888">
        <f t="shared" si="169"/>
        <v>0</v>
      </c>
      <c r="P175" s="1888">
        <f t="shared" si="169"/>
        <v>0</v>
      </c>
      <c r="Q175" s="1888">
        <f t="shared" si="169"/>
        <v>0</v>
      </c>
      <c r="R175" s="1888">
        <f t="shared" si="169"/>
        <v>0</v>
      </c>
      <c r="S175" s="1888">
        <f t="shared" si="169"/>
        <v>0</v>
      </c>
      <c r="T175" s="1888">
        <f t="shared" si="169"/>
        <v>0</v>
      </c>
      <c r="U175" s="1888">
        <f t="shared" si="169"/>
        <v>0</v>
      </c>
      <c r="V175" s="1888">
        <f t="shared" si="169"/>
        <v>0</v>
      </c>
      <c r="W175" s="1888">
        <f t="shared" si="169"/>
        <v>0</v>
      </c>
      <c r="X175" s="3214"/>
      <c r="Y175" s="2146"/>
      <c r="Z175" s="1322"/>
    </row>
    <row r="176" spans="1:26" s="2667" customFormat="1" ht="15" hidden="1" customHeight="1">
      <c r="A176" s="3208"/>
      <c r="B176" s="1533" t="s">
        <v>78</v>
      </c>
      <c r="C176" s="3238"/>
      <c r="D176" s="1961">
        <f t="shared" si="168"/>
        <v>0</v>
      </c>
      <c r="E176" s="2184"/>
      <c r="F176" s="2185"/>
      <c r="G176" s="2185"/>
      <c r="H176" s="2185"/>
      <c r="I176" s="2186"/>
      <c r="J176" s="2186"/>
      <c r="K176" s="2186"/>
      <c r="L176" s="2186"/>
      <c r="M176" s="2187"/>
      <c r="N176" s="2184"/>
      <c r="O176" s="1961"/>
      <c r="P176" s="1961"/>
      <c r="Q176" s="1961"/>
      <c r="R176" s="1961"/>
      <c r="S176" s="1961"/>
      <c r="T176" s="1961"/>
      <c r="U176" s="1961"/>
      <c r="V176" s="1961"/>
      <c r="W176" s="1961"/>
      <c r="X176" s="3214"/>
      <c r="Y176" s="2146"/>
      <c r="Z176" s="1322"/>
    </row>
    <row r="177" spans="1:26" s="2667" customFormat="1" ht="18.75" hidden="1" customHeight="1">
      <c r="A177" s="3208"/>
      <c r="B177" s="2510" t="s">
        <v>30</v>
      </c>
      <c r="C177" s="3287" t="s">
        <v>436</v>
      </c>
      <c r="D177" s="1954">
        <f t="shared" si="168"/>
        <v>27324200</v>
      </c>
      <c r="E177" s="1955"/>
      <c r="F177" s="1956"/>
      <c r="G177" s="1956"/>
      <c r="H177" s="1956"/>
      <c r="I177" s="1957"/>
      <c r="J177" s="1957"/>
      <c r="K177" s="1957"/>
      <c r="L177" s="1957"/>
      <c r="M177" s="1888">
        <f>+M178</f>
        <v>0</v>
      </c>
      <c r="N177" s="1888">
        <f t="shared" ref="N177:W177" si="170">+N178</f>
        <v>0</v>
      </c>
      <c r="O177" s="1888">
        <f t="shared" si="170"/>
        <v>0</v>
      </c>
      <c r="P177" s="1888">
        <f t="shared" si="170"/>
        <v>1443800</v>
      </c>
      <c r="Q177" s="1888">
        <f t="shared" si="170"/>
        <v>10252600</v>
      </c>
      <c r="R177" s="1888">
        <f t="shared" si="170"/>
        <v>15627800</v>
      </c>
      <c r="S177" s="1888">
        <f t="shared" si="170"/>
        <v>0</v>
      </c>
      <c r="T177" s="1888">
        <f t="shared" si="170"/>
        <v>0</v>
      </c>
      <c r="U177" s="1888">
        <f t="shared" si="170"/>
        <v>0</v>
      </c>
      <c r="V177" s="1888">
        <f t="shared" si="170"/>
        <v>0</v>
      </c>
      <c r="W177" s="1888">
        <f t="shared" si="170"/>
        <v>0</v>
      </c>
      <c r="X177" s="3214"/>
      <c r="Y177" s="2146"/>
      <c r="Z177" s="1322"/>
    </row>
    <row r="178" spans="1:26" s="2667" customFormat="1" ht="18" hidden="1" customHeight="1">
      <c r="A178" s="3248"/>
      <c r="B178" s="2315" t="s">
        <v>33</v>
      </c>
      <c r="C178" s="3288"/>
      <c r="D178" s="1889">
        <f t="shared" si="168"/>
        <v>27324200</v>
      </c>
      <c r="E178" s="1958"/>
      <c r="F178" s="1959"/>
      <c r="G178" s="1959"/>
      <c r="H178" s="1959"/>
      <c r="I178" s="1960"/>
      <c r="J178" s="1960"/>
      <c r="K178" s="1960"/>
      <c r="L178" s="1960"/>
      <c r="M178" s="1887">
        <f>+M179+M180</f>
        <v>0</v>
      </c>
      <c r="N178" s="1887">
        <f t="shared" ref="N178:W178" si="171">+N179+N180</f>
        <v>0</v>
      </c>
      <c r="O178" s="1887">
        <f t="shared" si="171"/>
        <v>0</v>
      </c>
      <c r="P178" s="1889">
        <f>+P179+P180</f>
        <v>1443800</v>
      </c>
      <c r="Q178" s="1889">
        <f t="shared" si="171"/>
        <v>10252600</v>
      </c>
      <c r="R178" s="1889">
        <f t="shared" si="171"/>
        <v>15627800</v>
      </c>
      <c r="S178" s="1889">
        <f t="shared" si="171"/>
        <v>0</v>
      </c>
      <c r="T178" s="1889">
        <f t="shared" si="171"/>
        <v>0</v>
      </c>
      <c r="U178" s="1889">
        <f t="shared" si="171"/>
        <v>0</v>
      </c>
      <c r="V178" s="1889">
        <f t="shared" si="171"/>
        <v>0</v>
      </c>
      <c r="W178" s="1889">
        <f t="shared" si="171"/>
        <v>0</v>
      </c>
      <c r="X178" s="3214"/>
      <c r="Y178" s="2146"/>
      <c r="Z178" s="1322"/>
    </row>
    <row r="179" spans="1:26" s="2667" customFormat="1" ht="22.5" hidden="1" customHeight="1">
      <c r="A179" s="2110"/>
      <c r="B179" s="2145" t="s">
        <v>424</v>
      </c>
      <c r="C179" s="2668" t="s">
        <v>357</v>
      </c>
      <c r="D179" s="1961">
        <f t="shared" si="168"/>
        <v>17324200</v>
      </c>
      <c r="E179" s="2184"/>
      <c r="F179" s="2185"/>
      <c r="G179" s="2185"/>
      <c r="H179" s="2185"/>
      <c r="I179" s="2186"/>
      <c r="J179" s="2186"/>
      <c r="K179" s="2186"/>
      <c r="L179" s="2186"/>
      <c r="M179" s="2187"/>
      <c r="N179" s="2184"/>
      <c r="O179" s="1961"/>
      <c r="P179" s="1961">
        <f>964000+479800</f>
        <v>1443800</v>
      </c>
      <c r="Q179" s="1961">
        <f>6627800+624800</f>
        <v>7252600</v>
      </c>
      <c r="R179" s="1961">
        <f>8003000+624800</f>
        <v>8627800</v>
      </c>
      <c r="S179" s="1961"/>
      <c r="T179" s="1961"/>
      <c r="U179" s="1961"/>
      <c r="V179" s="1961"/>
      <c r="W179" s="1961"/>
      <c r="X179" s="3214"/>
      <c r="Y179" s="2146"/>
      <c r="Z179" s="1322"/>
    </row>
    <row r="180" spans="1:26" s="2667" customFormat="1" ht="24" hidden="1" customHeight="1">
      <c r="A180" s="2110"/>
      <c r="B180" s="817" t="s">
        <v>425</v>
      </c>
      <c r="C180" s="2668" t="s">
        <v>309</v>
      </c>
      <c r="D180" s="1889">
        <f t="shared" si="168"/>
        <v>10000000</v>
      </c>
      <c r="E180" s="1958"/>
      <c r="F180" s="1959"/>
      <c r="G180" s="1959"/>
      <c r="H180" s="1959"/>
      <c r="I180" s="1960"/>
      <c r="J180" s="1960"/>
      <c r="K180" s="1960"/>
      <c r="L180" s="1960"/>
      <c r="M180" s="1887"/>
      <c r="N180" s="1958"/>
      <c r="O180" s="1889"/>
      <c r="P180" s="1889">
        <v>0</v>
      </c>
      <c r="Q180" s="1889">
        <v>3000000</v>
      </c>
      <c r="R180" s="1889">
        <v>7000000</v>
      </c>
      <c r="S180" s="1889"/>
      <c r="T180" s="1889"/>
      <c r="U180" s="1889"/>
      <c r="V180" s="1889"/>
      <c r="W180" s="1889"/>
      <c r="X180" s="3240"/>
      <c r="Y180" s="2146"/>
      <c r="Z180" s="1322"/>
    </row>
    <row r="181" spans="1:26" s="2667" customFormat="1" ht="15" hidden="1" customHeight="1">
      <c r="A181" s="3208" t="s">
        <v>452</v>
      </c>
      <c r="B181" s="1532" t="s">
        <v>426</v>
      </c>
      <c r="C181" s="2189" t="s">
        <v>130</v>
      </c>
      <c r="D181" s="2172"/>
      <c r="E181" s="2173"/>
      <c r="F181" s="2174"/>
      <c r="G181" s="2174"/>
      <c r="H181" s="2175"/>
      <c r="I181" s="2176"/>
      <c r="J181" s="2177"/>
      <c r="K181" s="2176"/>
      <c r="L181" s="2176"/>
      <c r="M181" s="2178"/>
      <c r="N181" s="2178"/>
      <c r="O181" s="2178"/>
      <c r="P181" s="2173"/>
      <c r="Q181" s="2173"/>
      <c r="R181" s="2173"/>
      <c r="S181" s="2173"/>
      <c r="T181" s="2173"/>
      <c r="U181" s="2173"/>
      <c r="V181" s="2173"/>
      <c r="W181" s="2179"/>
      <c r="X181" s="2180"/>
      <c r="Y181" s="2146"/>
      <c r="Z181" s="1322"/>
    </row>
    <row r="182" spans="1:26" s="2667" customFormat="1" ht="13.5" hidden="1" customHeight="1">
      <c r="A182" s="3208"/>
      <c r="B182" s="517" t="s">
        <v>22</v>
      </c>
      <c r="C182" s="2181"/>
      <c r="D182" s="1516">
        <f>+D183+D185</f>
        <v>0</v>
      </c>
      <c r="E182" s="1516">
        <f t="shared" ref="E182:W182" si="172">+E183+E185</f>
        <v>0</v>
      </c>
      <c r="F182" s="1516">
        <f t="shared" si="172"/>
        <v>0</v>
      </c>
      <c r="G182" s="1516">
        <f t="shared" si="172"/>
        <v>0</v>
      </c>
      <c r="H182" s="1516">
        <f t="shared" si="172"/>
        <v>0</v>
      </c>
      <c r="I182" s="1516">
        <f t="shared" si="172"/>
        <v>0</v>
      </c>
      <c r="J182" s="1516">
        <f t="shared" si="172"/>
        <v>0</v>
      </c>
      <c r="K182" s="1516">
        <f t="shared" si="172"/>
        <v>0</v>
      </c>
      <c r="L182" s="1516">
        <f t="shared" si="172"/>
        <v>0</v>
      </c>
      <c r="M182" s="1516">
        <f t="shared" si="172"/>
        <v>0</v>
      </c>
      <c r="N182" s="1516">
        <f t="shared" si="172"/>
        <v>0</v>
      </c>
      <c r="O182" s="1516">
        <f t="shared" si="172"/>
        <v>0</v>
      </c>
      <c r="P182" s="1516">
        <f t="shared" si="172"/>
        <v>0</v>
      </c>
      <c r="Q182" s="1516">
        <f t="shared" si="172"/>
        <v>0</v>
      </c>
      <c r="R182" s="1516">
        <f t="shared" si="172"/>
        <v>0</v>
      </c>
      <c r="S182" s="1516">
        <f t="shared" si="172"/>
        <v>0</v>
      </c>
      <c r="T182" s="1516">
        <f t="shared" si="172"/>
        <v>0</v>
      </c>
      <c r="U182" s="1516">
        <f t="shared" si="172"/>
        <v>0</v>
      </c>
      <c r="V182" s="1516">
        <f t="shared" si="172"/>
        <v>0</v>
      </c>
      <c r="W182" s="1516">
        <f t="shared" si="172"/>
        <v>0</v>
      </c>
      <c r="X182" s="2190">
        <f>+X183+X185</f>
        <v>0</v>
      </c>
      <c r="Y182" s="2146"/>
      <c r="Z182" s="1322"/>
    </row>
    <row r="183" spans="1:26" s="2667" customFormat="1" ht="13.5" hidden="1" customHeight="1">
      <c r="A183" s="3208"/>
      <c r="B183" s="2191" t="s">
        <v>36</v>
      </c>
      <c r="C183" s="3289" t="s">
        <v>429</v>
      </c>
      <c r="D183" s="1954">
        <f>SUM(M183:W183)</f>
        <v>0</v>
      </c>
      <c r="E183" s="1958"/>
      <c r="F183" s="1959"/>
      <c r="G183" s="1959"/>
      <c r="H183" s="1959"/>
      <c r="I183" s="1960"/>
      <c r="J183" s="1960"/>
      <c r="K183" s="1960"/>
      <c r="L183" s="1960"/>
      <c r="M183" s="1888">
        <f>+M184</f>
        <v>0</v>
      </c>
      <c r="N183" s="1888">
        <f t="shared" ref="N183:W183" si="173">+N184</f>
        <v>0</v>
      </c>
      <c r="O183" s="1888">
        <f t="shared" si="173"/>
        <v>0</v>
      </c>
      <c r="P183" s="1888">
        <f t="shared" si="173"/>
        <v>0</v>
      </c>
      <c r="Q183" s="1888">
        <f t="shared" si="173"/>
        <v>0</v>
      </c>
      <c r="R183" s="1888">
        <f t="shared" si="173"/>
        <v>0</v>
      </c>
      <c r="S183" s="1888">
        <f t="shared" si="173"/>
        <v>0</v>
      </c>
      <c r="T183" s="1888">
        <f t="shared" si="173"/>
        <v>0</v>
      </c>
      <c r="U183" s="1888">
        <f t="shared" si="173"/>
        <v>0</v>
      </c>
      <c r="V183" s="1888">
        <f t="shared" si="173"/>
        <v>0</v>
      </c>
      <c r="W183" s="1888">
        <f t="shared" si="173"/>
        <v>0</v>
      </c>
      <c r="X183" s="2182">
        <f>SUM(M183:W183)</f>
        <v>0</v>
      </c>
      <c r="Y183" s="2146"/>
      <c r="Z183" s="1322"/>
    </row>
    <row r="184" spans="1:26" s="2667" customFormat="1" ht="13.5" hidden="1" customHeight="1">
      <c r="A184" s="3208"/>
      <c r="B184" s="2192" t="s">
        <v>24</v>
      </c>
      <c r="C184" s="3290"/>
      <c r="D184" s="1961">
        <f>SUM(M184:W184)</f>
        <v>0</v>
      </c>
      <c r="E184" s="2184"/>
      <c r="F184" s="2185"/>
      <c r="G184" s="2185"/>
      <c r="H184" s="2185"/>
      <c r="I184" s="2186"/>
      <c r="J184" s="2186"/>
      <c r="K184" s="2186"/>
      <c r="L184" s="2186"/>
      <c r="M184" s="2187">
        <v>0</v>
      </c>
      <c r="N184" s="2184"/>
      <c r="O184" s="1961">
        <v>0</v>
      </c>
      <c r="P184" s="1961">
        <v>0</v>
      </c>
      <c r="Q184" s="1961">
        <v>0</v>
      </c>
      <c r="R184" s="1961">
        <v>0</v>
      </c>
      <c r="S184" s="1961">
        <v>0</v>
      </c>
      <c r="T184" s="1961">
        <v>0</v>
      </c>
      <c r="U184" s="1961">
        <v>0</v>
      </c>
      <c r="V184" s="1961">
        <v>0</v>
      </c>
      <c r="W184" s="1961"/>
      <c r="X184" s="2188">
        <f>SUM(M184:W184)</f>
        <v>0</v>
      </c>
      <c r="Y184" s="2146"/>
      <c r="Z184" s="1322"/>
    </row>
    <row r="185" spans="1:26" s="2667" customFormat="1" ht="13.5" hidden="1" customHeight="1">
      <c r="A185" s="3208"/>
      <c r="B185" s="518" t="s">
        <v>30</v>
      </c>
      <c r="C185" s="3284" t="s">
        <v>186</v>
      </c>
      <c r="D185" s="1954">
        <f>SUM(M185:W185)</f>
        <v>0</v>
      </c>
      <c r="E185" s="1955"/>
      <c r="F185" s="1956"/>
      <c r="G185" s="1956"/>
      <c r="H185" s="1956"/>
      <c r="I185" s="1957"/>
      <c r="J185" s="1957"/>
      <c r="K185" s="1957"/>
      <c r="L185" s="1957"/>
      <c r="M185" s="1888">
        <f>+M186</f>
        <v>0</v>
      </c>
      <c r="N185" s="1888">
        <f t="shared" ref="N185:W185" si="174">+N186</f>
        <v>0</v>
      </c>
      <c r="O185" s="1888">
        <f t="shared" si="174"/>
        <v>0</v>
      </c>
      <c r="P185" s="1888">
        <f t="shared" si="174"/>
        <v>0</v>
      </c>
      <c r="Q185" s="1888">
        <f t="shared" si="174"/>
        <v>0</v>
      </c>
      <c r="R185" s="1888">
        <f t="shared" si="174"/>
        <v>0</v>
      </c>
      <c r="S185" s="1888">
        <f t="shared" si="174"/>
        <v>0</v>
      </c>
      <c r="T185" s="1888">
        <f t="shared" si="174"/>
        <v>0</v>
      </c>
      <c r="U185" s="1888">
        <f t="shared" si="174"/>
        <v>0</v>
      </c>
      <c r="V185" s="1888">
        <f t="shared" si="174"/>
        <v>0</v>
      </c>
      <c r="W185" s="1888">
        <f t="shared" si="174"/>
        <v>0</v>
      </c>
      <c r="X185" s="2182">
        <f>SUM(M185:W185)</f>
        <v>0</v>
      </c>
      <c r="Y185" s="2146"/>
      <c r="Z185" s="1322"/>
    </row>
    <row r="186" spans="1:26" s="2667" customFormat="1" ht="13.5" hidden="1" customHeight="1">
      <c r="A186" s="3208"/>
      <c r="B186" s="503" t="s">
        <v>33</v>
      </c>
      <c r="C186" s="3285"/>
      <c r="D186" s="1889">
        <f>SUM(M186:W186)</f>
        <v>0</v>
      </c>
      <c r="E186" s="1958"/>
      <c r="F186" s="1959"/>
      <c r="G186" s="1959"/>
      <c r="H186" s="1959"/>
      <c r="I186" s="1960"/>
      <c r="J186" s="1960"/>
      <c r="K186" s="1960"/>
      <c r="L186" s="1960"/>
      <c r="M186" s="1887">
        <f>+M187</f>
        <v>0</v>
      </c>
      <c r="N186" s="1887">
        <f t="shared" ref="N186:W186" si="175">+N187</f>
        <v>0</v>
      </c>
      <c r="O186" s="1887">
        <f t="shared" si="175"/>
        <v>0</v>
      </c>
      <c r="P186" s="1887">
        <f t="shared" si="175"/>
        <v>0</v>
      </c>
      <c r="Q186" s="1887">
        <f t="shared" si="175"/>
        <v>0</v>
      </c>
      <c r="R186" s="1887">
        <f t="shared" si="175"/>
        <v>0</v>
      </c>
      <c r="S186" s="1887">
        <f t="shared" si="175"/>
        <v>0</v>
      </c>
      <c r="T186" s="1887">
        <f t="shared" si="175"/>
        <v>0</v>
      </c>
      <c r="U186" s="1887">
        <f t="shared" si="175"/>
        <v>0</v>
      </c>
      <c r="V186" s="1887">
        <f t="shared" si="175"/>
        <v>0</v>
      </c>
      <c r="W186" s="1887">
        <f t="shared" si="175"/>
        <v>0</v>
      </c>
      <c r="X186" s="2183">
        <f>SUM(M186:W186)</f>
        <v>0</v>
      </c>
      <c r="Y186" s="2146"/>
      <c r="Z186" s="1322"/>
    </row>
    <row r="187" spans="1:26" s="2667" customFormat="1" ht="22.5" hidden="1" customHeight="1">
      <c r="A187" s="3208"/>
      <c r="B187" s="2193" t="s">
        <v>423</v>
      </c>
      <c r="C187" s="3286"/>
      <c r="D187" s="1961">
        <f>SUM(M187:W187)</f>
        <v>0</v>
      </c>
      <c r="E187" s="2184"/>
      <c r="F187" s="2185"/>
      <c r="G187" s="2185"/>
      <c r="H187" s="2185"/>
      <c r="I187" s="2186"/>
      <c r="J187" s="2186"/>
      <c r="K187" s="2186"/>
      <c r="L187" s="2186"/>
      <c r="M187" s="2187">
        <v>0</v>
      </c>
      <c r="N187" s="2184"/>
      <c r="O187" s="1961">
        <v>0</v>
      </c>
      <c r="P187" s="1961">
        <v>0</v>
      </c>
      <c r="Q187" s="1961">
        <v>0</v>
      </c>
      <c r="R187" s="1961">
        <f>312400-312400</f>
        <v>0</v>
      </c>
      <c r="S187" s="1961">
        <f>624800-624800</f>
        <v>0</v>
      </c>
      <c r="T187" s="1961">
        <f>625000-625000</f>
        <v>0</v>
      </c>
      <c r="U187" s="1961">
        <v>0</v>
      </c>
      <c r="V187" s="1961">
        <v>0</v>
      </c>
      <c r="W187" s="1961">
        <v>0</v>
      </c>
      <c r="X187" s="2188">
        <f>SUM(M187:W187)</f>
        <v>0</v>
      </c>
      <c r="Y187" s="2146"/>
      <c r="Z187" s="1322"/>
    </row>
    <row r="188" spans="1:26" s="2667" customFormat="1" ht="13.5" hidden="1" customHeight="1">
      <c r="A188" s="3208"/>
      <c r="B188" s="517" t="s">
        <v>420</v>
      </c>
      <c r="C188" s="708"/>
      <c r="D188" s="1431">
        <f>+D189</f>
        <v>0</v>
      </c>
      <c r="E188" s="1431">
        <f t="shared" ref="E188:W188" si="176">+E189</f>
        <v>0</v>
      </c>
      <c r="F188" s="1431">
        <f t="shared" si="176"/>
        <v>0</v>
      </c>
      <c r="G188" s="1431">
        <f t="shared" si="176"/>
        <v>0</v>
      </c>
      <c r="H188" s="1431">
        <f t="shared" si="176"/>
        <v>0</v>
      </c>
      <c r="I188" s="1431">
        <f t="shared" si="176"/>
        <v>0</v>
      </c>
      <c r="J188" s="1431">
        <f t="shared" si="176"/>
        <v>0</v>
      </c>
      <c r="K188" s="1431">
        <f t="shared" si="176"/>
        <v>0</v>
      </c>
      <c r="L188" s="1431">
        <f t="shared" si="176"/>
        <v>0</v>
      </c>
      <c r="M188" s="1431">
        <f t="shared" si="176"/>
        <v>0</v>
      </c>
      <c r="N188" s="1431">
        <f t="shared" si="176"/>
        <v>0</v>
      </c>
      <c r="O188" s="1431">
        <f t="shared" si="176"/>
        <v>0</v>
      </c>
      <c r="P188" s="1431">
        <f t="shared" si="176"/>
        <v>0</v>
      </c>
      <c r="Q188" s="1431">
        <f t="shared" si="176"/>
        <v>0</v>
      </c>
      <c r="R188" s="1431">
        <f t="shared" si="176"/>
        <v>0</v>
      </c>
      <c r="S188" s="1431">
        <f t="shared" si="176"/>
        <v>0</v>
      </c>
      <c r="T188" s="1431">
        <f t="shared" si="176"/>
        <v>0</v>
      </c>
      <c r="U188" s="1431">
        <f t="shared" si="176"/>
        <v>0</v>
      </c>
      <c r="V188" s="1431">
        <f t="shared" si="176"/>
        <v>0</v>
      </c>
      <c r="W188" s="1431">
        <f t="shared" si="176"/>
        <v>0</v>
      </c>
      <c r="X188" s="3239" t="s">
        <v>77</v>
      </c>
      <c r="Y188" s="2146"/>
      <c r="Z188" s="1322"/>
    </row>
    <row r="189" spans="1:26" s="2667" customFormat="1" ht="13.5" hidden="1" customHeight="1">
      <c r="A189" s="3208"/>
      <c r="B189" s="518" t="s">
        <v>30</v>
      </c>
      <c r="C189" s="3284" t="s">
        <v>357</v>
      </c>
      <c r="D189" s="1954">
        <f>SUM(M189:W189)</f>
        <v>0</v>
      </c>
      <c r="E189" s="1955"/>
      <c r="F189" s="1956"/>
      <c r="G189" s="1956"/>
      <c r="H189" s="1956"/>
      <c r="I189" s="1957"/>
      <c r="J189" s="1957"/>
      <c r="K189" s="1957"/>
      <c r="L189" s="1957"/>
      <c r="M189" s="1976">
        <f>+M190</f>
        <v>0</v>
      </c>
      <c r="N189" s="1976">
        <f t="shared" ref="N189:W190" si="177">+N190</f>
        <v>0</v>
      </c>
      <c r="O189" s="1976">
        <f t="shared" si="177"/>
        <v>0</v>
      </c>
      <c r="P189" s="1976">
        <f t="shared" si="177"/>
        <v>0</v>
      </c>
      <c r="Q189" s="1976">
        <f t="shared" si="177"/>
        <v>0</v>
      </c>
      <c r="R189" s="1976">
        <f t="shared" si="177"/>
        <v>0</v>
      </c>
      <c r="S189" s="1976">
        <f t="shared" si="177"/>
        <v>0</v>
      </c>
      <c r="T189" s="1976">
        <f t="shared" si="177"/>
        <v>0</v>
      </c>
      <c r="U189" s="1976">
        <f t="shared" si="177"/>
        <v>0</v>
      </c>
      <c r="V189" s="1976">
        <f t="shared" si="177"/>
        <v>0</v>
      </c>
      <c r="W189" s="1976">
        <f t="shared" si="177"/>
        <v>0</v>
      </c>
      <c r="X189" s="3214"/>
      <c r="Y189" s="2146"/>
      <c r="Z189" s="1322"/>
    </row>
    <row r="190" spans="1:26" s="2667" customFormat="1" ht="13.5" hidden="1" customHeight="1" thickBot="1">
      <c r="A190" s="3245"/>
      <c r="B190" s="512" t="s">
        <v>33</v>
      </c>
      <c r="C190" s="3293"/>
      <c r="D190" s="1869">
        <f>SUM(M190:W190)</f>
        <v>0</v>
      </c>
      <c r="E190" s="706"/>
      <c r="F190" s="1379"/>
      <c r="G190" s="1379"/>
      <c r="H190" s="1379"/>
      <c r="I190" s="1380"/>
      <c r="J190" s="1380"/>
      <c r="K190" s="1380"/>
      <c r="L190" s="1380"/>
      <c r="M190" s="709">
        <f>+M191</f>
        <v>0</v>
      </c>
      <c r="N190" s="709">
        <f t="shared" si="177"/>
        <v>0</v>
      </c>
      <c r="O190" s="709">
        <f t="shared" si="177"/>
        <v>0</v>
      </c>
      <c r="P190" s="709">
        <f t="shared" si="177"/>
        <v>0</v>
      </c>
      <c r="Q190" s="709">
        <f t="shared" si="177"/>
        <v>0</v>
      </c>
      <c r="R190" s="709">
        <f t="shared" si="177"/>
        <v>0</v>
      </c>
      <c r="S190" s="709">
        <f t="shared" si="177"/>
        <v>0</v>
      </c>
      <c r="T190" s="709">
        <f t="shared" si="177"/>
        <v>0</v>
      </c>
      <c r="U190" s="709">
        <f t="shared" si="177"/>
        <v>0</v>
      </c>
      <c r="V190" s="709">
        <f t="shared" si="177"/>
        <v>0</v>
      </c>
      <c r="W190" s="709">
        <f t="shared" si="177"/>
        <v>0</v>
      </c>
      <c r="X190" s="3215"/>
      <c r="Y190" s="2194"/>
      <c r="Z190" s="1322">
        <f>+D186+D197</f>
        <v>44539800</v>
      </c>
    </row>
    <row r="191" spans="1:26" s="2667" customFormat="1" ht="12" hidden="1" customHeight="1" thickBot="1">
      <c r="A191" s="2111"/>
      <c r="B191" s="2195" t="s">
        <v>417</v>
      </c>
      <c r="C191" s="2196"/>
      <c r="D191" s="2197">
        <f>SUM(M191:W191)</f>
        <v>0</v>
      </c>
      <c r="E191" s="2198"/>
      <c r="F191" s="2199"/>
      <c r="G191" s="2199"/>
      <c r="H191" s="2199"/>
      <c r="I191" s="2200"/>
      <c r="J191" s="2200"/>
      <c r="K191" s="2200"/>
      <c r="L191" s="2200"/>
      <c r="M191" s="2201"/>
      <c r="N191" s="2198"/>
      <c r="O191" s="2197"/>
      <c r="P191" s="2197"/>
      <c r="Q191" s="2197">
        <v>0</v>
      </c>
      <c r="R191" s="2197">
        <f>312400-312400</f>
        <v>0</v>
      </c>
      <c r="S191" s="2197">
        <f>624800-624800</f>
        <v>0</v>
      </c>
      <c r="T191" s="2197">
        <f>625000-625000</f>
        <v>0</v>
      </c>
      <c r="U191" s="2202"/>
      <c r="V191" s="2202"/>
      <c r="W191" s="2197"/>
      <c r="X191" s="2008"/>
      <c r="Y191" s="2194"/>
      <c r="Z191" s="1322"/>
    </row>
    <row r="192" spans="1:26" s="2667" customFormat="1" ht="16.5" hidden="1" customHeight="1">
      <c r="A192" s="3208" t="s">
        <v>451</v>
      </c>
      <c r="B192" s="1532" t="s">
        <v>426</v>
      </c>
      <c r="C192" s="2511" t="s">
        <v>98</v>
      </c>
      <c r="D192" s="2512"/>
      <c r="E192" s="2513"/>
      <c r="F192" s="2514"/>
      <c r="G192" s="2514"/>
      <c r="H192" s="2515"/>
      <c r="I192" s="2516"/>
      <c r="J192" s="2517"/>
      <c r="K192" s="2516"/>
      <c r="L192" s="2516"/>
      <c r="M192" s="2518"/>
      <c r="N192" s="2518"/>
      <c r="O192" s="2518"/>
      <c r="P192" s="2513"/>
      <c r="Q192" s="2513"/>
      <c r="R192" s="2513"/>
      <c r="S192" s="2513"/>
      <c r="T192" s="2513"/>
      <c r="U192" s="2513"/>
      <c r="V192" s="2513"/>
      <c r="W192" s="2519"/>
      <c r="X192" s="2671"/>
      <c r="Y192" s="2146"/>
      <c r="Z192" s="1322"/>
    </row>
    <row r="193" spans="1:26" s="2667" customFormat="1" ht="13.5" hidden="1" customHeight="1">
      <c r="A193" s="3208"/>
      <c r="B193" s="517" t="s">
        <v>22</v>
      </c>
      <c r="C193" s="2520"/>
      <c r="D193" s="1516">
        <f t="shared" ref="D193:X193" si="178">+D194+D197</f>
        <v>54683100</v>
      </c>
      <c r="E193" s="1516">
        <f t="shared" si="178"/>
        <v>0</v>
      </c>
      <c r="F193" s="1516">
        <f t="shared" si="178"/>
        <v>0</v>
      </c>
      <c r="G193" s="1516">
        <f t="shared" si="178"/>
        <v>0</v>
      </c>
      <c r="H193" s="1516">
        <f t="shared" si="178"/>
        <v>0</v>
      </c>
      <c r="I193" s="1516">
        <f t="shared" si="178"/>
        <v>0</v>
      </c>
      <c r="J193" s="1516">
        <f t="shared" si="178"/>
        <v>0</v>
      </c>
      <c r="K193" s="1516">
        <f t="shared" si="178"/>
        <v>0</v>
      </c>
      <c r="L193" s="1516">
        <f t="shared" si="178"/>
        <v>0</v>
      </c>
      <c r="M193" s="1516">
        <f t="shared" si="178"/>
        <v>0</v>
      </c>
      <c r="N193" s="1516">
        <f t="shared" si="178"/>
        <v>0</v>
      </c>
      <c r="O193" s="1516">
        <f t="shared" si="178"/>
        <v>0</v>
      </c>
      <c r="P193" s="1516">
        <f t="shared" si="178"/>
        <v>0</v>
      </c>
      <c r="Q193" s="1516">
        <f t="shared" si="178"/>
        <v>0</v>
      </c>
      <c r="R193" s="1516">
        <f t="shared" si="178"/>
        <v>5108800</v>
      </c>
      <c r="S193" s="1516">
        <f t="shared" si="178"/>
        <v>34618600</v>
      </c>
      <c r="T193" s="1516">
        <f t="shared" si="178"/>
        <v>14955700</v>
      </c>
      <c r="U193" s="1516">
        <f t="shared" si="178"/>
        <v>0</v>
      </c>
      <c r="V193" s="1516">
        <f t="shared" si="178"/>
        <v>0</v>
      </c>
      <c r="W193" s="1516">
        <f t="shared" si="178"/>
        <v>0</v>
      </c>
      <c r="X193" s="1444">
        <f t="shared" si="178"/>
        <v>54683100</v>
      </c>
      <c r="Y193" s="2146"/>
      <c r="Z193" s="1322"/>
    </row>
    <row r="194" spans="1:26" s="2667" customFormat="1" ht="13.5" hidden="1" customHeight="1">
      <c r="A194" s="3208"/>
      <c r="B194" s="2191" t="s">
        <v>36</v>
      </c>
      <c r="C194" s="3237" t="s">
        <v>429</v>
      </c>
      <c r="D194" s="1436">
        <f>SUM(M194:W194)</f>
        <v>10143300</v>
      </c>
      <c r="E194" s="2144"/>
      <c r="F194" s="2150"/>
      <c r="G194" s="2150"/>
      <c r="H194" s="2150"/>
      <c r="I194" s="2151"/>
      <c r="J194" s="2151"/>
      <c r="K194" s="2151"/>
      <c r="L194" s="2151"/>
      <c r="M194" s="1369">
        <f>+M195+M196</f>
        <v>0</v>
      </c>
      <c r="N194" s="1369">
        <f t="shared" ref="N194:W194" si="179">+N195+N196</f>
        <v>0</v>
      </c>
      <c r="O194" s="1369">
        <f t="shared" si="179"/>
        <v>0</v>
      </c>
      <c r="P194" s="1369">
        <f t="shared" si="179"/>
        <v>0</v>
      </c>
      <c r="Q194" s="1369">
        <f>+Q195+Q196</f>
        <v>0</v>
      </c>
      <c r="R194" s="1369">
        <f t="shared" ref="R194:S194" si="180">+R195+R196</f>
        <v>2780800</v>
      </c>
      <c r="S194" s="1369">
        <f t="shared" si="180"/>
        <v>5142800</v>
      </c>
      <c r="T194" s="1369">
        <f t="shared" si="179"/>
        <v>2219700</v>
      </c>
      <c r="U194" s="1369">
        <f t="shared" si="179"/>
        <v>0</v>
      </c>
      <c r="V194" s="1369">
        <f t="shared" si="179"/>
        <v>0</v>
      </c>
      <c r="W194" s="1369">
        <f t="shared" si="179"/>
        <v>0</v>
      </c>
      <c r="X194" s="2521">
        <f>SUM(M194:W194)</f>
        <v>10143300</v>
      </c>
      <c r="Y194" s="2146"/>
      <c r="Z194" s="1322"/>
    </row>
    <row r="195" spans="1:26" s="2667" customFormat="1" ht="13.5" hidden="1" customHeight="1">
      <c r="A195" s="3208"/>
      <c r="B195" s="1533" t="s">
        <v>24</v>
      </c>
      <c r="C195" s="3281"/>
      <c r="D195" s="1392">
        <f>SUM(M195:W195)</f>
        <v>5143300</v>
      </c>
      <c r="E195" s="1394"/>
      <c r="F195" s="1393"/>
      <c r="G195" s="1393"/>
      <c r="H195" s="1393"/>
      <c r="I195" s="2119"/>
      <c r="J195" s="2119"/>
      <c r="K195" s="2119"/>
      <c r="L195" s="2119"/>
      <c r="M195" s="1374"/>
      <c r="N195" s="1394"/>
      <c r="O195" s="1392"/>
      <c r="P195" s="1392"/>
      <c r="Q195" s="1392">
        <v>0</v>
      </c>
      <c r="R195" s="1392">
        <f>2191100+312400</f>
        <v>2503500</v>
      </c>
      <c r="S195" s="1392">
        <v>1814600</v>
      </c>
      <c r="T195" s="1392">
        <v>825200</v>
      </c>
      <c r="U195" s="1392"/>
      <c r="V195" s="1392"/>
      <c r="W195" s="1392"/>
      <c r="X195" s="2522">
        <f>SUM(M195:W195)</f>
        <v>5143300</v>
      </c>
      <c r="Y195" s="2146"/>
      <c r="Z195" s="1322"/>
    </row>
    <row r="196" spans="1:26" s="2667" customFormat="1" ht="13.5" hidden="1" customHeight="1">
      <c r="A196" s="3208"/>
      <c r="B196" s="1533" t="s">
        <v>28</v>
      </c>
      <c r="C196" s="3281"/>
      <c r="D196" s="1392">
        <f>SUM(M196:W196)</f>
        <v>5000000</v>
      </c>
      <c r="E196" s="1394"/>
      <c r="F196" s="1393"/>
      <c r="G196" s="1393"/>
      <c r="H196" s="1393"/>
      <c r="I196" s="2119"/>
      <c r="J196" s="2119"/>
      <c r="K196" s="2119"/>
      <c r="L196" s="2119"/>
      <c r="M196" s="1374"/>
      <c r="N196" s="1394"/>
      <c r="O196" s="1392"/>
      <c r="P196" s="1392"/>
      <c r="Q196" s="1392">
        <v>0</v>
      </c>
      <c r="R196" s="1392">
        <v>277300</v>
      </c>
      <c r="S196" s="1392">
        <v>3328200</v>
      </c>
      <c r="T196" s="1392">
        <v>1394500</v>
      </c>
      <c r="U196" s="1392"/>
      <c r="V196" s="1392"/>
      <c r="W196" s="1392"/>
      <c r="X196" s="2522">
        <f>SUM(M196:W196)</f>
        <v>5000000</v>
      </c>
      <c r="Y196" s="2146"/>
      <c r="Z196" s="1322"/>
    </row>
    <row r="197" spans="1:26" s="2667" customFormat="1" ht="15.75" hidden="1" customHeight="1">
      <c r="A197" s="3208"/>
      <c r="B197" s="2510" t="s">
        <v>30</v>
      </c>
      <c r="C197" s="3281"/>
      <c r="D197" s="1436">
        <f>SUM(M197:W197)</f>
        <v>44539800</v>
      </c>
      <c r="E197" s="1436">
        <f t="shared" ref="E197:W197" si="181">+E198</f>
        <v>0</v>
      </c>
      <c r="F197" s="1436">
        <f t="shared" si="181"/>
        <v>0</v>
      </c>
      <c r="G197" s="1436">
        <f t="shared" si="181"/>
        <v>0</v>
      </c>
      <c r="H197" s="1436">
        <f t="shared" si="181"/>
        <v>0</v>
      </c>
      <c r="I197" s="1436">
        <f t="shared" si="181"/>
        <v>0</v>
      </c>
      <c r="J197" s="1436">
        <f t="shared" si="181"/>
        <v>0</v>
      </c>
      <c r="K197" s="1436">
        <f t="shared" si="181"/>
        <v>0</v>
      </c>
      <c r="L197" s="1436">
        <f t="shared" si="181"/>
        <v>0</v>
      </c>
      <c r="M197" s="1436">
        <f t="shared" si="181"/>
        <v>0</v>
      </c>
      <c r="N197" s="1436">
        <f t="shared" si="181"/>
        <v>0</v>
      </c>
      <c r="O197" s="1436">
        <f t="shared" si="181"/>
        <v>0</v>
      </c>
      <c r="P197" s="1436">
        <f t="shared" si="181"/>
        <v>0</v>
      </c>
      <c r="Q197" s="1436">
        <f t="shared" si="181"/>
        <v>0</v>
      </c>
      <c r="R197" s="1436">
        <f t="shared" si="181"/>
        <v>2328000</v>
      </c>
      <c r="S197" s="1436">
        <f t="shared" si="181"/>
        <v>29475800</v>
      </c>
      <c r="T197" s="1436">
        <f t="shared" si="181"/>
        <v>12736000</v>
      </c>
      <c r="U197" s="1436">
        <f t="shared" si="181"/>
        <v>0</v>
      </c>
      <c r="V197" s="1436">
        <f t="shared" si="181"/>
        <v>0</v>
      </c>
      <c r="W197" s="1436">
        <f t="shared" si="181"/>
        <v>0</v>
      </c>
      <c r="X197" s="2140">
        <f>SUM(M197:W197)</f>
        <v>44539800</v>
      </c>
      <c r="Y197" s="2146"/>
      <c r="Z197" s="1322"/>
    </row>
    <row r="198" spans="1:26" s="2667" customFormat="1" ht="12" hidden="1" customHeight="1">
      <c r="A198" s="3208"/>
      <c r="B198" s="2315" t="s">
        <v>33</v>
      </c>
      <c r="C198" s="3281"/>
      <c r="D198" s="1392">
        <f>+D199+D200</f>
        <v>44539800</v>
      </c>
      <c r="E198" s="1392">
        <f t="shared" ref="E198:W198" si="182">+E199+E200</f>
        <v>0</v>
      </c>
      <c r="F198" s="1392">
        <f t="shared" si="182"/>
        <v>0</v>
      </c>
      <c r="G198" s="1392">
        <f t="shared" si="182"/>
        <v>0</v>
      </c>
      <c r="H198" s="1392">
        <f t="shared" si="182"/>
        <v>0</v>
      </c>
      <c r="I198" s="1392">
        <f t="shared" si="182"/>
        <v>0</v>
      </c>
      <c r="J198" s="1392">
        <f t="shared" si="182"/>
        <v>0</v>
      </c>
      <c r="K198" s="1392">
        <f t="shared" si="182"/>
        <v>0</v>
      </c>
      <c r="L198" s="1392">
        <f t="shared" si="182"/>
        <v>0</v>
      </c>
      <c r="M198" s="1392">
        <f t="shared" si="182"/>
        <v>0</v>
      </c>
      <c r="N198" s="1392">
        <f t="shared" si="182"/>
        <v>0</v>
      </c>
      <c r="O198" s="1392">
        <f t="shared" si="182"/>
        <v>0</v>
      </c>
      <c r="P198" s="1392">
        <f t="shared" si="182"/>
        <v>0</v>
      </c>
      <c r="Q198" s="1392">
        <f t="shared" si="182"/>
        <v>0</v>
      </c>
      <c r="R198" s="1392">
        <f t="shared" si="182"/>
        <v>2328000</v>
      </c>
      <c r="S198" s="1392">
        <f t="shared" si="182"/>
        <v>29475800</v>
      </c>
      <c r="T198" s="1392">
        <f t="shared" si="182"/>
        <v>12736000</v>
      </c>
      <c r="U198" s="1392">
        <f t="shared" si="182"/>
        <v>0</v>
      </c>
      <c r="V198" s="1392">
        <f t="shared" si="182"/>
        <v>0</v>
      </c>
      <c r="W198" s="1392">
        <f t="shared" si="182"/>
        <v>0</v>
      </c>
      <c r="X198" s="2522">
        <f>+X199+X200</f>
        <v>44539800</v>
      </c>
      <c r="Y198" s="2146"/>
      <c r="Z198" s="1322"/>
    </row>
    <row r="199" spans="1:26" s="2667" customFormat="1" ht="22.5" hidden="1" customHeight="1">
      <c r="A199" s="3208"/>
      <c r="B199" s="2145" t="s">
        <v>427</v>
      </c>
      <c r="C199" s="3281"/>
      <c r="D199" s="2142">
        <f t="shared" ref="D199:D200" si="183">+M199+O199+P199+Q199+R199+S199+T199+U199+V199+W199</f>
        <v>2675800</v>
      </c>
      <c r="E199" s="2154"/>
      <c r="F199" s="2155"/>
      <c r="G199" s="2155"/>
      <c r="H199" s="2155"/>
      <c r="I199" s="2156"/>
      <c r="J199" s="2156"/>
      <c r="K199" s="2156"/>
      <c r="L199" s="2156"/>
      <c r="M199" s="2523">
        <v>0</v>
      </c>
      <c r="N199" s="2154"/>
      <c r="O199" s="2142">
        <v>0</v>
      </c>
      <c r="P199" s="2142">
        <v>0</v>
      </c>
      <c r="Q199" s="2142">
        <v>0</v>
      </c>
      <c r="R199" s="2142">
        <v>0</v>
      </c>
      <c r="S199" s="2142">
        <f>915000+624800</f>
        <v>1539800</v>
      </c>
      <c r="T199" s="2142">
        <f>511000+625000</f>
        <v>1136000</v>
      </c>
      <c r="U199" s="2142">
        <v>0</v>
      </c>
      <c r="V199" s="2142">
        <v>0</v>
      </c>
      <c r="W199" s="2142">
        <v>0</v>
      </c>
      <c r="X199" s="2143">
        <f>SUM(M199:W199)</f>
        <v>2675800</v>
      </c>
      <c r="Y199" s="2146"/>
      <c r="Z199" s="1322"/>
    </row>
    <row r="200" spans="1:26" s="2667" customFormat="1" ht="23.25" hidden="1" customHeight="1">
      <c r="A200" s="3208"/>
      <c r="B200" s="2147" t="s">
        <v>419</v>
      </c>
      <c r="C200" s="3238"/>
      <c r="D200" s="2142">
        <f t="shared" si="183"/>
        <v>41864000</v>
      </c>
      <c r="E200" s="2524"/>
      <c r="F200" s="2525"/>
      <c r="G200" s="2525"/>
      <c r="H200" s="2525"/>
      <c r="I200" s="2526"/>
      <c r="J200" s="2526"/>
      <c r="K200" s="2526"/>
      <c r="L200" s="2526"/>
      <c r="M200" s="2527">
        <v>0</v>
      </c>
      <c r="N200" s="2524"/>
      <c r="O200" s="1515">
        <v>0</v>
      </c>
      <c r="P200" s="1515">
        <v>0</v>
      </c>
      <c r="Q200" s="1515">
        <v>0</v>
      </c>
      <c r="R200" s="1515">
        <v>2328000</v>
      </c>
      <c r="S200" s="1515">
        <v>27936000</v>
      </c>
      <c r="T200" s="1515">
        <v>11600000</v>
      </c>
      <c r="U200" s="1515">
        <v>0</v>
      </c>
      <c r="V200" s="1515">
        <v>0</v>
      </c>
      <c r="W200" s="1515">
        <v>0</v>
      </c>
      <c r="X200" s="2143">
        <f>SUM(M200:W200)</f>
        <v>41864000</v>
      </c>
      <c r="Y200" s="2146"/>
      <c r="Z200" s="1322"/>
    </row>
    <row r="201" spans="1:26" s="2667" customFormat="1" ht="13.5" hidden="1" customHeight="1">
      <c r="A201" s="3208"/>
      <c r="B201" s="374" t="s">
        <v>420</v>
      </c>
      <c r="C201" s="701"/>
      <c r="D201" s="1412">
        <f t="shared" ref="D201:W201" si="184">+D202+D204</f>
        <v>49539800</v>
      </c>
      <c r="E201" s="1412" t="e">
        <f t="shared" si="184"/>
        <v>#REF!</v>
      </c>
      <c r="F201" s="1412" t="e">
        <f t="shared" si="184"/>
        <v>#REF!</v>
      </c>
      <c r="G201" s="1412" t="e">
        <f t="shared" si="184"/>
        <v>#REF!</v>
      </c>
      <c r="H201" s="1412" t="e">
        <f t="shared" si="184"/>
        <v>#REF!</v>
      </c>
      <c r="I201" s="1412" t="e">
        <f t="shared" si="184"/>
        <v>#REF!</v>
      </c>
      <c r="J201" s="1412" t="e">
        <f t="shared" si="184"/>
        <v>#REF!</v>
      </c>
      <c r="K201" s="1412" t="e">
        <f t="shared" si="184"/>
        <v>#REF!</v>
      </c>
      <c r="L201" s="1412" t="e">
        <f t="shared" si="184"/>
        <v>#REF!</v>
      </c>
      <c r="M201" s="1412">
        <f t="shared" si="184"/>
        <v>0</v>
      </c>
      <c r="N201" s="1412">
        <f t="shared" si="184"/>
        <v>0</v>
      </c>
      <c r="O201" s="1412">
        <f t="shared" si="184"/>
        <v>0</v>
      </c>
      <c r="P201" s="1412">
        <f t="shared" si="184"/>
        <v>0</v>
      </c>
      <c r="Q201" s="1412">
        <f t="shared" si="184"/>
        <v>0</v>
      </c>
      <c r="R201" s="1412">
        <f t="shared" si="184"/>
        <v>2605300</v>
      </c>
      <c r="S201" s="1412">
        <f t="shared" si="184"/>
        <v>32804000</v>
      </c>
      <c r="T201" s="1412">
        <f t="shared" si="184"/>
        <v>14130500</v>
      </c>
      <c r="U201" s="1412">
        <f t="shared" si="184"/>
        <v>0</v>
      </c>
      <c r="V201" s="1412">
        <f t="shared" si="184"/>
        <v>0</v>
      </c>
      <c r="W201" s="1412">
        <f t="shared" si="184"/>
        <v>0</v>
      </c>
      <c r="X201" s="3231" t="s">
        <v>77</v>
      </c>
      <c r="Y201" s="2146"/>
      <c r="Z201" s="1322"/>
    </row>
    <row r="202" spans="1:26" s="2667" customFormat="1" ht="15" hidden="1" customHeight="1">
      <c r="A202" s="3208"/>
      <c r="B202" s="2191" t="s">
        <v>36</v>
      </c>
      <c r="C202" s="3287" t="s">
        <v>436</v>
      </c>
      <c r="D202" s="1436">
        <f>+D203</f>
        <v>5000000</v>
      </c>
      <c r="E202" s="1436" t="e">
        <f>+E203+#REF!</f>
        <v>#REF!</v>
      </c>
      <c r="F202" s="1436" t="e">
        <f>+F203+#REF!</f>
        <v>#REF!</v>
      </c>
      <c r="G202" s="1436" t="e">
        <f>+G203+#REF!</f>
        <v>#REF!</v>
      </c>
      <c r="H202" s="1436" t="e">
        <f>+H203+#REF!</f>
        <v>#REF!</v>
      </c>
      <c r="I202" s="1436" t="e">
        <f>+I203+#REF!</f>
        <v>#REF!</v>
      </c>
      <c r="J202" s="1436" t="e">
        <f>+J203+#REF!</f>
        <v>#REF!</v>
      </c>
      <c r="K202" s="1436" t="e">
        <f>+K203+#REF!</f>
        <v>#REF!</v>
      </c>
      <c r="L202" s="1436" t="e">
        <f>+L203+#REF!</f>
        <v>#REF!</v>
      </c>
      <c r="M202" s="1436">
        <f>+M203</f>
        <v>0</v>
      </c>
      <c r="N202" s="1436">
        <f t="shared" ref="N202:W202" si="185">+N203</f>
        <v>0</v>
      </c>
      <c r="O202" s="1436">
        <f t="shared" si="185"/>
        <v>0</v>
      </c>
      <c r="P202" s="1436">
        <f t="shared" si="185"/>
        <v>0</v>
      </c>
      <c r="Q202" s="1436">
        <f t="shared" si="185"/>
        <v>0</v>
      </c>
      <c r="R202" s="1436">
        <f t="shared" si="185"/>
        <v>277300</v>
      </c>
      <c r="S202" s="1436">
        <f t="shared" si="185"/>
        <v>3328200</v>
      </c>
      <c r="T202" s="1436">
        <f t="shared" si="185"/>
        <v>1394500</v>
      </c>
      <c r="U202" s="1436">
        <f t="shared" si="185"/>
        <v>0</v>
      </c>
      <c r="V202" s="1436">
        <f t="shared" si="185"/>
        <v>0</v>
      </c>
      <c r="W202" s="1436">
        <f t="shared" si="185"/>
        <v>0</v>
      </c>
      <c r="X202" s="3214"/>
      <c r="Y202" s="2146"/>
      <c r="Z202" s="1322"/>
    </row>
    <row r="203" spans="1:26" s="2667" customFormat="1" ht="16.5" hidden="1" customHeight="1">
      <c r="A203" s="3208"/>
      <c r="B203" s="1533" t="s">
        <v>28</v>
      </c>
      <c r="C203" s="3291"/>
      <c r="D203" s="1392">
        <f>SUM(M203:W203)</f>
        <v>5000000</v>
      </c>
      <c r="E203" s="1394"/>
      <c r="F203" s="1393"/>
      <c r="G203" s="1393"/>
      <c r="H203" s="1393"/>
      <c r="I203" s="2119"/>
      <c r="J203" s="2119"/>
      <c r="K203" s="2119"/>
      <c r="L203" s="2119"/>
      <c r="M203" s="1374"/>
      <c r="N203" s="1394"/>
      <c r="O203" s="1392"/>
      <c r="P203" s="1392"/>
      <c r="Q203" s="1392">
        <v>0</v>
      </c>
      <c r="R203" s="1392">
        <v>277300</v>
      </c>
      <c r="S203" s="1392">
        <v>3328200</v>
      </c>
      <c r="T203" s="1392">
        <v>1394500</v>
      </c>
      <c r="U203" s="1392"/>
      <c r="V203" s="1392"/>
      <c r="W203" s="1392"/>
      <c r="X203" s="3214"/>
      <c r="Y203" s="2146"/>
      <c r="Z203" s="1322"/>
    </row>
    <row r="204" spans="1:26" s="2667" customFormat="1" ht="16.5" hidden="1" customHeight="1">
      <c r="A204" s="3208"/>
      <c r="B204" s="2510" t="s">
        <v>30</v>
      </c>
      <c r="C204" s="3291"/>
      <c r="D204" s="1436">
        <f>SUM(M204:W204)</f>
        <v>44539800</v>
      </c>
      <c r="E204" s="1436">
        <f t="shared" ref="E204:W204" si="186">+E205</f>
        <v>0</v>
      </c>
      <c r="F204" s="1436">
        <f t="shared" si="186"/>
        <v>0</v>
      </c>
      <c r="G204" s="1436">
        <f t="shared" si="186"/>
        <v>0</v>
      </c>
      <c r="H204" s="1436">
        <f t="shared" si="186"/>
        <v>0</v>
      </c>
      <c r="I204" s="1436">
        <f t="shared" si="186"/>
        <v>0</v>
      </c>
      <c r="J204" s="1436">
        <f t="shared" si="186"/>
        <v>0</v>
      </c>
      <c r="K204" s="1436">
        <f t="shared" si="186"/>
        <v>0</v>
      </c>
      <c r="L204" s="1436">
        <f t="shared" si="186"/>
        <v>0</v>
      </c>
      <c r="M204" s="1436">
        <f t="shared" si="186"/>
        <v>0</v>
      </c>
      <c r="N204" s="1436">
        <f t="shared" si="186"/>
        <v>0</v>
      </c>
      <c r="O204" s="1436">
        <f t="shared" si="186"/>
        <v>0</v>
      </c>
      <c r="P204" s="1436">
        <f t="shared" si="186"/>
        <v>0</v>
      </c>
      <c r="Q204" s="1436">
        <f t="shared" si="186"/>
        <v>0</v>
      </c>
      <c r="R204" s="1436">
        <f t="shared" si="186"/>
        <v>2328000</v>
      </c>
      <c r="S204" s="1436">
        <f t="shared" si="186"/>
        <v>29475800</v>
      </c>
      <c r="T204" s="1436">
        <f t="shared" si="186"/>
        <v>12736000</v>
      </c>
      <c r="U204" s="1436">
        <f t="shared" si="186"/>
        <v>0</v>
      </c>
      <c r="V204" s="1436">
        <f t="shared" si="186"/>
        <v>0</v>
      </c>
      <c r="W204" s="1436">
        <f t="shared" si="186"/>
        <v>0</v>
      </c>
      <c r="X204" s="3214"/>
      <c r="Y204" s="2146"/>
      <c r="Z204" s="1322"/>
    </row>
    <row r="205" spans="1:26" s="2667" customFormat="1" ht="15" hidden="1" customHeight="1">
      <c r="A205" s="2110"/>
      <c r="B205" s="2315" t="s">
        <v>33</v>
      </c>
      <c r="C205" s="3292"/>
      <c r="D205" s="1392">
        <f>SUM(M205:W205)</f>
        <v>44539800</v>
      </c>
      <c r="E205" s="1392">
        <f t="shared" ref="E205:W205" si="187">+E206+E207</f>
        <v>0</v>
      </c>
      <c r="F205" s="1392">
        <f t="shared" si="187"/>
        <v>0</v>
      </c>
      <c r="G205" s="1392">
        <f t="shared" si="187"/>
        <v>0</v>
      </c>
      <c r="H205" s="1392">
        <f t="shared" si="187"/>
        <v>0</v>
      </c>
      <c r="I205" s="1392">
        <f t="shared" si="187"/>
        <v>0</v>
      </c>
      <c r="J205" s="1392">
        <f t="shared" si="187"/>
        <v>0</v>
      </c>
      <c r="K205" s="1392">
        <f t="shared" si="187"/>
        <v>0</v>
      </c>
      <c r="L205" s="1392">
        <f t="shared" si="187"/>
        <v>0</v>
      </c>
      <c r="M205" s="1392">
        <f t="shared" si="187"/>
        <v>0</v>
      </c>
      <c r="N205" s="1392">
        <f t="shared" si="187"/>
        <v>0</v>
      </c>
      <c r="O205" s="1392">
        <f t="shared" si="187"/>
        <v>0</v>
      </c>
      <c r="P205" s="1392">
        <f t="shared" si="187"/>
        <v>0</v>
      </c>
      <c r="Q205" s="1392">
        <f t="shared" si="187"/>
        <v>0</v>
      </c>
      <c r="R205" s="1392">
        <f>+R206+R207</f>
        <v>2328000</v>
      </c>
      <c r="S205" s="1392">
        <f t="shared" si="187"/>
        <v>29475800</v>
      </c>
      <c r="T205" s="1392">
        <f t="shared" si="187"/>
        <v>12736000</v>
      </c>
      <c r="U205" s="1392">
        <f t="shared" si="187"/>
        <v>0</v>
      </c>
      <c r="V205" s="1392">
        <f t="shared" si="187"/>
        <v>0</v>
      </c>
      <c r="W205" s="1392">
        <f t="shared" si="187"/>
        <v>0</v>
      </c>
      <c r="X205" s="3214"/>
      <c r="Y205" s="2146"/>
      <c r="Z205" s="1322"/>
    </row>
    <row r="206" spans="1:26" s="2667" customFormat="1" ht="27.75" hidden="1" customHeight="1">
      <c r="A206" s="2110"/>
      <c r="B206" s="2145" t="s">
        <v>417</v>
      </c>
      <c r="C206" s="2528" t="s">
        <v>357</v>
      </c>
      <c r="D206" s="2529">
        <f t="shared" ref="D206:D207" si="188">SUM(M206:W206)</f>
        <v>2675800</v>
      </c>
      <c r="E206" s="2530"/>
      <c r="F206" s="2531"/>
      <c r="G206" s="2531"/>
      <c r="H206" s="2531"/>
      <c r="I206" s="2532"/>
      <c r="J206" s="2532"/>
      <c r="K206" s="2532"/>
      <c r="L206" s="2532"/>
      <c r="M206" s="2533">
        <v>0</v>
      </c>
      <c r="N206" s="2534"/>
      <c r="O206" s="2529">
        <v>0</v>
      </c>
      <c r="P206" s="2529">
        <v>0</v>
      </c>
      <c r="Q206" s="2529">
        <v>0</v>
      </c>
      <c r="R206" s="2529">
        <v>0</v>
      </c>
      <c r="S206" s="2529">
        <f>915000+624800</f>
        <v>1539800</v>
      </c>
      <c r="T206" s="2529">
        <f>511000+625000</f>
        <v>1136000</v>
      </c>
      <c r="U206" s="2529">
        <v>0</v>
      </c>
      <c r="V206" s="2529">
        <v>0</v>
      </c>
      <c r="W206" s="2529">
        <v>0</v>
      </c>
      <c r="X206" s="3214"/>
      <c r="Y206" s="2473"/>
      <c r="Z206" s="1322"/>
    </row>
    <row r="207" spans="1:26" s="2667" customFormat="1" ht="21.75" hidden="1" customHeight="1" thickBot="1">
      <c r="A207" s="2110"/>
      <c r="B207" s="2535" t="s">
        <v>428</v>
      </c>
      <c r="C207" s="2528" t="s">
        <v>309</v>
      </c>
      <c r="D207" s="2536">
        <f t="shared" si="188"/>
        <v>41864000</v>
      </c>
      <c r="E207" s="2530"/>
      <c r="F207" s="2531"/>
      <c r="G207" s="2531"/>
      <c r="H207" s="2531"/>
      <c r="I207" s="2532"/>
      <c r="J207" s="2532"/>
      <c r="K207" s="2532"/>
      <c r="L207" s="2532"/>
      <c r="M207" s="2537">
        <v>0</v>
      </c>
      <c r="N207" s="2538"/>
      <c r="O207" s="2536">
        <v>0</v>
      </c>
      <c r="P207" s="2536">
        <v>0</v>
      </c>
      <c r="Q207" s="2536">
        <v>0</v>
      </c>
      <c r="R207" s="2536">
        <v>2328000</v>
      </c>
      <c r="S207" s="2536">
        <v>27936000</v>
      </c>
      <c r="T207" s="2536">
        <v>11600000</v>
      </c>
      <c r="U207" s="2536">
        <v>0</v>
      </c>
      <c r="V207" s="2536">
        <v>0</v>
      </c>
      <c r="W207" s="2536">
        <v>0</v>
      </c>
      <c r="X207" s="3215"/>
      <c r="Y207" s="2473"/>
      <c r="Z207" s="1322"/>
    </row>
    <row r="208" spans="1:26" s="2667" customFormat="1" ht="27" customHeight="1">
      <c r="A208" s="3207" t="s">
        <v>106</v>
      </c>
      <c r="B208" s="695" t="s">
        <v>447</v>
      </c>
      <c r="C208" s="696" t="s">
        <v>130</v>
      </c>
      <c r="D208" s="720"/>
      <c r="E208" s="1525"/>
      <c r="F208" s="1526"/>
      <c r="G208" s="1526"/>
      <c r="H208" s="1527"/>
      <c r="I208" s="1528"/>
      <c r="J208" s="1528"/>
      <c r="K208" s="1529"/>
      <c r="L208" s="1529"/>
      <c r="M208" s="718"/>
      <c r="N208" s="718"/>
      <c r="O208" s="718"/>
      <c r="P208" s="718"/>
      <c r="Q208" s="718"/>
      <c r="R208" s="718"/>
      <c r="S208" s="718"/>
      <c r="T208" s="718"/>
      <c r="U208" s="718"/>
      <c r="V208" s="718"/>
      <c r="W208" s="997"/>
      <c r="X208" s="1355"/>
      <c r="Y208" s="3256" t="s">
        <v>552</v>
      </c>
      <c r="Z208" s="1322"/>
    </row>
    <row r="209" spans="1:26" s="2667" customFormat="1" ht="21.75" customHeight="1">
      <c r="A209" s="3208"/>
      <c r="B209" s="374" t="s">
        <v>22</v>
      </c>
      <c r="C209" s="2203"/>
      <c r="D209" s="1412">
        <f>+D210+D214</f>
        <v>5497206</v>
      </c>
      <c r="E209" s="1412">
        <f t="shared" ref="E209:Q209" si="189">+E210+E214</f>
        <v>0</v>
      </c>
      <c r="F209" s="2204">
        <f t="shared" si="189"/>
        <v>0</v>
      </c>
      <c r="G209" s="2204">
        <f t="shared" si="189"/>
        <v>0</v>
      </c>
      <c r="H209" s="2204">
        <f t="shared" si="189"/>
        <v>0</v>
      </c>
      <c r="I209" s="2205">
        <f t="shared" si="189"/>
        <v>0</v>
      </c>
      <c r="J209" s="2205">
        <f t="shared" si="189"/>
        <v>0</v>
      </c>
      <c r="K209" s="2205">
        <f t="shared" si="189"/>
        <v>0</v>
      </c>
      <c r="L209" s="2205">
        <f t="shared" si="189"/>
        <v>0</v>
      </c>
      <c r="M209" s="1412">
        <f t="shared" si="189"/>
        <v>0</v>
      </c>
      <c r="N209" s="1412">
        <f t="shared" si="189"/>
        <v>0</v>
      </c>
      <c r="O209" s="1412">
        <f t="shared" si="189"/>
        <v>0</v>
      </c>
      <c r="P209" s="1412">
        <f t="shared" si="189"/>
        <v>1231321</v>
      </c>
      <c r="Q209" s="1412">
        <f t="shared" si="189"/>
        <v>3054232</v>
      </c>
      <c r="R209" s="1412">
        <f>+R210+R214</f>
        <v>1211653</v>
      </c>
      <c r="S209" s="1356"/>
      <c r="T209" s="1356"/>
      <c r="U209" s="1356"/>
      <c r="V209" s="1356"/>
      <c r="W209" s="1356"/>
      <c r="X209" s="2206">
        <f>X210+X214</f>
        <v>5042000</v>
      </c>
      <c r="Y209" s="3257"/>
      <c r="Z209" s="1322"/>
    </row>
    <row r="210" spans="1:26" s="2667" customFormat="1">
      <c r="A210" s="3208"/>
      <c r="B210" s="698" t="s">
        <v>36</v>
      </c>
      <c r="C210" s="3232" t="s">
        <v>288</v>
      </c>
      <c r="D210" s="1360">
        <f>SUM(D211:D213)</f>
        <v>1296506</v>
      </c>
      <c r="E210" s="1360">
        <f t="shared" ref="E210:R210" si="190">SUM(E211:E213)</f>
        <v>0</v>
      </c>
      <c r="F210" s="1360">
        <f t="shared" si="190"/>
        <v>0</v>
      </c>
      <c r="G210" s="1360">
        <f t="shared" si="190"/>
        <v>0</v>
      </c>
      <c r="H210" s="1360">
        <f t="shared" si="190"/>
        <v>0</v>
      </c>
      <c r="I210" s="1360">
        <f t="shared" si="190"/>
        <v>0</v>
      </c>
      <c r="J210" s="1360">
        <f t="shared" si="190"/>
        <v>0</v>
      </c>
      <c r="K210" s="1360">
        <f t="shared" si="190"/>
        <v>0</v>
      </c>
      <c r="L210" s="1360">
        <f t="shared" si="190"/>
        <v>0</v>
      </c>
      <c r="M210" s="1360">
        <f t="shared" si="190"/>
        <v>0</v>
      </c>
      <c r="N210" s="1360">
        <f t="shared" si="190"/>
        <v>0</v>
      </c>
      <c r="O210" s="1360">
        <f t="shared" si="190"/>
        <v>0</v>
      </c>
      <c r="P210" s="1360">
        <f t="shared" si="190"/>
        <v>292129</v>
      </c>
      <c r="Q210" s="1360">
        <f t="shared" si="190"/>
        <v>717857</v>
      </c>
      <c r="R210" s="1360">
        <f t="shared" si="190"/>
        <v>286520</v>
      </c>
      <c r="S210" s="1360"/>
      <c r="T210" s="1360"/>
      <c r="U210" s="1360"/>
      <c r="V210" s="1360"/>
      <c r="W210" s="1360"/>
      <c r="X210" s="1363">
        <f>SUM(X211:X212)</f>
        <v>841300</v>
      </c>
      <c r="Y210" s="3257"/>
      <c r="Z210" s="1322"/>
    </row>
    <row r="211" spans="1:26" s="2667" customFormat="1">
      <c r="A211" s="3208"/>
      <c r="B211" s="699" t="s">
        <v>24</v>
      </c>
      <c r="C211" s="3233"/>
      <c r="D211" s="1366">
        <f>M211+O211+P211+Q211+R211+S211+T211+U211+V211+W211</f>
        <v>100000</v>
      </c>
      <c r="E211" s="1969"/>
      <c r="F211" s="1970"/>
      <c r="G211" s="1970"/>
      <c r="H211" s="1970"/>
      <c r="I211" s="1971"/>
      <c r="J211" s="1971"/>
      <c r="K211" s="1971"/>
      <c r="L211" s="1971"/>
      <c r="M211" s="1969"/>
      <c r="N211" s="1969"/>
      <c r="O211" s="1969"/>
      <c r="P211" s="2207">
        <v>37500</v>
      </c>
      <c r="Q211" s="2207">
        <v>50000</v>
      </c>
      <c r="R211" s="2207">
        <v>12500</v>
      </c>
      <c r="S211" s="2208"/>
      <c r="T211" s="2208"/>
      <c r="U211" s="2208"/>
      <c r="V211" s="2208"/>
      <c r="W211" s="2208"/>
      <c r="X211" s="1334">
        <f>SUM(P211:T211)</f>
        <v>100000</v>
      </c>
      <c r="Y211" s="3257"/>
      <c r="Z211" s="1322"/>
    </row>
    <row r="212" spans="1:26" s="2667" customFormat="1">
      <c r="A212" s="3208"/>
      <c r="B212" s="699" t="s">
        <v>25</v>
      </c>
      <c r="C212" s="3193"/>
      <c r="D212" s="1366">
        <f>M212+O212+P212+Q212+R212+S212+T212+U212+V212+W212</f>
        <v>741300</v>
      </c>
      <c r="E212" s="1366">
        <v>0</v>
      </c>
      <c r="F212" s="1367"/>
      <c r="G212" s="1367"/>
      <c r="H212" s="1367">
        <v>0</v>
      </c>
      <c r="I212" s="1368"/>
      <c r="J212" s="1368"/>
      <c r="K212" s="1368"/>
      <c r="L212" s="1368"/>
      <c r="M212" s="1366">
        <f>+E212+I212+J212+K212+L212+N212</f>
        <v>0</v>
      </c>
      <c r="N212" s="1366">
        <v>0</v>
      </c>
      <c r="O212" s="1366">
        <v>0</v>
      </c>
      <c r="P212" s="700">
        <v>165740</v>
      </c>
      <c r="Q212" s="700">
        <v>412301</v>
      </c>
      <c r="R212" s="700">
        <v>163259</v>
      </c>
      <c r="S212" s="700"/>
      <c r="T212" s="700"/>
      <c r="U212" s="700"/>
      <c r="V212" s="700"/>
      <c r="W212" s="700"/>
      <c r="X212" s="1334">
        <f>SUM(P212:T212)</f>
        <v>741300</v>
      </c>
      <c r="Y212" s="3257"/>
      <c r="Z212" s="1322"/>
    </row>
    <row r="213" spans="1:26" s="2667" customFormat="1">
      <c r="A213" s="3208"/>
      <c r="B213" s="2135" t="s">
        <v>45</v>
      </c>
      <c r="C213" s="3193"/>
      <c r="D213" s="1366">
        <f>M213+O213+P213+Q213+R213+S213+T213+U213+V213+W213</f>
        <v>455206</v>
      </c>
      <c r="E213" s="1973"/>
      <c r="F213" s="1974"/>
      <c r="G213" s="1974"/>
      <c r="H213" s="1974"/>
      <c r="I213" s="1975"/>
      <c r="J213" s="1975"/>
      <c r="K213" s="1975"/>
      <c r="L213" s="1975"/>
      <c r="M213" s="1973"/>
      <c r="N213" s="1973"/>
      <c r="O213" s="1973"/>
      <c r="P213" s="700">
        <v>88889</v>
      </c>
      <c r="Q213" s="700">
        <v>255556</v>
      </c>
      <c r="R213" s="700">
        <v>110761</v>
      </c>
      <c r="S213" s="700"/>
      <c r="T213" s="700"/>
      <c r="U213" s="700"/>
      <c r="V213" s="700"/>
      <c r="W213" s="700"/>
      <c r="X213" s="2209" t="s">
        <v>77</v>
      </c>
      <c r="Y213" s="3257"/>
      <c r="Z213" s="1322"/>
    </row>
    <row r="214" spans="1:26" s="2667" customFormat="1">
      <c r="A214" s="3208"/>
      <c r="B214" s="518" t="s">
        <v>30</v>
      </c>
      <c r="C214" s="3193"/>
      <c r="D214" s="1369">
        <f>+D215</f>
        <v>4200700</v>
      </c>
      <c r="E214" s="1369">
        <f t="shared" ref="E214:R214" si="191">E215</f>
        <v>0</v>
      </c>
      <c r="F214" s="1361">
        <f t="shared" si="191"/>
        <v>0</v>
      </c>
      <c r="G214" s="1361">
        <f t="shared" si="191"/>
        <v>0</v>
      </c>
      <c r="H214" s="1361">
        <f t="shared" si="191"/>
        <v>0</v>
      </c>
      <c r="I214" s="1362">
        <f t="shared" si="191"/>
        <v>0</v>
      </c>
      <c r="J214" s="1362">
        <f t="shared" si="191"/>
        <v>0</v>
      </c>
      <c r="K214" s="1362">
        <f t="shared" si="191"/>
        <v>0</v>
      </c>
      <c r="L214" s="1362">
        <f t="shared" si="191"/>
        <v>0</v>
      </c>
      <c r="M214" s="1369">
        <f t="shared" si="191"/>
        <v>0</v>
      </c>
      <c r="N214" s="1369">
        <f t="shared" si="191"/>
        <v>0</v>
      </c>
      <c r="O214" s="1369">
        <f t="shared" si="191"/>
        <v>0</v>
      </c>
      <c r="P214" s="1369">
        <f t="shared" si="191"/>
        <v>939192</v>
      </c>
      <c r="Q214" s="1369">
        <f t="shared" si="191"/>
        <v>2336375</v>
      </c>
      <c r="R214" s="1369">
        <f t="shared" si="191"/>
        <v>925133</v>
      </c>
      <c r="S214" s="1369"/>
      <c r="T214" s="1369"/>
      <c r="U214" s="1369"/>
      <c r="V214" s="1369"/>
      <c r="W214" s="1369"/>
      <c r="X214" s="1363">
        <f>+X215</f>
        <v>4200700</v>
      </c>
      <c r="Y214" s="3257"/>
      <c r="Z214" s="1322"/>
    </row>
    <row r="215" spans="1:26" s="2667" customFormat="1">
      <c r="A215" s="3208"/>
      <c r="B215" s="1370" t="s">
        <v>33</v>
      </c>
      <c r="C215" s="3189"/>
      <c r="D215" s="1366">
        <f>M215+O215+P215+Q215+R215+S215+T215+U215+V215+W215</f>
        <v>4200700</v>
      </c>
      <c r="E215" s="1371">
        <v>0</v>
      </c>
      <c r="F215" s="1372"/>
      <c r="G215" s="1372"/>
      <c r="H215" s="1372">
        <v>0</v>
      </c>
      <c r="I215" s="1373"/>
      <c r="J215" s="1373"/>
      <c r="K215" s="1373"/>
      <c r="L215" s="1373"/>
      <c r="M215" s="1366">
        <f>+E215+I215+J215+K215+L215+N215</f>
        <v>0</v>
      </c>
      <c r="N215" s="1371">
        <v>0</v>
      </c>
      <c r="O215" s="1371">
        <v>0</v>
      </c>
      <c r="P215" s="642">
        <v>939192</v>
      </c>
      <c r="Q215" s="642">
        <v>2336375</v>
      </c>
      <c r="R215" s="642">
        <v>925133</v>
      </c>
      <c r="S215" s="642"/>
      <c r="T215" s="642"/>
      <c r="U215" s="642"/>
      <c r="V215" s="642"/>
      <c r="W215" s="642"/>
      <c r="X215" s="1334">
        <f>SUM(P215:T215)</f>
        <v>4200700</v>
      </c>
      <c r="Y215" s="3257"/>
      <c r="Z215" s="1322"/>
    </row>
    <row r="216" spans="1:26" s="2667" customFormat="1">
      <c r="A216" s="2988"/>
      <c r="B216" s="374" t="s">
        <v>34</v>
      </c>
      <c r="C216" s="701"/>
      <c r="D216" s="1356">
        <f>+D217+D219</f>
        <v>4942000</v>
      </c>
      <c r="E216" s="1356">
        <f t="shared" ref="E216:R216" si="192">E217+E219</f>
        <v>0</v>
      </c>
      <c r="F216" s="1357">
        <f t="shared" si="192"/>
        <v>0</v>
      </c>
      <c r="G216" s="1357">
        <f t="shared" si="192"/>
        <v>0</v>
      </c>
      <c r="H216" s="1357">
        <f t="shared" si="192"/>
        <v>0</v>
      </c>
      <c r="I216" s="1358">
        <f t="shared" si="192"/>
        <v>0</v>
      </c>
      <c r="J216" s="1358">
        <f t="shared" si="192"/>
        <v>0</v>
      </c>
      <c r="K216" s="1358">
        <f t="shared" si="192"/>
        <v>0</v>
      </c>
      <c r="L216" s="1358">
        <f t="shared" si="192"/>
        <v>0</v>
      </c>
      <c r="M216" s="1356">
        <f t="shared" si="192"/>
        <v>0</v>
      </c>
      <c r="N216" s="1356">
        <f t="shared" si="192"/>
        <v>0</v>
      </c>
      <c r="O216" s="1356">
        <f t="shared" si="192"/>
        <v>0</v>
      </c>
      <c r="P216" s="1356">
        <f t="shared" si="192"/>
        <v>1104932</v>
      </c>
      <c r="Q216" s="1356">
        <f t="shared" si="192"/>
        <v>2748676</v>
      </c>
      <c r="R216" s="1356">
        <f t="shared" si="192"/>
        <v>1088392</v>
      </c>
      <c r="S216" s="1382"/>
      <c r="T216" s="1356"/>
      <c r="U216" s="1356"/>
      <c r="V216" s="1356"/>
      <c r="W216" s="1356"/>
      <c r="X216" s="3231" t="s">
        <v>77</v>
      </c>
      <c r="Y216" s="3257"/>
      <c r="Z216" s="1322"/>
    </row>
    <row r="217" spans="1:26" s="2667" customFormat="1">
      <c r="A217" s="2988"/>
      <c r="B217" s="702" t="s">
        <v>36</v>
      </c>
      <c r="C217" s="3232" t="s">
        <v>288</v>
      </c>
      <c r="D217" s="1360">
        <f>+D218</f>
        <v>741300</v>
      </c>
      <c r="E217" s="1360">
        <f t="shared" ref="E217:R217" si="193">E218</f>
        <v>0</v>
      </c>
      <c r="F217" s="1361">
        <f t="shared" si="193"/>
        <v>0</v>
      </c>
      <c r="G217" s="1361">
        <f t="shared" si="193"/>
        <v>0</v>
      </c>
      <c r="H217" s="1361">
        <f t="shared" si="193"/>
        <v>0</v>
      </c>
      <c r="I217" s="1362">
        <f t="shared" si="193"/>
        <v>0</v>
      </c>
      <c r="J217" s="1362">
        <f t="shared" si="193"/>
        <v>0</v>
      </c>
      <c r="K217" s="1362">
        <f t="shared" si="193"/>
        <v>0</v>
      </c>
      <c r="L217" s="1362">
        <f t="shared" si="193"/>
        <v>0</v>
      </c>
      <c r="M217" s="1360">
        <f t="shared" si="193"/>
        <v>0</v>
      </c>
      <c r="N217" s="1360">
        <f t="shared" si="193"/>
        <v>0</v>
      </c>
      <c r="O217" s="1360">
        <f t="shared" si="193"/>
        <v>0</v>
      </c>
      <c r="P217" s="1360">
        <f t="shared" si="193"/>
        <v>165740</v>
      </c>
      <c r="Q217" s="1360">
        <f t="shared" si="193"/>
        <v>412301</v>
      </c>
      <c r="R217" s="1360">
        <f t="shared" si="193"/>
        <v>163259</v>
      </c>
      <c r="S217" s="1383"/>
      <c r="T217" s="1360"/>
      <c r="U217" s="1360"/>
      <c r="V217" s="1360"/>
      <c r="W217" s="1360"/>
      <c r="X217" s="3214"/>
      <c r="Y217" s="3257"/>
      <c r="Z217" s="1322"/>
    </row>
    <row r="218" spans="1:26" s="2667" customFormat="1">
      <c r="A218" s="2988"/>
      <c r="B218" s="703" t="s">
        <v>25</v>
      </c>
      <c r="C218" s="3193"/>
      <c r="D218" s="1366">
        <f>M218+O218+P218+Q218+R218+S218+T218+U218+V218+W218</f>
        <v>741300</v>
      </c>
      <c r="E218" s="1374">
        <v>0</v>
      </c>
      <c r="F218" s="1375"/>
      <c r="G218" s="1375"/>
      <c r="H218" s="1375"/>
      <c r="I218" s="1376"/>
      <c r="J218" s="1376"/>
      <c r="K218" s="1376"/>
      <c r="L218" s="1376"/>
      <c r="M218" s="1366">
        <f>+E218+I218+J218+K218+L218+N218</f>
        <v>0</v>
      </c>
      <c r="N218" s="1374">
        <v>0</v>
      </c>
      <c r="O218" s="1374">
        <v>0</v>
      </c>
      <c r="P218" s="1374">
        <v>165740</v>
      </c>
      <c r="Q218" s="1374">
        <v>412301</v>
      </c>
      <c r="R218" s="1374">
        <v>163259</v>
      </c>
      <c r="S218" s="1374"/>
      <c r="T218" s="1374"/>
      <c r="U218" s="1374"/>
      <c r="V218" s="1374"/>
      <c r="W218" s="1374"/>
      <c r="X218" s="3214"/>
      <c r="Y218" s="3257"/>
      <c r="Z218" s="1322"/>
    </row>
    <row r="219" spans="1:26" s="2667" customFormat="1">
      <c r="A219" s="2988"/>
      <c r="B219" s="1377" t="s">
        <v>30</v>
      </c>
      <c r="C219" s="3193"/>
      <c r="D219" s="1369">
        <f>+D220</f>
        <v>4200700</v>
      </c>
      <c r="E219" s="1369">
        <f t="shared" ref="E219:R219" si="194">E220</f>
        <v>0</v>
      </c>
      <c r="F219" s="1361">
        <f t="shared" si="194"/>
        <v>0</v>
      </c>
      <c r="G219" s="1361">
        <f t="shared" si="194"/>
        <v>0</v>
      </c>
      <c r="H219" s="1361">
        <f t="shared" si="194"/>
        <v>0</v>
      </c>
      <c r="I219" s="1362">
        <f t="shared" si="194"/>
        <v>0</v>
      </c>
      <c r="J219" s="1362">
        <f t="shared" si="194"/>
        <v>0</v>
      </c>
      <c r="K219" s="1362">
        <f t="shared" si="194"/>
        <v>0</v>
      </c>
      <c r="L219" s="1362">
        <f t="shared" si="194"/>
        <v>0</v>
      </c>
      <c r="M219" s="1369">
        <f t="shared" si="194"/>
        <v>0</v>
      </c>
      <c r="N219" s="1369">
        <f t="shared" si="194"/>
        <v>0</v>
      </c>
      <c r="O219" s="1369">
        <f t="shared" si="194"/>
        <v>0</v>
      </c>
      <c r="P219" s="1369">
        <f t="shared" si="194"/>
        <v>939192</v>
      </c>
      <c r="Q219" s="1369">
        <f t="shared" si="194"/>
        <v>2336375</v>
      </c>
      <c r="R219" s="1369">
        <f t="shared" si="194"/>
        <v>925133</v>
      </c>
      <c r="S219" s="1384"/>
      <c r="T219" s="1369"/>
      <c r="U219" s="1369"/>
      <c r="V219" s="1369"/>
      <c r="W219" s="1369"/>
      <c r="X219" s="3214"/>
      <c r="Y219" s="3257"/>
      <c r="Z219" s="1322"/>
    </row>
    <row r="220" spans="1:26" s="2667" customFormat="1" ht="13.5" thickBot="1">
      <c r="A220" s="2989"/>
      <c r="B220" s="1378" t="s">
        <v>33</v>
      </c>
      <c r="C220" s="3190"/>
      <c r="D220" s="705">
        <f>M220+O220+P220+Q220+R220+S220+T220+U220+V220+W220</f>
        <v>4200700</v>
      </c>
      <c r="E220" s="706">
        <v>0</v>
      </c>
      <c r="F220" s="1379"/>
      <c r="G220" s="1379"/>
      <c r="H220" s="1379">
        <v>0</v>
      </c>
      <c r="I220" s="1380"/>
      <c r="J220" s="1380"/>
      <c r="K220" s="1380"/>
      <c r="L220" s="1380"/>
      <c r="M220" s="709">
        <f>+E220+I220+J220+K220+L220+N220</f>
        <v>0</v>
      </c>
      <c r="N220" s="706">
        <v>0</v>
      </c>
      <c r="O220" s="706">
        <v>0</v>
      </c>
      <c r="P220" s="706">
        <v>939192</v>
      </c>
      <c r="Q220" s="706">
        <v>2336375</v>
      </c>
      <c r="R220" s="706">
        <v>925133</v>
      </c>
      <c r="S220" s="706"/>
      <c r="T220" s="706"/>
      <c r="U220" s="706"/>
      <c r="V220" s="706"/>
      <c r="W220" s="706"/>
      <c r="X220" s="3215"/>
      <c r="Y220" s="3258"/>
      <c r="Z220" s="1322"/>
    </row>
    <row r="221" spans="1:26" s="1308" customFormat="1" ht="21" customHeight="1" thickBot="1">
      <c r="A221" s="734" t="s">
        <v>195</v>
      </c>
      <c r="B221" s="735"/>
      <c r="C221" s="735"/>
      <c r="D221" s="1530"/>
      <c r="E221" s="1919"/>
      <c r="F221" s="1920"/>
      <c r="G221" s="1920"/>
      <c r="H221" s="1920"/>
      <c r="I221" s="1921"/>
      <c r="J221" s="1921"/>
      <c r="K221" s="1921"/>
      <c r="L221" s="1921"/>
      <c r="M221" s="1530"/>
      <c r="N221" s="1530"/>
      <c r="O221" s="1530"/>
      <c r="P221" s="1530"/>
      <c r="Q221" s="1530"/>
      <c r="R221" s="1530"/>
      <c r="S221" s="1530"/>
      <c r="T221" s="1530"/>
      <c r="U221" s="1530"/>
      <c r="V221" s="1530"/>
      <c r="W221" s="1530"/>
      <c r="X221" s="1531"/>
      <c r="Y221" s="738"/>
    </row>
    <row r="222" spans="1:26" s="2667" customFormat="1" ht="16.5" customHeight="1">
      <c r="A222" s="732"/>
      <c r="B222" s="801" t="s">
        <v>92</v>
      </c>
      <c r="C222" s="802"/>
      <c r="D222" s="803">
        <f>+D223+D224</f>
        <v>54322917</v>
      </c>
      <c r="E222" s="803">
        <f t="shared" ref="E222:Q222" si="195">+E223+E224</f>
        <v>0</v>
      </c>
      <c r="F222" s="1438">
        <f t="shared" si="195"/>
        <v>0</v>
      </c>
      <c r="G222" s="1438">
        <f t="shared" si="195"/>
        <v>0</v>
      </c>
      <c r="H222" s="1438">
        <f t="shared" si="195"/>
        <v>0</v>
      </c>
      <c r="I222" s="1439">
        <f t="shared" si="195"/>
        <v>156327</v>
      </c>
      <c r="J222" s="1439">
        <f t="shared" si="195"/>
        <v>34555</v>
      </c>
      <c r="K222" s="1439">
        <f t="shared" si="195"/>
        <v>6883394</v>
      </c>
      <c r="L222" s="1439">
        <f t="shared" si="195"/>
        <v>4899792</v>
      </c>
      <c r="M222" s="803">
        <f t="shared" ref="M222" si="196">+M223+M224</f>
        <v>17713866</v>
      </c>
      <c r="N222" s="803">
        <f t="shared" si="195"/>
        <v>6025272</v>
      </c>
      <c r="O222" s="803">
        <f t="shared" si="195"/>
        <v>6136915</v>
      </c>
      <c r="P222" s="803">
        <f t="shared" si="195"/>
        <v>9225305</v>
      </c>
      <c r="Q222" s="803">
        <f t="shared" si="195"/>
        <v>8835105</v>
      </c>
      <c r="R222" s="803">
        <f>+R223+R224</f>
        <v>7382305</v>
      </c>
      <c r="S222" s="803">
        <f>+S223+S224</f>
        <v>5029421</v>
      </c>
      <c r="T222" s="803">
        <f t="shared" ref="T222" si="197">+T223+T224</f>
        <v>0</v>
      </c>
      <c r="U222" s="803"/>
      <c r="V222" s="803"/>
      <c r="W222" s="803"/>
      <c r="X222" s="676">
        <f>+X223+X224</f>
        <v>30472136</v>
      </c>
      <c r="Y222" s="3265" t="s">
        <v>77</v>
      </c>
      <c r="Z222" s="1322"/>
    </row>
    <row r="223" spans="1:26" s="2667" customFormat="1" ht="13.5" customHeight="1">
      <c r="A223" s="732"/>
      <c r="B223" s="792" t="s">
        <v>93</v>
      </c>
      <c r="C223" s="793"/>
      <c r="D223" s="794">
        <f>+D237+D241</f>
        <v>52205837</v>
      </c>
      <c r="E223" s="794">
        <f t="shared" ref="E223:Q223" si="198">+E237+E241</f>
        <v>0</v>
      </c>
      <c r="F223" s="1440">
        <f t="shared" si="198"/>
        <v>0</v>
      </c>
      <c r="G223" s="1440">
        <f t="shared" si="198"/>
        <v>0</v>
      </c>
      <c r="H223" s="1440">
        <f t="shared" si="198"/>
        <v>0</v>
      </c>
      <c r="I223" s="1441">
        <f t="shared" si="198"/>
        <v>0</v>
      </c>
      <c r="J223" s="1441">
        <f t="shared" si="198"/>
        <v>0</v>
      </c>
      <c r="K223" s="1441">
        <f t="shared" si="198"/>
        <v>4992196</v>
      </c>
      <c r="L223" s="1441">
        <f t="shared" si="198"/>
        <v>4899789</v>
      </c>
      <c r="M223" s="794">
        <f t="shared" ref="M223" si="199">+M237+M241</f>
        <v>15616935</v>
      </c>
      <c r="N223" s="794">
        <f t="shared" si="198"/>
        <v>6010424</v>
      </c>
      <c r="O223" s="794">
        <f t="shared" si="198"/>
        <v>6136915</v>
      </c>
      <c r="P223" s="794">
        <f t="shared" si="198"/>
        <v>9205156</v>
      </c>
      <c r="Q223" s="794">
        <f t="shared" si="198"/>
        <v>8835105</v>
      </c>
      <c r="R223" s="794">
        <f>+R237</f>
        <v>7382305</v>
      </c>
      <c r="S223" s="794">
        <f>+S237</f>
        <v>5029421</v>
      </c>
      <c r="T223" s="794">
        <f t="shared" ref="T223" si="200">+T237</f>
        <v>0</v>
      </c>
      <c r="U223" s="794"/>
      <c r="V223" s="794"/>
      <c r="W223" s="794"/>
      <c r="X223" s="347">
        <f>SUM(P223:T223)</f>
        <v>30451987</v>
      </c>
      <c r="Y223" s="3266"/>
    </row>
    <row r="224" spans="1:26" s="2667" customFormat="1" ht="13.5" customHeight="1" thickBot="1">
      <c r="A224" s="732"/>
      <c r="B224" s="804" t="s">
        <v>21</v>
      </c>
      <c r="C224" s="793"/>
      <c r="D224" s="794">
        <f>+D233</f>
        <v>2117080</v>
      </c>
      <c r="E224" s="794">
        <f>+E233</f>
        <v>0</v>
      </c>
      <c r="F224" s="1440">
        <f>F233</f>
        <v>0</v>
      </c>
      <c r="G224" s="1440">
        <f>G233</f>
        <v>0</v>
      </c>
      <c r="H224" s="1440">
        <f>H233</f>
        <v>0</v>
      </c>
      <c r="I224" s="1441">
        <f>+I233</f>
        <v>156327</v>
      </c>
      <c r="J224" s="1441">
        <f>+J233</f>
        <v>34555</v>
      </c>
      <c r="K224" s="1441">
        <f t="shared" ref="K224:Q224" si="201">+K233</f>
        <v>1891198</v>
      </c>
      <c r="L224" s="1441">
        <f t="shared" si="201"/>
        <v>3</v>
      </c>
      <c r="M224" s="794">
        <f t="shared" ref="M224" si="202">+M233</f>
        <v>2096931</v>
      </c>
      <c r="N224" s="794">
        <f t="shared" si="201"/>
        <v>14848</v>
      </c>
      <c r="O224" s="794">
        <f t="shared" si="201"/>
        <v>0</v>
      </c>
      <c r="P224" s="794">
        <f t="shared" si="201"/>
        <v>20149</v>
      </c>
      <c r="Q224" s="794">
        <f t="shared" si="201"/>
        <v>0</v>
      </c>
      <c r="R224" s="1442">
        <f>+R233</f>
        <v>0</v>
      </c>
      <c r="S224" s="1442">
        <f t="shared" ref="S224:T224" si="203">+S233</f>
        <v>0</v>
      </c>
      <c r="T224" s="1442">
        <f t="shared" si="203"/>
        <v>0</v>
      </c>
      <c r="U224" s="1442"/>
      <c r="V224" s="1442"/>
      <c r="W224" s="1442"/>
      <c r="X224" s="678">
        <f>SUM(P224:T224)</f>
        <v>20149</v>
      </c>
      <c r="Y224" s="3266"/>
    </row>
    <row r="225" spans="1:37" s="1446" customFormat="1" ht="16.5" customHeight="1">
      <c r="A225" s="1443"/>
      <c r="B225" s="712" t="s">
        <v>22</v>
      </c>
      <c r="C225" s="713"/>
      <c r="D225" s="682">
        <f>+D226</f>
        <v>54322917</v>
      </c>
      <c r="E225" s="682">
        <f t="shared" ref="E225:T226" si="204">+E226</f>
        <v>0</v>
      </c>
      <c r="F225" s="1323">
        <f t="shared" si="204"/>
        <v>0</v>
      </c>
      <c r="G225" s="1323">
        <f t="shared" si="204"/>
        <v>0</v>
      </c>
      <c r="H225" s="1323">
        <f t="shared" si="204"/>
        <v>0</v>
      </c>
      <c r="I225" s="1324">
        <f t="shared" si="204"/>
        <v>156327</v>
      </c>
      <c r="J225" s="1324">
        <f t="shared" si="204"/>
        <v>34555</v>
      </c>
      <c r="K225" s="1324">
        <f t="shared" si="204"/>
        <v>6883394</v>
      </c>
      <c r="L225" s="1324">
        <f t="shared" si="204"/>
        <v>4899792</v>
      </c>
      <c r="M225" s="682">
        <f t="shared" si="204"/>
        <v>17713866</v>
      </c>
      <c r="N225" s="682">
        <f t="shared" si="204"/>
        <v>6025272</v>
      </c>
      <c r="O225" s="682">
        <f t="shared" si="204"/>
        <v>6136915</v>
      </c>
      <c r="P225" s="682">
        <f t="shared" si="204"/>
        <v>9225305</v>
      </c>
      <c r="Q225" s="682">
        <f t="shared" si="204"/>
        <v>8835105</v>
      </c>
      <c r="R225" s="682">
        <f t="shared" si="204"/>
        <v>7382305</v>
      </c>
      <c r="S225" s="682">
        <f t="shared" si="204"/>
        <v>5029421</v>
      </c>
      <c r="T225" s="682">
        <f t="shared" si="204"/>
        <v>0</v>
      </c>
      <c r="U225" s="682"/>
      <c r="V225" s="682"/>
      <c r="W225" s="682"/>
      <c r="X225" s="1444">
        <f>+X226</f>
        <v>30472136</v>
      </c>
      <c r="Y225" s="3266"/>
      <c r="Z225" s="1445"/>
      <c r="AA225" s="1445"/>
    </row>
    <row r="226" spans="1:37" s="1453" customFormat="1" ht="14.25" customHeight="1">
      <c r="A226" s="740"/>
      <c r="B226" s="683" t="s">
        <v>23</v>
      </c>
      <c r="C226" s="3268" t="s">
        <v>77</v>
      </c>
      <c r="D226" s="1447">
        <f>+D227+D228</f>
        <v>54322917</v>
      </c>
      <c r="E226" s="1447">
        <f t="shared" si="204"/>
        <v>0</v>
      </c>
      <c r="F226" s="1448">
        <f t="shared" si="204"/>
        <v>0</v>
      </c>
      <c r="G226" s="1448">
        <f t="shared" si="204"/>
        <v>0</v>
      </c>
      <c r="H226" s="1448">
        <f t="shared" si="204"/>
        <v>0</v>
      </c>
      <c r="I226" s="1449">
        <f t="shared" si="204"/>
        <v>156327</v>
      </c>
      <c r="J226" s="1449">
        <f t="shared" si="204"/>
        <v>34555</v>
      </c>
      <c r="K226" s="1449">
        <f t="shared" si="204"/>
        <v>6883394</v>
      </c>
      <c r="L226" s="1449">
        <f t="shared" si="204"/>
        <v>4899792</v>
      </c>
      <c r="M226" s="1447">
        <f t="shared" si="204"/>
        <v>17713866</v>
      </c>
      <c r="N226" s="1447">
        <f>+N227+N228</f>
        <v>6025272</v>
      </c>
      <c r="O226" s="1447">
        <f>+O227+O228</f>
        <v>6136915</v>
      </c>
      <c r="P226" s="1447">
        <f t="shared" si="204"/>
        <v>9225305</v>
      </c>
      <c r="Q226" s="1447">
        <f t="shared" si="204"/>
        <v>8835105</v>
      </c>
      <c r="R226" s="1447">
        <f t="shared" si="204"/>
        <v>7382305</v>
      </c>
      <c r="S226" s="1447">
        <f t="shared" si="204"/>
        <v>5029421</v>
      </c>
      <c r="T226" s="1447">
        <f t="shared" si="204"/>
        <v>0</v>
      </c>
      <c r="U226" s="1447"/>
      <c r="V226" s="1447"/>
      <c r="W226" s="1447"/>
      <c r="X226" s="1450">
        <f>+X227+X228</f>
        <v>30472136</v>
      </c>
      <c r="Y226" s="3266"/>
      <c r="Z226" s="1451"/>
      <c r="AA226" s="1452"/>
      <c r="AB226" s="1451"/>
      <c r="AC226" s="1451"/>
      <c r="AD226" s="1451"/>
      <c r="AE226" s="1451"/>
      <c r="AF226" s="1451"/>
      <c r="AG226" s="1451"/>
      <c r="AH226" s="1451"/>
      <c r="AI226" s="1451"/>
      <c r="AJ226" s="1451"/>
      <c r="AK226" s="1451"/>
    </row>
    <row r="227" spans="1:37" s="1335" customFormat="1" ht="13.5" customHeight="1">
      <c r="A227" s="685"/>
      <c r="B227" s="686" t="s">
        <v>24</v>
      </c>
      <c r="C227" s="3269"/>
      <c r="D227" s="1454">
        <f>+D235+D239+D243</f>
        <v>54322917</v>
      </c>
      <c r="E227" s="1454">
        <f>+E235+E239</f>
        <v>0</v>
      </c>
      <c r="F227" s="1455">
        <f t="shared" ref="F227:L227" si="205">+F235+F239</f>
        <v>0</v>
      </c>
      <c r="G227" s="1455">
        <f t="shared" si="205"/>
        <v>0</v>
      </c>
      <c r="H227" s="1455">
        <f t="shared" si="205"/>
        <v>0</v>
      </c>
      <c r="I227" s="1456">
        <f t="shared" si="205"/>
        <v>156327</v>
      </c>
      <c r="J227" s="1456">
        <f t="shared" si="205"/>
        <v>34555</v>
      </c>
      <c r="K227" s="1456">
        <f t="shared" si="205"/>
        <v>6883394</v>
      </c>
      <c r="L227" s="1456">
        <f t="shared" si="205"/>
        <v>4899792</v>
      </c>
      <c r="M227" s="1454">
        <f>+M235+M239+M243</f>
        <v>17713866</v>
      </c>
      <c r="N227" s="1454">
        <f>+N235+N239+N243</f>
        <v>5825272</v>
      </c>
      <c r="O227" s="1454">
        <f>+O235+O239+O243</f>
        <v>6136915</v>
      </c>
      <c r="P227" s="1454">
        <f>+P235+P239+P243</f>
        <v>9225305</v>
      </c>
      <c r="Q227" s="1454">
        <f>+Q235+Q239</f>
        <v>8835105</v>
      </c>
      <c r="R227" s="1454">
        <f t="shared" ref="R227:T227" si="206">+R235+R239</f>
        <v>7382305</v>
      </c>
      <c r="S227" s="1454">
        <f t="shared" si="206"/>
        <v>5029421</v>
      </c>
      <c r="T227" s="1454">
        <f t="shared" si="206"/>
        <v>0</v>
      </c>
      <c r="U227" s="1454"/>
      <c r="V227" s="1454"/>
      <c r="W227" s="1454"/>
      <c r="X227" s="1437">
        <f>SUM(P227:W227)</f>
        <v>30472136</v>
      </c>
      <c r="Y227" s="3266"/>
      <c r="Z227" s="1322"/>
    </row>
    <row r="228" spans="1:37" s="1335" customFormat="1" ht="13.5" customHeight="1">
      <c r="A228" s="685"/>
      <c r="B228" s="686" t="s">
        <v>26</v>
      </c>
      <c r="C228" s="3269"/>
      <c r="D228" s="1454">
        <f>+D244</f>
        <v>0</v>
      </c>
      <c r="E228" s="1454">
        <f>+E244</f>
        <v>0</v>
      </c>
      <c r="F228" s="1455">
        <f t="shared" ref="F228:J228" si="207">+F244</f>
        <v>0</v>
      </c>
      <c r="G228" s="1455">
        <f t="shared" si="207"/>
        <v>0</v>
      </c>
      <c r="H228" s="1455">
        <f t="shared" si="207"/>
        <v>0</v>
      </c>
      <c r="I228" s="1456">
        <f t="shared" si="207"/>
        <v>0</v>
      </c>
      <c r="J228" s="1456">
        <f t="shared" si="207"/>
        <v>0</v>
      </c>
      <c r="K228" s="1456">
        <f t="shared" ref="K228:P228" si="208">+K244</f>
        <v>0</v>
      </c>
      <c r="L228" s="1456">
        <f t="shared" si="208"/>
        <v>0</v>
      </c>
      <c r="M228" s="1454">
        <f t="shared" si="208"/>
        <v>0</v>
      </c>
      <c r="N228" s="1454">
        <f t="shared" si="208"/>
        <v>200000</v>
      </c>
      <c r="O228" s="1454">
        <f t="shared" si="208"/>
        <v>0</v>
      </c>
      <c r="P228" s="1454">
        <f t="shared" si="208"/>
        <v>0</v>
      </c>
      <c r="Q228" s="1454">
        <f t="shared" ref="Q228:T228" si="209">+Q244</f>
        <v>0</v>
      </c>
      <c r="R228" s="1454">
        <f t="shared" si="209"/>
        <v>0</v>
      </c>
      <c r="S228" s="1454">
        <f t="shared" si="209"/>
        <v>0</v>
      </c>
      <c r="T228" s="1454">
        <f t="shared" si="209"/>
        <v>0</v>
      </c>
      <c r="U228" s="1454"/>
      <c r="V228" s="1454"/>
      <c r="W228" s="1454"/>
      <c r="X228" s="1437">
        <f>SUM(P228:W228)</f>
        <v>0</v>
      </c>
      <c r="Y228" s="3266"/>
      <c r="Z228" s="1322"/>
    </row>
    <row r="229" spans="1:37" s="1327" customFormat="1" ht="15" customHeight="1">
      <c r="A229" s="679"/>
      <c r="B229" s="517" t="s">
        <v>34</v>
      </c>
      <c r="C229" s="538"/>
      <c r="D229" s="739">
        <f>+D230</f>
        <v>0</v>
      </c>
      <c r="E229" s="739">
        <f t="shared" ref="E229:M230" si="210">+E230</f>
        <v>0</v>
      </c>
      <c r="F229" s="1457">
        <f t="shared" si="210"/>
        <v>0</v>
      </c>
      <c r="G229" s="1457">
        <f t="shared" si="210"/>
        <v>0</v>
      </c>
      <c r="H229" s="1457">
        <f t="shared" si="210"/>
        <v>0</v>
      </c>
      <c r="I229" s="1458">
        <f t="shared" si="210"/>
        <v>0</v>
      </c>
      <c r="J229" s="1458">
        <f t="shared" si="210"/>
        <v>0</v>
      </c>
      <c r="K229" s="1458">
        <f t="shared" si="210"/>
        <v>0</v>
      </c>
      <c r="L229" s="1458">
        <f t="shared" si="210"/>
        <v>0</v>
      </c>
      <c r="M229" s="739">
        <f t="shared" si="210"/>
        <v>0</v>
      </c>
      <c r="N229" s="739">
        <f>+N230</f>
        <v>200000</v>
      </c>
      <c r="O229" s="739">
        <f>+O230</f>
        <v>0</v>
      </c>
      <c r="P229" s="739">
        <f t="shared" ref="P229:T230" si="211">+P230</f>
        <v>0</v>
      </c>
      <c r="Q229" s="739">
        <f t="shared" si="211"/>
        <v>0</v>
      </c>
      <c r="R229" s="739">
        <f t="shared" si="211"/>
        <v>0</v>
      </c>
      <c r="S229" s="739">
        <f t="shared" si="211"/>
        <v>0</v>
      </c>
      <c r="T229" s="739">
        <f t="shared" si="211"/>
        <v>0</v>
      </c>
      <c r="U229" s="739"/>
      <c r="V229" s="739"/>
      <c r="W229" s="739"/>
      <c r="X229" s="3231" t="s">
        <v>77</v>
      </c>
      <c r="Y229" s="3266"/>
      <c r="Z229" s="1326"/>
      <c r="AA229" s="1326"/>
    </row>
    <row r="230" spans="1:37" s="1327" customFormat="1" ht="14.25" customHeight="1">
      <c r="A230" s="679"/>
      <c r="B230" s="683" t="s">
        <v>23</v>
      </c>
      <c r="C230" s="3268" t="s">
        <v>77</v>
      </c>
      <c r="D230" s="1447">
        <f>+D231</f>
        <v>0</v>
      </c>
      <c r="E230" s="1447">
        <f t="shared" si="210"/>
        <v>0</v>
      </c>
      <c r="F230" s="1448">
        <f t="shared" si="210"/>
        <v>0</v>
      </c>
      <c r="G230" s="1448">
        <f t="shared" si="210"/>
        <v>0</v>
      </c>
      <c r="H230" s="1448">
        <f t="shared" si="210"/>
        <v>0</v>
      </c>
      <c r="I230" s="1449">
        <f t="shared" si="210"/>
        <v>0</v>
      </c>
      <c r="J230" s="1449">
        <f t="shared" si="210"/>
        <v>0</v>
      </c>
      <c r="K230" s="1449">
        <f>+K231</f>
        <v>0</v>
      </c>
      <c r="L230" s="1449">
        <f t="shared" ref="L230:M230" si="212">+L231</f>
        <v>0</v>
      </c>
      <c r="M230" s="1447">
        <f t="shared" si="212"/>
        <v>0</v>
      </c>
      <c r="N230" s="1447">
        <f>+N231</f>
        <v>200000</v>
      </c>
      <c r="O230" s="1447">
        <f t="shared" ref="O230" si="213">+O231</f>
        <v>0</v>
      </c>
      <c r="P230" s="1447">
        <f t="shared" si="211"/>
        <v>0</v>
      </c>
      <c r="Q230" s="1447">
        <f t="shared" si="211"/>
        <v>0</v>
      </c>
      <c r="R230" s="1447">
        <f t="shared" si="211"/>
        <v>0</v>
      </c>
      <c r="S230" s="1447">
        <f t="shared" si="211"/>
        <v>0</v>
      </c>
      <c r="T230" s="1447">
        <f t="shared" si="211"/>
        <v>0</v>
      </c>
      <c r="U230" s="1447"/>
      <c r="V230" s="1447"/>
      <c r="W230" s="1447"/>
      <c r="X230" s="3214"/>
      <c r="Y230" s="3266"/>
      <c r="Z230" s="1326"/>
      <c r="AA230" s="1326"/>
    </row>
    <row r="231" spans="1:37" s="1335" customFormat="1" ht="16.5" customHeight="1" thickBot="1">
      <c r="A231" s="685"/>
      <c r="B231" s="686" t="s">
        <v>26</v>
      </c>
      <c r="C231" s="3269"/>
      <c r="D231" s="1454">
        <f>+D247</f>
        <v>0</v>
      </c>
      <c r="E231" s="1454">
        <f>+E247</f>
        <v>0</v>
      </c>
      <c r="F231" s="1455">
        <f t="shared" ref="F231:T231" si="214">+F247</f>
        <v>0</v>
      </c>
      <c r="G231" s="1455">
        <f t="shared" si="214"/>
        <v>0</v>
      </c>
      <c r="H231" s="1455">
        <f t="shared" si="214"/>
        <v>0</v>
      </c>
      <c r="I231" s="1456">
        <f t="shared" si="214"/>
        <v>0</v>
      </c>
      <c r="J231" s="1456">
        <f t="shared" si="214"/>
        <v>0</v>
      </c>
      <c r="K231" s="1456">
        <f t="shared" si="214"/>
        <v>0</v>
      </c>
      <c r="L231" s="1456">
        <f t="shared" si="214"/>
        <v>0</v>
      </c>
      <c r="M231" s="1454">
        <f t="shared" ref="M231" si="215">+M247</f>
        <v>0</v>
      </c>
      <c r="N231" s="1454">
        <f t="shared" si="214"/>
        <v>200000</v>
      </c>
      <c r="O231" s="1454">
        <f t="shared" si="214"/>
        <v>0</v>
      </c>
      <c r="P231" s="1454">
        <f>+P247</f>
        <v>0</v>
      </c>
      <c r="Q231" s="1454">
        <f t="shared" si="214"/>
        <v>0</v>
      </c>
      <c r="R231" s="1454">
        <f t="shared" si="214"/>
        <v>0</v>
      </c>
      <c r="S231" s="1454">
        <f t="shared" si="214"/>
        <v>0</v>
      </c>
      <c r="T231" s="1454">
        <f t="shared" si="214"/>
        <v>0</v>
      </c>
      <c r="U231" s="1459"/>
      <c r="V231" s="1459"/>
      <c r="W231" s="1459"/>
      <c r="X231" s="3215"/>
      <c r="Y231" s="3267"/>
      <c r="Z231" s="1325"/>
    </row>
    <row r="232" spans="1:37" s="1347" customFormat="1" ht="24" customHeight="1">
      <c r="A232" s="3207" t="s">
        <v>79</v>
      </c>
      <c r="B232" s="1460" t="s">
        <v>405</v>
      </c>
      <c r="C232" s="1461" t="s">
        <v>98</v>
      </c>
      <c r="D232" s="3278"/>
      <c r="E232" s="3279"/>
      <c r="F232" s="3279"/>
      <c r="G232" s="3279"/>
      <c r="H232" s="3279"/>
      <c r="I232" s="3279"/>
      <c r="J232" s="3279"/>
      <c r="K232" s="3279"/>
      <c r="L232" s="3279"/>
      <c r="M232" s="3279"/>
      <c r="N232" s="3279"/>
      <c r="O232" s="3279"/>
      <c r="P232" s="3279"/>
      <c r="Q232" s="3279"/>
      <c r="R232" s="3279"/>
      <c r="S232" s="3279"/>
      <c r="T232" s="3279"/>
      <c r="U232" s="3279"/>
      <c r="V232" s="3279"/>
      <c r="W232" s="3280"/>
      <c r="X232" s="1385"/>
      <c r="Y232" s="3256" t="s">
        <v>557</v>
      </c>
    </row>
    <row r="233" spans="1:37" s="1347" customFormat="1" ht="15" customHeight="1">
      <c r="A233" s="3208"/>
      <c r="B233" s="517" t="s">
        <v>22</v>
      </c>
      <c r="C233" s="707"/>
      <c r="D233" s="1356">
        <f>+D234</f>
        <v>2117080</v>
      </c>
      <c r="E233" s="1356">
        <f t="shared" ref="E233:X234" si="216">+E234</f>
        <v>0</v>
      </c>
      <c r="F233" s="1357">
        <f t="shared" si="216"/>
        <v>0</v>
      </c>
      <c r="G233" s="1357">
        <f t="shared" si="216"/>
        <v>0</v>
      </c>
      <c r="H233" s="1357">
        <f t="shared" si="216"/>
        <v>0</v>
      </c>
      <c r="I233" s="1358">
        <f t="shared" si="216"/>
        <v>156327</v>
      </c>
      <c r="J233" s="1358">
        <f t="shared" si="216"/>
        <v>34555</v>
      </c>
      <c r="K233" s="1358">
        <f t="shared" si="216"/>
        <v>1891198</v>
      </c>
      <c r="L233" s="1358">
        <f t="shared" si="216"/>
        <v>3</v>
      </c>
      <c r="M233" s="1356">
        <f t="shared" si="216"/>
        <v>2096931</v>
      </c>
      <c r="N233" s="1356">
        <f t="shared" si="216"/>
        <v>14848</v>
      </c>
      <c r="O233" s="1356">
        <f t="shared" si="216"/>
        <v>0</v>
      </c>
      <c r="P233" s="1356">
        <f t="shared" si="216"/>
        <v>20149</v>
      </c>
      <c r="Q233" s="1462">
        <v>0</v>
      </c>
      <c r="R233" s="1462">
        <v>0</v>
      </c>
      <c r="S233" s="1462">
        <v>0</v>
      </c>
      <c r="T233" s="1462">
        <v>0</v>
      </c>
      <c r="U233" s="1462">
        <v>0</v>
      </c>
      <c r="V233" s="1462">
        <v>0</v>
      </c>
      <c r="W233" s="1462">
        <v>0</v>
      </c>
      <c r="X233" s="1359">
        <f t="shared" si="216"/>
        <v>20149</v>
      </c>
      <c r="Y233" s="3263"/>
      <c r="Z233" s="1322"/>
    </row>
    <row r="234" spans="1:37" s="1347" customFormat="1" ht="12" customHeight="1">
      <c r="A234" s="3208"/>
      <c r="B234" s="698" t="s">
        <v>36</v>
      </c>
      <c r="C234" s="3244" t="s">
        <v>196</v>
      </c>
      <c r="D234" s="1369">
        <f>+D235</f>
        <v>2117080</v>
      </c>
      <c r="E234" s="1369">
        <f t="shared" si="216"/>
        <v>0</v>
      </c>
      <c r="F234" s="1361">
        <f t="shared" si="216"/>
        <v>0</v>
      </c>
      <c r="G234" s="1361">
        <f t="shared" si="216"/>
        <v>0</v>
      </c>
      <c r="H234" s="1361">
        <f t="shared" si="216"/>
        <v>0</v>
      </c>
      <c r="I234" s="1362">
        <f t="shared" si="216"/>
        <v>156327</v>
      </c>
      <c r="J234" s="1362">
        <f t="shared" si="216"/>
        <v>34555</v>
      </c>
      <c r="K234" s="1362">
        <f t="shared" si="216"/>
        <v>1891198</v>
      </c>
      <c r="L234" s="1362">
        <f t="shared" si="216"/>
        <v>3</v>
      </c>
      <c r="M234" s="1369">
        <f t="shared" si="216"/>
        <v>2096931</v>
      </c>
      <c r="N234" s="1369">
        <f t="shared" si="216"/>
        <v>14848</v>
      </c>
      <c r="O234" s="1369">
        <f t="shared" si="216"/>
        <v>0</v>
      </c>
      <c r="P234" s="1369">
        <f t="shared" si="216"/>
        <v>20149</v>
      </c>
      <c r="Q234" s="1463">
        <v>0</v>
      </c>
      <c r="R234" s="1463">
        <v>0</v>
      </c>
      <c r="S234" s="1463">
        <v>0</v>
      </c>
      <c r="T234" s="1463">
        <v>0</v>
      </c>
      <c r="U234" s="1463">
        <v>0</v>
      </c>
      <c r="V234" s="1463">
        <v>0</v>
      </c>
      <c r="W234" s="1463">
        <v>0</v>
      </c>
      <c r="X234" s="1464">
        <f t="shared" si="216"/>
        <v>20149</v>
      </c>
      <c r="Y234" s="3263"/>
    </row>
    <row r="235" spans="1:37" s="1347" customFormat="1" ht="13.5" customHeight="1" thickBot="1">
      <c r="A235" s="3245"/>
      <c r="B235" s="1465" t="s">
        <v>24</v>
      </c>
      <c r="C235" s="3190"/>
      <c r="D235" s="1286">
        <f>M235+O235+P235+Q235+R235+S235+T235+U235+V235+W235</f>
        <v>2117080</v>
      </c>
      <c r="E235" s="705">
        <v>0</v>
      </c>
      <c r="F235" s="1466">
        <v>0</v>
      </c>
      <c r="G235" s="1466">
        <v>0</v>
      </c>
      <c r="H235" s="1466">
        <v>0</v>
      </c>
      <c r="I235" s="1402">
        <f>153720+2607</f>
        <v>156327</v>
      </c>
      <c r="J235" s="1402">
        <f>25000+1450000+500000-1940000-445</f>
        <v>34555</v>
      </c>
      <c r="K235" s="1402">
        <f>1940000-35000-13802</f>
        <v>1891198</v>
      </c>
      <c r="L235" s="1402">
        <f>35000-34997</f>
        <v>3</v>
      </c>
      <c r="M235" s="709">
        <f>+E235+I235+J235+K235+L235+N235</f>
        <v>2096931</v>
      </c>
      <c r="N235" s="705">
        <f>24347+8150-17649</f>
        <v>14848</v>
      </c>
      <c r="O235" s="705">
        <f>2500+17649-20149</f>
        <v>0</v>
      </c>
      <c r="P235" s="705">
        <v>20149</v>
      </c>
      <c r="Q235" s="1467">
        <v>0</v>
      </c>
      <c r="R235" s="1467">
        <v>0</v>
      </c>
      <c r="S235" s="1467">
        <v>0</v>
      </c>
      <c r="T235" s="1467">
        <v>0</v>
      </c>
      <c r="U235" s="1467">
        <v>0</v>
      </c>
      <c r="V235" s="1467">
        <v>0</v>
      </c>
      <c r="W235" s="1467">
        <v>0</v>
      </c>
      <c r="X235" s="1468">
        <f>SUM(P235:T235)</f>
        <v>20149</v>
      </c>
      <c r="Y235" s="3264"/>
    </row>
    <row r="236" spans="1:37" s="1347" customFormat="1" ht="36" customHeight="1">
      <c r="A236" s="3241" t="s">
        <v>80</v>
      </c>
      <c r="B236" s="695" t="s">
        <v>289</v>
      </c>
      <c r="C236" s="1461" t="s">
        <v>130</v>
      </c>
      <c r="D236" s="3278"/>
      <c r="E236" s="3279"/>
      <c r="F236" s="3279"/>
      <c r="G236" s="3279"/>
      <c r="H236" s="3279"/>
      <c r="I236" s="3279"/>
      <c r="J236" s="3279"/>
      <c r="K236" s="3279"/>
      <c r="L236" s="3279"/>
      <c r="M236" s="3279"/>
      <c r="N236" s="3279"/>
      <c r="O236" s="3279"/>
      <c r="P236" s="3279"/>
      <c r="Q236" s="3279"/>
      <c r="R236" s="3279"/>
      <c r="S236" s="3279"/>
      <c r="T236" s="3279"/>
      <c r="U236" s="3279"/>
      <c r="V236" s="3279"/>
      <c r="W236" s="3280"/>
      <c r="X236" s="1385"/>
      <c r="Y236" s="3256" t="s">
        <v>558</v>
      </c>
      <c r="Z236" s="1322"/>
    </row>
    <row r="237" spans="1:37" s="1347" customFormat="1" ht="13.5" customHeight="1">
      <c r="A237" s="3242"/>
      <c r="B237" s="374" t="s">
        <v>22</v>
      </c>
      <c r="C237" s="1964"/>
      <c r="D237" s="1965">
        <f>+D238</f>
        <v>52205837</v>
      </c>
      <c r="E237" s="1965">
        <f t="shared" ref="E237:X238" si="217">+E238</f>
        <v>0</v>
      </c>
      <c r="F237" s="1966">
        <f t="shared" si="217"/>
        <v>0</v>
      </c>
      <c r="G237" s="1966">
        <f t="shared" si="217"/>
        <v>0</v>
      </c>
      <c r="H237" s="1966">
        <f t="shared" si="217"/>
        <v>0</v>
      </c>
      <c r="I237" s="1967">
        <f t="shared" si="217"/>
        <v>0</v>
      </c>
      <c r="J237" s="1967">
        <f t="shared" si="217"/>
        <v>0</v>
      </c>
      <c r="K237" s="1967">
        <f t="shared" si="217"/>
        <v>4992196</v>
      </c>
      <c r="L237" s="1967">
        <f t="shared" si="217"/>
        <v>4899789</v>
      </c>
      <c r="M237" s="1965">
        <f t="shared" si="217"/>
        <v>15616935</v>
      </c>
      <c r="N237" s="1965">
        <f t="shared" si="217"/>
        <v>5724950</v>
      </c>
      <c r="O237" s="1965">
        <f t="shared" si="217"/>
        <v>6136915</v>
      </c>
      <c r="P237" s="1965">
        <f t="shared" si="217"/>
        <v>9205156</v>
      </c>
      <c r="Q237" s="1965">
        <f t="shared" si="217"/>
        <v>8835105</v>
      </c>
      <c r="R237" s="1965">
        <f t="shared" si="217"/>
        <v>7382305</v>
      </c>
      <c r="S237" s="1965">
        <f t="shared" si="217"/>
        <v>5029421</v>
      </c>
      <c r="T237" s="2539">
        <f t="shared" si="217"/>
        <v>0</v>
      </c>
      <c r="U237" s="2539">
        <f t="shared" si="217"/>
        <v>0</v>
      </c>
      <c r="V237" s="2539">
        <f t="shared" si="217"/>
        <v>0</v>
      </c>
      <c r="W237" s="2539">
        <f t="shared" si="217"/>
        <v>0</v>
      </c>
      <c r="X237" s="2540">
        <f t="shared" si="217"/>
        <v>30451987</v>
      </c>
      <c r="Y237" s="3263"/>
    </row>
    <row r="238" spans="1:37" s="1347" customFormat="1" ht="13.5" customHeight="1">
      <c r="A238" s="3242"/>
      <c r="B238" s="698" t="s">
        <v>36</v>
      </c>
      <c r="C238" s="3260" t="s">
        <v>186</v>
      </c>
      <c r="D238" s="2541">
        <f>+D239</f>
        <v>52205837</v>
      </c>
      <c r="E238" s="2541">
        <f t="shared" si="217"/>
        <v>0</v>
      </c>
      <c r="F238" s="2542">
        <f t="shared" si="217"/>
        <v>0</v>
      </c>
      <c r="G238" s="2542">
        <f t="shared" si="217"/>
        <v>0</v>
      </c>
      <c r="H238" s="2542">
        <f t="shared" si="217"/>
        <v>0</v>
      </c>
      <c r="I238" s="2543">
        <f t="shared" si="217"/>
        <v>0</v>
      </c>
      <c r="J238" s="2543">
        <f t="shared" si="217"/>
        <v>0</v>
      </c>
      <c r="K238" s="2543">
        <f t="shared" si="217"/>
        <v>4992196</v>
      </c>
      <c r="L238" s="2543">
        <f t="shared" si="217"/>
        <v>4899789</v>
      </c>
      <c r="M238" s="2541">
        <f t="shared" si="217"/>
        <v>15616935</v>
      </c>
      <c r="N238" s="2541">
        <f t="shared" si="217"/>
        <v>5724950</v>
      </c>
      <c r="O238" s="2541">
        <f t="shared" si="217"/>
        <v>6136915</v>
      </c>
      <c r="P238" s="2541">
        <f t="shared" si="217"/>
        <v>9205156</v>
      </c>
      <c r="Q238" s="2541">
        <f t="shared" si="217"/>
        <v>8835105</v>
      </c>
      <c r="R238" s="1984">
        <f t="shared" si="217"/>
        <v>7382305</v>
      </c>
      <c r="S238" s="1984">
        <f t="shared" si="217"/>
        <v>5029421</v>
      </c>
      <c r="T238" s="2544">
        <f t="shared" si="217"/>
        <v>0</v>
      </c>
      <c r="U238" s="2544">
        <f t="shared" si="217"/>
        <v>0</v>
      </c>
      <c r="V238" s="2544">
        <f t="shared" si="217"/>
        <v>0</v>
      </c>
      <c r="W238" s="2544">
        <f t="shared" si="217"/>
        <v>0</v>
      </c>
      <c r="X238" s="2545">
        <f t="shared" si="217"/>
        <v>30451987</v>
      </c>
      <c r="Y238" s="3263"/>
    </row>
    <row r="239" spans="1:37" s="1347" customFormat="1" ht="13.5" customHeight="1" thickBot="1">
      <c r="A239" s="3243"/>
      <c r="B239" s="2546" t="s">
        <v>24</v>
      </c>
      <c r="C239" s="3273"/>
      <c r="D239" s="1286">
        <f>M239+O239+P239+Q239+R239+S239+T239+U239+V239+W239</f>
        <v>52205837</v>
      </c>
      <c r="E239" s="2547">
        <v>0</v>
      </c>
      <c r="F239" s="1466"/>
      <c r="G239" s="1466"/>
      <c r="H239" s="1466"/>
      <c r="I239" s="1402">
        <v>0</v>
      </c>
      <c r="J239" s="1402">
        <f>1125478-1125478</f>
        <v>0</v>
      </c>
      <c r="K239" s="1402">
        <f>7028902-2036706</f>
        <v>4992196</v>
      </c>
      <c r="L239" s="1402">
        <f>8468756-1002327-2055288-511352</f>
        <v>4899789</v>
      </c>
      <c r="M239" s="709">
        <f>+E239+I239+J239+K239+L239+N239</f>
        <v>15616935</v>
      </c>
      <c r="N239" s="2547">
        <f>8580352-876446-1300000-678956</f>
        <v>5724950</v>
      </c>
      <c r="O239" s="2547">
        <f>9259840-3875840+85000+497000-1300000+1470915</f>
        <v>6136915</v>
      </c>
      <c r="P239" s="2547">
        <f>9445041-9445041+300000+130000+8775156</f>
        <v>9205156</v>
      </c>
      <c r="Q239" s="2547">
        <f>0+8835105</f>
        <v>8835105</v>
      </c>
      <c r="R239" s="2548">
        <f>0+7382305</f>
        <v>7382305</v>
      </c>
      <c r="S239" s="2548">
        <v>5029421</v>
      </c>
      <c r="T239" s="2549">
        <v>0</v>
      </c>
      <c r="U239" s="2549">
        <v>0</v>
      </c>
      <c r="V239" s="2549">
        <v>0</v>
      </c>
      <c r="W239" s="2549">
        <v>0</v>
      </c>
      <c r="X239" s="1468">
        <f>SUM(P239:W239)</f>
        <v>30451987</v>
      </c>
      <c r="Y239" s="3277"/>
    </row>
    <row r="240" spans="1:37" s="1347" customFormat="1" ht="54.75" hidden="1" customHeight="1">
      <c r="A240" s="3207" t="s">
        <v>81</v>
      </c>
      <c r="B240" s="695"/>
      <c r="C240" s="1461" t="s">
        <v>130</v>
      </c>
      <c r="D240" s="3274"/>
      <c r="E240" s="3275"/>
      <c r="F240" s="3275"/>
      <c r="G240" s="3275"/>
      <c r="H240" s="3275"/>
      <c r="I240" s="3275"/>
      <c r="J240" s="3275"/>
      <c r="K240" s="3275"/>
      <c r="L240" s="3275"/>
      <c r="M240" s="3275"/>
      <c r="N240" s="3275"/>
      <c r="O240" s="3275"/>
      <c r="P240" s="3275"/>
      <c r="Q240" s="3275"/>
      <c r="R240" s="3275"/>
      <c r="S240" s="3275"/>
      <c r="T240" s="3275"/>
      <c r="U240" s="3275"/>
      <c r="V240" s="3275"/>
      <c r="W240" s="3276"/>
      <c r="X240" s="1471"/>
      <c r="Y240" s="3270" t="s">
        <v>197</v>
      </c>
      <c r="Z240" s="1322"/>
    </row>
    <row r="241" spans="1:25" s="1347" customFormat="1" ht="13.5" hidden="1" customHeight="1">
      <c r="A241" s="3208"/>
      <c r="B241" s="374" t="s">
        <v>22</v>
      </c>
      <c r="C241" s="1472"/>
      <c r="D241" s="1356">
        <f>+D242</f>
        <v>0</v>
      </c>
      <c r="E241" s="1356">
        <f t="shared" ref="E241:W241" si="218">+E242</f>
        <v>0</v>
      </c>
      <c r="F241" s="1357">
        <f t="shared" si="218"/>
        <v>0</v>
      </c>
      <c r="G241" s="1357">
        <f t="shared" si="218"/>
        <v>0</v>
      </c>
      <c r="H241" s="1357">
        <f t="shared" si="218"/>
        <v>0</v>
      </c>
      <c r="I241" s="1358">
        <f t="shared" si="218"/>
        <v>0</v>
      </c>
      <c r="J241" s="1358">
        <f t="shared" si="218"/>
        <v>0</v>
      </c>
      <c r="K241" s="1358">
        <f t="shared" si="218"/>
        <v>0</v>
      </c>
      <c r="L241" s="1358">
        <f t="shared" si="218"/>
        <v>0</v>
      </c>
      <c r="M241" s="1356">
        <f t="shared" si="218"/>
        <v>0</v>
      </c>
      <c r="N241" s="1356">
        <f t="shared" si="218"/>
        <v>285474</v>
      </c>
      <c r="O241" s="1356">
        <f t="shared" si="218"/>
        <v>0</v>
      </c>
      <c r="P241" s="1462">
        <f t="shared" si="218"/>
        <v>0</v>
      </c>
      <c r="Q241" s="1462">
        <f t="shared" si="218"/>
        <v>0</v>
      </c>
      <c r="R241" s="1462">
        <f t="shared" si="218"/>
        <v>0</v>
      </c>
      <c r="S241" s="1462">
        <f t="shared" si="218"/>
        <v>0</v>
      </c>
      <c r="T241" s="1462">
        <f t="shared" si="218"/>
        <v>0</v>
      </c>
      <c r="U241" s="1462">
        <f t="shared" si="218"/>
        <v>0</v>
      </c>
      <c r="V241" s="1462">
        <f t="shared" si="218"/>
        <v>0</v>
      </c>
      <c r="W241" s="1462">
        <f t="shared" si="218"/>
        <v>0</v>
      </c>
      <c r="X241" s="1469">
        <f>+X242</f>
        <v>0</v>
      </c>
      <c r="Y241" s="3271"/>
    </row>
    <row r="242" spans="1:25" s="1347" customFormat="1" ht="13.5" hidden="1" customHeight="1">
      <c r="A242" s="3208"/>
      <c r="B242" s="698" t="s">
        <v>36</v>
      </c>
      <c r="C242" s="3232" t="s">
        <v>198</v>
      </c>
      <c r="D242" s="1403">
        <f>+D243+D244</f>
        <v>0</v>
      </c>
      <c r="E242" s="1403">
        <f t="shared" ref="E242:L242" si="219">+E244</f>
        <v>0</v>
      </c>
      <c r="F242" s="1404">
        <f t="shared" si="219"/>
        <v>0</v>
      </c>
      <c r="G242" s="1404">
        <f t="shared" si="219"/>
        <v>0</v>
      </c>
      <c r="H242" s="1404">
        <f t="shared" si="219"/>
        <v>0</v>
      </c>
      <c r="I242" s="1405">
        <f t="shared" si="219"/>
        <v>0</v>
      </c>
      <c r="J242" s="1405">
        <f t="shared" si="219"/>
        <v>0</v>
      </c>
      <c r="K242" s="1405">
        <f t="shared" si="219"/>
        <v>0</v>
      </c>
      <c r="L242" s="1405">
        <f t="shared" si="219"/>
        <v>0</v>
      </c>
      <c r="M242" s="1403">
        <f>+M243+M244</f>
        <v>0</v>
      </c>
      <c r="N242" s="1403">
        <f>+N243+N244</f>
        <v>285474</v>
      </c>
      <c r="O242" s="1403">
        <f>+O243+O244</f>
        <v>0</v>
      </c>
      <c r="P242" s="1473">
        <f t="shared" ref="P242:T242" si="220">+P243+P244</f>
        <v>0</v>
      </c>
      <c r="Q242" s="1473">
        <f t="shared" si="220"/>
        <v>0</v>
      </c>
      <c r="R242" s="1473">
        <f t="shared" si="220"/>
        <v>0</v>
      </c>
      <c r="S242" s="1473">
        <f t="shared" si="220"/>
        <v>0</v>
      </c>
      <c r="T242" s="1473">
        <f t="shared" si="220"/>
        <v>0</v>
      </c>
      <c r="U242" s="1473">
        <f t="shared" ref="U242:W242" si="221">+U243+U244</f>
        <v>0</v>
      </c>
      <c r="V242" s="1473">
        <f t="shared" si="221"/>
        <v>0</v>
      </c>
      <c r="W242" s="1473">
        <f t="shared" si="221"/>
        <v>0</v>
      </c>
      <c r="X242" s="1470">
        <f>+X243+X244</f>
        <v>0</v>
      </c>
      <c r="Y242" s="3271"/>
    </row>
    <row r="243" spans="1:25" s="1347" customFormat="1" ht="13.5" hidden="1" customHeight="1">
      <c r="A243" s="3208"/>
      <c r="B243" s="1474" t="s">
        <v>24</v>
      </c>
      <c r="C243" s="3233"/>
      <c r="D243" s="1391">
        <f t="shared" ref="D243:D244" si="222">M243+O243+P243+Q243+R243+S243+T243+U243+V243+W243</f>
        <v>0</v>
      </c>
      <c r="E243" s="1475">
        <v>0</v>
      </c>
      <c r="F243" s="1476"/>
      <c r="G243" s="1476"/>
      <c r="H243" s="1476"/>
      <c r="I243" s="1477"/>
      <c r="J243" s="1477"/>
      <c r="K243" s="1477"/>
      <c r="L243" s="1477"/>
      <c r="M243" s="1366">
        <v>0</v>
      </c>
      <c r="N243" s="1475">
        <f>530000-201474-243052</f>
        <v>85474</v>
      </c>
      <c r="O243" s="1475">
        <v>0</v>
      </c>
      <c r="P243" s="1478">
        <v>0</v>
      </c>
      <c r="Q243" s="1478">
        <v>0</v>
      </c>
      <c r="R243" s="1478">
        <v>0</v>
      </c>
      <c r="S243" s="1479">
        <v>0</v>
      </c>
      <c r="T243" s="1479">
        <v>0</v>
      </c>
      <c r="U243" s="1478">
        <v>0</v>
      </c>
      <c r="V243" s="1479">
        <v>0</v>
      </c>
      <c r="W243" s="1479">
        <v>0</v>
      </c>
      <c r="X243" s="1334">
        <f>SUM(P243:T243)</f>
        <v>0</v>
      </c>
      <c r="Y243" s="3271"/>
    </row>
    <row r="244" spans="1:25" s="1347" customFormat="1" ht="13.5" hidden="1" customHeight="1">
      <c r="A244" s="3208"/>
      <c r="B244" s="2667" t="s">
        <v>26</v>
      </c>
      <c r="C244" s="3234"/>
      <c r="D244" s="1391">
        <f t="shared" si="222"/>
        <v>0</v>
      </c>
      <c r="E244" s="1480">
        <v>0</v>
      </c>
      <c r="F244" s="1481"/>
      <c r="G244" s="1481"/>
      <c r="H244" s="1481"/>
      <c r="I244" s="1482">
        <v>0</v>
      </c>
      <c r="J244" s="1482">
        <f>1125478-1125478</f>
        <v>0</v>
      </c>
      <c r="K244" s="1482">
        <v>0</v>
      </c>
      <c r="L244" s="1482">
        <v>0</v>
      </c>
      <c r="M244" s="1366">
        <v>0</v>
      </c>
      <c r="N244" s="1480">
        <v>200000</v>
      </c>
      <c r="O244" s="1480">
        <v>0</v>
      </c>
      <c r="P244" s="1483">
        <v>0</v>
      </c>
      <c r="Q244" s="1483">
        <v>0</v>
      </c>
      <c r="R244" s="1483">
        <v>0</v>
      </c>
      <c r="S244" s="1483">
        <v>0</v>
      </c>
      <c r="T244" s="1483">
        <v>0</v>
      </c>
      <c r="U244" s="1483">
        <v>0</v>
      </c>
      <c r="V244" s="1483">
        <v>0</v>
      </c>
      <c r="W244" s="1483">
        <v>0</v>
      </c>
      <c r="X244" s="1334">
        <f>SUM(P244:W244)</f>
        <v>0</v>
      </c>
      <c r="Y244" s="3271"/>
    </row>
    <row r="245" spans="1:25" s="2667" customFormat="1" ht="13.5" hidden="1" customHeight="1">
      <c r="A245" s="3208"/>
      <c r="B245" s="374" t="s">
        <v>34</v>
      </c>
      <c r="C245" s="1472"/>
      <c r="D245" s="1356">
        <f>+D246</f>
        <v>0</v>
      </c>
      <c r="E245" s="1356">
        <f t="shared" ref="E245:W245" si="223">+E246</f>
        <v>0</v>
      </c>
      <c r="F245" s="1357">
        <f t="shared" si="223"/>
        <v>0</v>
      </c>
      <c r="G245" s="1357">
        <f t="shared" si="223"/>
        <v>0</v>
      </c>
      <c r="H245" s="1357">
        <f t="shared" si="223"/>
        <v>0</v>
      </c>
      <c r="I245" s="1358">
        <f t="shared" si="223"/>
        <v>0</v>
      </c>
      <c r="J245" s="1358">
        <f t="shared" si="223"/>
        <v>0</v>
      </c>
      <c r="K245" s="1358">
        <f t="shared" si="223"/>
        <v>0</v>
      </c>
      <c r="L245" s="1358">
        <f t="shared" si="223"/>
        <v>0</v>
      </c>
      <c r="M245" s="1356">
        <f t="shared" si="223"/>
        <v>0</v>
      </c>
      <c r="N245" s="1356">
        <f t="shared" si="223"/>
        <v>200000</v>
      </c>
      <c r="O245" s="1356">
        <f t="shared" si="223"/>
        <v>0</v>
      </c>
      <c r="P245" s="1462">
        <f t="shared" si="223"/>
        <v>0</v>
      </c>
      <c r="Q245" s="1462">
        <f t="shared" si="223"/>
        <v>0</v>
      </c>
      <c r="R245" s="1462">
        <f t="shared" si="223"/>
        <v>0</v>
      </c>
      <c r="S245" s="1484">
        <f t="shared" si="223"/>
        <v>0</v>
      </c>
      <c r="T245" s="1462">
        <f t="shared" si="223"/>
        <v>0</v>
      </c>
      <c r="U245" s="1462">
        <f t="shared" si="223"/>
        <v>0</v>
      </c>
      <c r="V245" s="1484">
        <f t="shared" si="223"/>
        <v>0</v>
      </c>
      <c r="W245" s="1462">
        <f t="shared" si="223"/>
        <v>0</v>
      </c>
      <c r="X245" s="3231" t="s">
        <v>35</v>
      </c>
      <c r="Y245" s="3271"/>
    </row>
    <row r="246" spans="1:25" s="2667" customFormat="1" ht="13.5" hidden="1" customHeight="1">
      <c r="A246" s="2988"/>
      <c r="B246" s="698" t="s">
        <v>36</v>
      </c>
      <c r="C246" s="3232" t="s">
        <v>199</v>
      </c>
      <c r="D246" s="1403">
        <f t="shared" ref="D246:W246" si="224">+D247</f>
        <v>0</v>
      </c>
      <c r="E246" s="1403">
        <f t="shared" si="224"/>
        <v>0</v>
      </c>
      <c r="F246" s="1404">
        <f t="shared" si="224"/>
        <v>0</v>
      </c>
      <c r="G246" s="1404">
        <f t="shared" si="224"/>
        <v>0</v>
      </c>
      <c r="H246" s="1404">
        <f t="shared" si="224"/>
        <v>0</v>
      </c>
      <c r="I246" s="1405">
        <f t="shared" si="224"/>
        <v>0</v>
      </c>
      <c r="J246" s="1405">
        <f t="shared" si="224"/>
        <v>0</v>
      </c>
      <c r="K246" s="1405">
        <f t="shared" si="224"/>
        <v>0</v>
      </c>
      <c r="L246" s="1405">
        <f t="shared" si="224"/>
        <v>0</v>
      </c>
      <c r="M246" s="1403">
        <f t="shared" si="224"/>
        <v>0</v>
      </c>
      <c r="N246" s="1403">
        <f t="shared" si="224"/>
        <v>200000</v>
      </c>
      <c r="O246" s="1403">
        <f t="shared" si="224"/>
        <v>0</v>
      </c>
      <c r="P246" s="1473">
        <f t="shared" si="224"/>
        <v>0</v>
      </c>
      <c r="Q246" s="1473">
        <f t="shared" si="224"/>
        <v>0</v>
      </c>
      <c r="R246" s="1473">
        <f t="shared" si="224"/>
        <v>0</v>
      </c>
      <c r="S246" s="1485">
        <f t="shared" si="224"/>
        <v>0</v>
      </c>
      <c r="T246" s="1486">
        <f t="shared" si="224"/>
        <v>0</v>
      </c>
      <c r="U246" s="1473">
        <f t="shared" si="224"/>
        <v>0</v>
      </c>
      <c r="V246" s="1485">
        <f t="shared" si="224"/>
        <v>0</v>
      </c>
      <c r="W246" s="1486">
        <f t="shared" si="224"/>
        <v>0</v>
      </c>
      <c r="X246" s="3214"/>
      <c r="Y246" s="3271"/>
    </row>
    <row r="247" spans="1:25" s="2667" customFormat="1" ht="12.75" hidden="1" customHeight="1" thickBot="1">
      <c r="A247" s="2989"/>
      <c r="B247" s="1284" t="s">
        <v>26</v>
      </c>
      <c r="C247" s="3273"/>
      <c r="D247" s="1286">
        <f>M247+O247+P247+Q247+R247+S247+T247+U247+V247+W247</f>
        <v>0</v>
      </c>
      <c r="E247" s="1487">
        <v>0</v>
      </c>
      <c r="F247" s="1488"/>
      <c r="G247" s="1488"/>
      <c r="H247" s="1488"/>
      <c r="I247" s="1489">
        <v>0</v>
      </c>
      <c r="J247" s="1489">
        <f>6315000-2528100-3749850-37050</f>
        <v>0</v>
      </c>
      <c r="K247" s="1489">
        <v>0</v>
      </c>
      <c r="L247" s="1489">
        <v>0</v>
      </c>
      <c r="M247" s="709">
        <v>0</v>
      </c>
      <c r="N247" s="1487">
        <v>200000</v>
      </c>
      <c r="O247" s="1487">
        <v>0</v>
      </c>
      <c r="P247" s="1490">
        <v>0</v>
      </c>
      <c r="Q247" s="1490">
        <v>0</v>
      </c>
      <c r="R247" s="1490">
        <v>0</v>
      </c>
      <c r="S247" s="1491">
        <v>0</v>
      </c>
      <c r="T247" s="1491">
        <v>0</v>
      </c>
      <c r="U247" s="1490">
        <v>0</v>
      </c>
      <c r="V247" s="1491">
        <v>0</v>
      </c>
      <c r="W247" s="1491">
        <v>0</v>
      </c>
      <c r="X247" s="3215"/>
      <c r="Y247" s="3272"/>
    </row>
    <row r="248" spans="1:25">
      <c r="A248" s="3262"/>
      <c r="B248" s="3262"/>
      <c r="C248" s="3262"/>
      <c r="D248" s="3262"/>
      <c r="E248" s="3262"/>
      <c r="F248" s="3262"/>
      <c r="G248" s="3262"/>
      <c r="H248" s="3262"/>
      <c r="I248" s="3262"/>
      <c r="J248" s="3262"/>
      <c r="K248" s="3262"/>
      <c r="L248" s="3262"/>
      <c r="M248" s="3262"/>
      <c r="N248" s="3262"/>
      <c r="O248" s="3262"/>
      <c r="P248" s="3262"/>
      <c r="Q248" s="3262"/>
      <c r="R248" s="3262"/>
      <c r="S248" s="3262"/>
      <c r="T248" s="3262"/>
      <c r="U248" s="3262"/>
      <c r="V248" s="3262"/>
      <c r="W248" s="3262"/>
      <c r="X248" s="3262"/>
      <c r="Y248" s="3262"/>
    </row>
    <row r="249" spans="1:25">
      <c r="A249" s="1492"/>
      <c r="E249" s="1493"/>
      <c r="F249" s="1298"/>
    </row>
    <row r="250" spans="1:25">
      <c r="B250" s="2669" t="s">
        <v>56</v>
      </c>
      <c r="E250" s="1493"/>
      <c r="F250" s="1298"/>
    </row>
    <row r="251" spans="1:25">
      <c r="B251" s="3261" t="s">
        <v>361</v>
      </c>
      <c r="C251" s="1297" t="s">
        <v>130</v>
      </c>
      <c r="D251" s="1304">
        <f>D112-O112-P112-Q112-R112-S112-T112</f>
        <v>67589072</v>
      </c>
      <c r="E251" s="1493"/>
      <c r="F251" s="1298"/>
      <c r="M251" s="1297" t="s">
        <v>130</v>
      </c>
    </row>
    <row r="252" spans="1:25">
      <c r="B252" s="3261"/>
      <c r="C252" s="1297" t="s">
        <v>98</v>
      </c>
      <c r="D252" s="1304">
        <f>D130-O130-P130-Q130-R130-S130-T130</f>
        <v>501075</v>
      </c>
      <c r="E252" s="1493"/>
      <c r="F252" s="1298"/>
      <c r="M252" s="1297" t="s">
        <v>98</v>
      </c>
    </row>
    <row r="253" spans="1:25">
      <c r="B253" s="3261"/>
      <c r="D253" s="1495">
        <f>D251+D252</f>
        <v>68090147</v>
      </c>
      <c r="E253" s="1493"/>
      <c r="F253" s="1298"/>
    </row>
    <row r="254" spans="1:25">
      <c r="E254" s="1493"/>
      <c r="F254" s="1298"/>
    </row>
    <row r="255" spans="1:25">
      <c r="B255" s="1496" t="s">
        <v>619</v>
      </c>
      <c r="C255" s="1297" t="s">
        <v>130</v>
      </c>
      <c r="D255" s="1304">
        <f>+D103-O103-P103-Q103-R103-S103-T103</f>
        <v>67589072</v>
      </c>
      <c r="E255" s="1493"/>
      <c r="F255" s="1298"/>
    </row>
    <row r="256" spans="1:25">
      <c r="C256" s="1297" t="s">
        <v>98</v>
      </c>
      <c r="D256" s="1304">
        <f>D121-O121-P121-Q121-R121-S121-T121</f>
        <v>501075</v>
      </c>
      <c r="E256" s="1493"/>
      <c r="F256" s="1298"/>
    </row>
    <row r="257" spans="2:23">
      <c r="D257" s="1495">
        <f>D255+D256</f>
        <v>68090147</v>
      </c>
      <c r="E257" s="1493"/>
      <c r="F257" s="1298"/>
    </row>
    <row r="258" spans="2:23">
      <c r="E258" s="1493"/>
      <c r="F258" s="1298"/>
    </row>
    <row r="259" spans="2:23">
      <c r="B259" s="1496" t="s">
        <v>363</v>
      </c>
      <c r="D259" s="1495">
        <f>+D94-O94-P94-Q94-R94-S94-T94</f>
        <v>9839112</v>
      </c>
      <c r="E259" s="1493"/>
      <c r="F259" s="1298"/>
    </row>
    <row r="260" spans="2:23">
      <c r="E260" s="1493"/>
      <c r="F260" s="1298"/>
    </row>
    <row r="261" spans="2:23">
      <c r="B261" s="1297" t="s">
        <v>362</v>
      </c>
      <c r="D261" s="1495">
        <f>D257+D259</f>
        <v>77929259</v>
      </c>
      <c r="E261" s="1493"/>
      <c r="F261" s="1298"/>
    </row>
    <row r="262" spans="2:23">
      <c r="E262" s="1493"/>
      <c r="F262" s="1298"/>
    </row>
    <row r="263" spans="2:23">
      <c r="B263" s="1297" t="s">
        <v>401</v>
      </c>
      <c r="D263" s="1304">
        <f>+D94+D104</f>
        <v>212743776</v>
      </c>
      <c r="E263" s="1493"/>
      <c r="F263" s="1298"/>
      <c r="M263" s="1304">
        <f>+M94+M104</f>
        <v>0</v>
      </c>
      <c r="O263" s="1304">
        <f t="shared" ref="O263:W263" si="225">+O94+O104</f>
        <v>95653</v>
      </c>
      <c r="P263" s="1304">
        <f t="shared" si="225"/>
        <v>27447835</v>
      </c>
      <c r="Q263" s="1304">
        <f t="shared" si="225"/>
        <v>27481152</v>
      </c>
      <c r="R263" s="1304">
        <f t="shared" si="225"/>
        <v>27590960</v>
      </c>
      <c r="S263" s="1304">
        <f t="shared" si="225"/>
        <v>26171761</v>
      </c>
      <c r="T263" s="1304">
        <f t="shared" si="225"/>
        <v>26528231</v>
      </c>
      <c r="U263" s="1304">
        <f t="shared" si="225"/>
        <v>26891833</v>
      </c>
      <c r="V263" s="1304">
        <f t="shared" si="225"/>
        <v>25079037</v>
      </c>
      <c r="W263" s="1304">
        <f t="shared" si="225"/>
        <v>25457314</v>
      </c>
    </row>
    <row r="264" spans="2:23">
      <c r="B264" s="1297" t="s">
        <v>402</v>
      </c>
      <c r="D264" s="1304">
        <f>+D122</f>
        <v>1536967</v>
      </c>
      <c r="E264" s="1493"/>
      <c r="F264" s="1298"/>
      <c r="M264" s="1304">
        <f t="shared" ref="M264:W264" si="226">+M122</f>
        <v>0</v>
      </c>
      <c r="N264" s="1304">
        <f t="shared" si="226"/>
        <v>0</v>
      </c>
      <c r="O264" s="1304">
        <f t="shared" si="226"/>
        <v>0</v>
      </c>
      <c r="P264" s="1304">
        <f t="shared" si="226"/>
        <v>361842</v>
      </c>
      <c r="Q264" s="1304">
        <f t="shared" si="226"/>
        <v>170000</v>
      </c>
      <c r="R264" s="1304">
        <f t="shared" si="226"/>
        <v>170000</v>
      </c>
      <c r="S264" s="1304">
        <f t="shared" si="226"/>
        <v>167025</v>
      </c>
      <c r="T264" s="1304">
        <f t="shared" si="226"/>
        <v>167025</v>
      </c>
      <c r="U264" s="1304">
        <f t="shared" si="226"/>
        <v>167025</v>
      </c>
      <c r="V264" s="1304">
        <f t="shared" si="226"/>
        <v>167025</v>
      </c>
      <c r="W264" s="1304">
        <f t="shared" si="226"/>
        <v>167025</v>
      </c>
    </row>
    <row r="265" spans="2:23">
      <c r="E265" s="1493"/>
      <c r="F265" s="1298"/>
    </row>
    <row r="266" spans="2:23">
      <c r="B266" s="1297" t="s">
        <v>365</v>
      </c>
      <c r="D266" s="1304">
        <f>+D112+'Tab. 6B Polit społ i rozwój prz'!D215+D130</f>
        <v>247298062</v>
      </c>
      <c r="E266" s="1493"/>
      <c r="F266" s="1298"/>
      <c r="O266" s="1304">
        <f>+O112+'Tab. 6B Polit społ i rozwój prz'!O215+O130</f>
        <v>0</v>
      </c>
      <c r="P266" s="1304">
        <f>+P112+'Tab. 6B Polit społ i rozwój prz'!P215+P130</f>
        <v>29556200</v>
      </c>
      <c r="Q266" s="1304">
        <f>+Q112+'Tab. 6B Polit społ i rozwój prz'!Q215+Q130</f>
        <v>33747400</v>
      </c>
      <c r="R266" s="1304">
        <f>+R112+'Tab. 6B Polit społ i rozwój prz'!R215+R130</f>
        <v>32372200</v>
      </c>
      <c r="S266" s="1304">
        <f>+S112+'Tab. 6B Polit społ i rozwój prz'!S215+S130</f>
        <v>30460200</v>
      </c>
      <c r="T266" s="1304">
        <f>+T112+'Tab. 6B Polit społ i rozwój prz'!T215+T130</f>
        <v>30004248</v>
      </c>
      <c r="U266" s="1304">
        <f>+U112+'Tab. 6B Polit społ i rozwój prz'!U215+U130</f>
        <v>30574519</v>
      </c>
      <c r="V266" s="1304">
        <f>+V112+'Tab. 6B Polit społ i rozwój prz'!V215+V130</f>
        <v>30240549</v>
      </c>
      <c r="W266" s="1304">
        <f>+W112+'Tab. 6B Polit społ i rozwój prz'!W215+W130</f>
        <v>30342746</v>
      </c>
    </row>
    <row r="267" spans="2:23">
      <c r="B267" s="1297" t="s">
        <v>367</v>
      </c>
      <c r="D267" s="1304">
        <f>+D92+D116+'Tab. 6B Polit społ i rozwój prz'!D209</f>
        <v>294468308</v>
      </c>
      <c r="E267" s="1493"/>
      <c r="F267" s="1298"/>
      <c r="O267" s="1304">
        <f>+O92+O116+'Tab. 6B Polit społ i rozwój prz'!O209</f>
        <v>400847</v>
      </c>
      <c r="P267" s="1304">
        <f>+P92+P116+'Tab. 6B Polit społ i rozwój prz'!P209</f>
        <v>38237764</v>
      </c>
      <c r="Q267" s="1304">
        <f>+Q92+Q116+'Tab. 6B Polit społ i rozwój prz'!Q209</f>
        <v>37927344</v>
      </c>
      <c r="R267" s="1304">
        <f>+R92+R116+'Tab. 6B Polit społ i rozwój prz'!R209</f>
        <v>38060708</v>
      </c>
      <c r="S267" s="1304">
        <f>+S92+S116+'Tab. 6B Polit społ i rozwój prz'!S209</f>
        <v>36491534</v>
      </c>
      <c r="T267" s="1304">
        <f>+T92+T116+'Tab. 6B Polit społ i rozwój prz'!T209</f>
        <v>36868003</v>
      </c>
      <c r="U267" s="1304">
        <f>+U92+U116+'Tab. 6B Polit społ i rozwój prz'!U209</f>
        <v>37127605</v>
      </c>
      <c r="V267" s="1304">
        <f>+V92+V116+'Tab. 6B Polit społ i rozwój prz'!V209</f>
        <v>34594809</v>
      </c>
      <c r="W267" s="1304">
        <f>+W92+W116+'Tab. 6B Polit społ i rozwój prz'!W209</f>
        <v>34759694</v>
      </c>
    </row>
    <row r="268" spans="2:23">
      <c r="E268" s="1493"/>
      <c r="F268" s="1298"/>
    </row>
    <row r="269" spans="2:23">
      <c r="E269" s="1493"/>
      <c r="F269" s="1298"/>
    </row>
    <row r="270" spans="2:23">
      <c r="E270" s="1493"/>
      <c r="F270" s="1298"/>
    </row>
    <row r="271" spans="2:23">
      <c r="B271" s="1297" t="s">
        <v>369</v>
      </c>
      <c r="D271" s="1304">
        <f>+D94+D106+D107+D108+D109+D110+D111</f>
        <v>212743776</v>
      </c>
      <c r="E271" s="1493"/>
      <c r="F271" s="1298"/>
    </row>
    <row r="272" spans="2:23">
      <c r="B272" s="1297" t="s">
        <v>370</v>
      </c>
      <c r="D272" s="1304">
        <f>+D124+D125+D128+D129</f>
        <v>1536967</v>
      </c>
      <c r="E272" s="1493"/>
      <c r="F272" s="1298"/>
    </row>
    <row r="273" spans="2:23">
      <c r="E273" s="1493"/>
      <c r="F273" s="1298"/>
    </row>
    <row r="274" spans="2:23">
      <c r="E274" s="1493"/>
      <c r="F274" s="1298"/>
    </row>
    <row r="275" spans="2:23">
      <c r="B275" s="1297" t="s">
        <v>435</v>
      </c>
      <c r="C275" s="1297" t="s">
        <v>433</v>
      </c>
      <c r="D275" s="1304">
        <f>+D206+D172</f>
        <v>20000000</v>
      </c>
      <c r="E275" s="1493"/>
      <c r="F275" s="1298"/>
      <c r="P275" s="1304">
        <f t="shared" ref="P275:V275" si="227">+P206+P172</f>
        <v>1443800</v>
      </c>
      <c r="Q275" s="1304">
        <f t="shared" si="227"/>
        <v>7252600</v>
      </c>
      <c r="R275" s="1304">
        <f t="shared" si="227"/>
        <v>8627800</v>
      </c>
      <c r="S275" s="1304">
        <f t="shared" si="227"/>
        <v>1539800</v>
      </c>
      <c r="T275" s="1304">
        <f t="shared" si="227"/>
        <v>1136000</v>
      </c>
      <c r="U275" s="1304">
        <f t="shared" si="227"/>
        <v>0</v>
      </c>
      <c r="V275" s="1304">
        <f t="shared" si="227"/>
        <v>0</v>
      </c>
    </row>
    <row r="276" spans="2:23">
      <c r="C276" s="1297" t="s">
        <v>434</v>
      </c>
      <c r="D276" s="1304">
        <f>+D164+D191</f>
        <v>0</v>
      </c>
      <c r="E276" s="1493"/>
      <c r="F276" s="1298"/>
      <c r="P276" s="1304">
        <f t="shared" ref="P276:V276" si="228">+P164+P191</f>
        <v>0</v>
      </c>
      <c r="Q276" s="1304">
        <f t="shared" si="228"/>
        <v>0</v>
      </c>
      <c r="R276" s="1304">
        <f t="shared" si="228"/>
        <v>0</v>
      </c>
      <c r="S276" s="1304">
        <f t="shared" si="228"/>
        <v>0</v>
      </c>
      <c r="T276" s="1304">
        <f t="shared" si="228"/>
        <v>0</v>
      </c>
      <c r="U276" s="1304">
        <f t="shared" si="228"/>
        <v>0</v>
      </c>
      <c r="V276" s="1304">
        <f t="shared" si="228"/>
        <v>0</v>
      </c>
    </row>
    <row r="277" spans="2:23">
      <c r="D277" s="1304">
        <f>SUM(D275:D276)</f>
        <v>20000000</v>
      </c>
      <c r="E277" s="1304">
        <f t="shared" ref="E277:V277" si="229">SUM(E275:E276)</f>
        <v>0</v>
      </c>
      <c r="F277" s="1304">
        <f t="shared" si="229"/>
        <v>0</v>
      </c>
      <c r="G277" s="1304">
        <f t="shared" si="229"/>
        <v>0</v>
      </c>
      <c r="H277" s="1304">
        <f t="shared" si="229"/>
        <v>0</v>
      </c>
      <c r="I277" s="1304">
        <f t="shared" si="229"/>
        <v>0</v>
      </c>
      <c r="J277" s="1304">
        <f t="shared" si="229"/>
        <v>0</v>
      </c>
      <c r="K277" s="1304">
        <f t="shared" si="229"/>
        <v>0</v>
      </c>
      <c r="L277" s="1304">
        <f t="shared" si="229"/>
        <v>0</v>
      </c>
      <c r="M277" s="1304">
        <f t="shared" si="229"/>
        <v>0</v>
      </c>
      <c r="N277" s="1304">
        <f t="shared" si="229"/>
        <v>0</v>
      </c>
      <c r="O277" s="1304">
        <f t="shared" si="229"/>
        <v>0</v>
      </c>
      <c r="P277" s="1304">
        <f t="shared" si="229"/>
        <v>1443800</v>
      </c>
      <c r="Q277" s="1304">
        <f t="shared" si="229"/>
        <v>7252600</v>
      </c>
      <c r="R277" s="1304">
        <f t="shared" si="229"/>
        <v>8627800</v>
      </c>
      <c r="S277" s="1304">
        <f t="shared" si="229"/>
        <v>1539800</v>
      </c>
      <c r="T277" s="1304">
        <f t="shared" si="229"/>
        <v>1136000</v>
      </c>
      <c r="U277" s="1304">
        <f t="shared" si="229"/>
        <v>0</v>
      </c>
      <c r="V277" s="1304">
        <f t="shared" si="229"/>
        <v>0</v>
      </c>
    </row>
    <row r="278" spans="2:23">
      <c r="B278" s="1297" t="s">
        <v>435</v>
      </c>
      <c r="E278" s="1493"/>
      <c r="F278" s="1298"/>
    </row>
    <row r="279" spans="2:23">
      <c r="B279" s="1297" t="s">
        <v>448</v>
      </c>
      <c r="D279" s="1304">
        <f>+D152+D182</f>
        <v>0</v>
      </c>
      <c r="E279" s="1493"/>
      <c r="F279" s="1298"/>
      <c r="P279" s="1304">
        <f t="shared" ref="P279:W279" si="230">+P152+P182</f>
        <v>0</v>
      </c>
      <c r="Q279" s="1304">
        <f t="shared" si="230"/>
        <v>0</v>
      </c>
      <c r="R279" s="1304">
        <f t="shared" si="230"/>
        <v>0</v>
      </c>
      <c r="S279" s="1304">
        <f t="shared" si="230"/>
        <v>0</v>
      </c>
      <c r="T279" s="1304">
        <f t="shared" si="230"/>
        <v>0</v>
      </c>
      <c r="U279" s="1304">
        <f t="shared" si="230"/>
        <v>0</v>
      </c>
      <c r="V279" s="1304">
        <f t="shared" si="230"/>
        <v>0</v>
      </c>
      <c r="W279" s="1304">
        <f t="shared" si="230"/>
        <v>0</v>
      </c>
    </row>
    <row r="280" spans="2:23">
      <c r="B280" s="1297" t="s">
        <v>449</v>
      </c>
      <c r="D280" s="1304">
        <f>+D166+D193</f>
        <v>89390020</v>
      </c>
      <c r="E280" s="1493"/>
      <c r="F280" s="1298"/>
      <c r="O280" s="1304">
        <f t="shared" ref="O280:W280" si="231">+O166+O193</f>
        <v>0</v>
      </c>
      <c r="P280" s="1304">
        <f t="shared" si="231"/>
        <v>1543800</v>
      </c>
      <c r="Q280" s="1304">
        <f t="shared" si="231"/>
        <v>14675460</v>
      </c>
      <c r="R280" s="1304">
        <f t="shared" si="231"/>
        <v>23596460</v>
      </c>
      <c r="S280" s="1304">
        <f t="shared" si="231"/>
        <v>34618600</v>
      </c>
      <c r="T280" s="1304">
        <f t="shared" si="231"/>
        <v>14955700</v>
      </c>
      <c r="U280" s="1304">
        <f t="shared" si="231"/>
        <v>0</v>
      </c>
      <c r="V280" s="1304">
        <f t="shared" si="231"/>
        <v>0</v>
      </c>
      <c r="W280" s="1304">
        <f t="shared" si="231"/>
        <v>0</v>
      </c>
    </row>
    <row r="281" spans="2:23">
      <c r="E281" s="1493"/>
      <c r="F281" s="1298"/>
    </row>
    <row r="282" spans="2:23">
      <c r="E282" s="1493"/>
      <c r="F282" s="1298"/>
    </row>
    <row r="283" spans="2:23">
      <c r="E283" s="1493"/>
      <c r="F283" s="1298"/>
    </row>
    <row r="284" spans="2:23">
      <c r="E284" s="1493"/>
      <c r="F284" s="1298"/>
    </row>
    <row r="285" spans="2:23">
      <c r="E285" s="1493"/>
      <c r="F285" s="1298"/>
    </row>
    <row r="286" spans="2:23">
      <c r="E286" s="1493"/>
      <c r="F286" s="1298"/>
    </row>
    <row r="287" spans="2:23">
      <c r="E287" s="1493"/>
      <c r="F287" s="1298"/>
    </row>
    <row r="288" spans="2:23">
      <c r="E288" s="1493"/>
      <c r="F288" s="1298"/>
    </row>
    <row r="289" spans="5:6">
      <c r="E289" s="1493"/>
      <c r="F289" s="1298"/>
    </row>
    <row r="290" spans="5:6">
      <c r="E290" s="1493"/>
      <c r="F290" s="1298"/>
    </row>
    <row r="291" spans="5:6">
      <c r="E291" s="1493"/>
      <c r="F291" s="1298"/>
    </row>
    <row r="292" spans="5:6">
      <c r="E292" s="1493"/>
      <c r="F292" s="1298"/>
    </row>
    <row r="293" spans="5:6">
      <c r="E293" s="1493"/>
      <c r="F293" s="1298"/>
    </row>
    <row r="294" spans="5:6">
      <c r="E294" s="1493"/>
      <c r="F294" s="1298"/>
    </row>
    <row r="295" spans="5:6">
      <c r="E295" s="1493"/>
      <c r="F295" s="1298"/>
    </row>
    <row r="296" spans="5:6">
      <c r="E296" s="1493"/>
      <c r="F296" s="1298"/>
    </row>
    <row r="297" spans="5:6">
      <c r="E297" s="1493"/>
      <c r="F297" s="1298"/>
    </row>
    <row r="298" spans="5:6">
      <c r="E298" s="1493"/>
      <c r="F298" s="1298"/>
    </row>
    <row r="299" spans="5:6">
      <c r="E299" s="1493"/>
      <c r="F299" s="1298"/>
    </row>
    <row r="300" spans="5:6">
      <c r="E300" s="1493"/>
      <c r="F300" s="1298"/>
    </row>
    <row r="301" spans="5:6">
      <c r="E301" s="1493"/>
      <c r="F301" s="1298"/>
    </row>
    <row r="302" spans="5:6">
      <c r="E302" s="1493"/>
      <c r="F302" s="1298"/>
    </row>
    <row r="303" spans="5:6">
      <c r="E303" s="1493"/>
      <c r="F303" s="1298"/>
    </row>
    <row r="304" spans="5:6">
      <c r="E304" s="1493"/>
      <c r="F304" s="1298"/>
    </row>
    <row r="305" spans="5:6">
      <c r="E305" s="1493"/>
      <c r="F305" s="1298"/>
    </row>
    <row r="306" spans="5:6">
      <c r="E306" s="1493"/>
      <c r="F306" s="1298"/>
    </row>
    <row r="307" spans="5:6">
      <c r="E307" s="1493"/>
      <c r="F307" s="1298"/>
    </row>
    <row r="308" spans="5:6">
      <c r="E308" s="1493"/>
      <c r="F308" s="1298"/>
    </row>
    <row r="309" spans="5:6">
      <c r="E309" s="1493"/>
      <c r="F309" s="1298"/>
    </row>
    <row r="310" spans="5:6">
      <c r="E310" s="1493"/>
      <c r="F310" s="1298"/>
    </row>
    <row r="311" spans="5:6">
      <c r="E311" s="1493"/>
      <c r="F311" s="1298"/>
    </row>
    <row r="312" spans="5:6">
      <c r="E312" s="1493"/>
      <c r="F312" s="1298"/>
    </row>
    <row r="313" spans="5:6">
      <c r="E313" s="1493"/>
      <c r="F313" s="1298"/>
    </row>
    <row r="314" spans="5:6">
      <c r="E314" s="1493"/>
      <c r="F314" s="1298"/>
    </row>
    <row r="315" spans="5:6">
      <c r="E315" s="1493"/>
      <c r="F315" s="1298"/>
    </row>
    <row r="316" spans="5:6">
      <c r="E316" s="1493"/>
      <c r="F316" s="1298"/>
    </row>
    <row r="317" spans="5:6">
      <c r="E317" s="1493"/>
      <c r="F317" s="1298"/>
    </row>
    <row r="318" spans="5:6">
      <c r="E318" s="1493"/>
      <c r="F318" s="1298"/>
    </row>
    <row r="319" spans="5:6">
      <c r="E319" s="1493"/>
      <c r="F319" s="1298"/>
    </row>
    <row r="320" spans="5:6">
      <c r="E320" s="1493"/>
      <c r="F320" s="1298"/>
    </row>
    <row r="321" spans="5:6">
      <c r="E321" s="1493"/>
      <c r="F321" s="1298"/>
    </row>
    <row r="322" spans="5:6">
      <c r="E322" s="1493"/>
      <c r="F322" s="1298"/>
    </row>
    <row r="323" spans="5:6">
      <c r="E323" s="1493"/>
      <c r="F323" s="1298"/>
    </row>
    <row r="324" spans="5:6">
      <c r="E324" s="1493"/>
      <c r="F324" s="1298"/>
    </row>
    <row r="325" spans="5:6">
      <c r="E325" s="1493"/>
      <c r="F325" s="1298"/>
    </row>
    <row r="326" spans="5:6">
      <c r="E326" s="1493"/>
      <c r="F326" s="1298"/>
    </row>
    <row r="327" spans="5:6">
      <c r="E327" s="1493"/>
      <c r="F327" s="1298"/>
    </row>
    <row r="328" spans="5:6">
      <c r="E328" s="1493"/>
      <c r="F328" s="1298"/>
    </row>
    <row r="329" spans="5:6">
      <c r="E329" s="1493"/>
      <c r="F329" s="1298"/>
    </row>
    <row r="330" spans="5:6">
      <c r="E330" s="1493"/>
      <c r="F330" s="1298"/>
    </row>
    <row r="331" spans="5:6">
      <c r="E331" s="1493"/>
      <c r="F331" s="1298"/>
    </row>
    <row r="332" spans="5:6">
      <c r="E332" s="1493"/>
      <c r="F332" s="1298"/>
    </row>
    <row r="333" spans="5:6">
      <c r="E333" s="1493"/>
      <c r="F333" s="1298"/>
    </row>
    <row r="334" spans="5:6">
      <c r="E334" s="1493"/>
      <c r="F334" s="1298"/>
    </row>
    <row r="335" spans="5:6">
      <c r="E335" s="1493"/>
      <c r="F335" s="1298"/>
    </row>
    <row r="336" spans="5:6">
      <c r="E336" s="1493"/>
      <c r="F336" s="1298"/>
    </row>
    <row r="337" spans="5:6">
      <c r="E337" s="1493"/>
      <c r="F337" s="1298"/>
    </row>
    <row r="338" spans="5:6">
      <c r="E338" s="1493"/>
      <c r="F338" s="1298"/>
    </row>
    <row r="339" spans="5:6">
      <c r="E339" s="1493"/>
      <c r="F339" s="1298"/>
    </row>
    <row r="340" spans="5:6">
      <c r="E340" s="1493"/>
      <c r="F340" s="1298"/>
    </row>
    <row r="341" spans="5:6">
      <c r="E341" s="1493"/>
      <c r="F341" s="1298"/>
    </row>
    <row r="342" spans="5:6">
      <c r="E342" s="1493"/>
      <c r="F342" s="1298"/>
    </row>
    <row r="343" spans="5:6">
      <c r="E343" s="1493"/>
      <c r="F343" s="1298"/>
    </row>
    <row r="344" spans="5:6">
      <c r="E344" s="1493"/>
      <c r="F344" s="1298"/>
    </row>
    <row r="345" spans="5:6">
      <c r="E345" s="1493"/>
      <c r="F345" s="1298"/>
    </row>
    <row r="346" spans="5:6">
      <c r="E346" s="1493"/>
      <c r="F346" s="1298"/>
    </row>
    <row r="347" spans="5:6">
      <c r="E347" s="1493"/>
      <c r="F347" s="1298"/>
    </row>
    <row r="348" spans="5:6">
      <c r="E348" s="1493"/>
      <c r="F348" s="1298"/>
    </row>
    <row r="349" spans="5:6">
      <c r="E349" s="1493"/>
      <c r="F349" s="1298"/>
    </row>
    <row r="350" spans="5:6">
      <c r="E350" s="1493"/>
      <c r="F350" s="1298"/>
    </row>
    <row r="351" spans="5:6">
      <c r="E351" s="1493"/>
      <c r="F351" s="1298"/>
    </row>
    <row r="352" spans="5:6">
      <c r="E352" s="1493"/>
      <c r="F352" s="1298"/>
    </row>
    <row r="353" spans="5:6">
      <c r="E353" s="1493"/>
      <c r="F353" s="1298"/>
    </row>
    <row r="354" spans="5:6">
      <c r="E354" s="1493"/>
      <c r="F354" s="1298"/>
    </row>
    <row r="355" spans="5:6">
      <c r="E355" s="1493"/>
      <c r="F355" s="1298"/>
    </row>
    <row r="356" spans="5:6">
      <c r="E356" s="1493"/>
      <c r="F356" s="1298"/>
    </row>
    <row r="357" spans="5:6">
      <c r="E357" s="1493"/>
      <c r="F357" s="1298"/>
    </row>
    <row r="358" spans="5:6">
      <c r="E358" s="1493"/>
      <c r="F358" s="1298"/>
    </row>
    <row r="359" spans="5:6">
      <c r="E359" s="1493"/>
      <c r="F359" s="1298"/>
    </row>
    <row r="360" spans="5:6">
      <c r="E360" s="1493"/>
      <c r="F360" s="1298"/>
    </row>
    <row r="361" spans="5:6">
      <c r="E361" s="1493"/>
      <c r="F361" s="1298"/>
    </row>
    <row r="362" spans="5:6">
      <c r="E362" s="1493"/>
      <c r="F362" s="1298"/>
    </row>
    <row r="363" spans="5:6">
      <c r="E363" s="1493"/>
      <c r="F363" s="1298"/>
    </row>
    <row r="364" spans="5:6">
      <c r="E364" s="1493"/>
      <c r="F364" s="1298"/>
    </row>
    <row r="365" spans="5:6">
      <c r="E365" s="1493"/>
      <c r="F365" s="1298"/>
    </row>
    <row r="366" spans="5:6">
      <c r="E366" s="1493"/>
      <c r="F366" s="1298"/>
    </row>
    <row r="367" spans="5:6">
      <c r="E367" s="1493"/>
      <c r="F367" s="1298"/>
    </row>
    <row r="368" spans="5:6">
      <c r="E368" s="1493"/>
      <c r="F368" s="1298"/>
    </row>
    <row r="369" spans="5:6">
      <c r="E369" s="1493"/>
      <c r="F369" s="1298"/>
    </row>
    <row r="370" spans="5:6">
      <c r="E370" s="1493"/>
      <c r="F370" s="1298"/>
    </row>
    <row r="371" spans="5:6">
      <c r="E371" s="1493"/>
      <c r="F371" s="1298"/>
    </row>
    <row r="372" spans="5:6">
      <c r="E372" s="1493"/>
      <c r="F372" s="1298"/>
    </row>
    <row r="373" spans="5:6">
      <c r="E373" s="1493"/>
      <c r="F373" s="1298"/>
    </row>
    <row r="374" spans="5:6">
      <c r="E374" s="1493"/>
      <c r="F374" s="1298"/>
    </row>
    <row r="375" spans="5:6">
      <c r="E375" s="1493"/>
      <c r="F375" s="1298"/>
    </row>
    <row r="376" spans="5:6">
      <c r="E376" s="1493"/>
      <c r="F376" s="1298"/>
    </row>
    <row r="377" spans="5:6">
      <c r="E377" s="1493"/>
      <c r="F377" s="1298"/>
    </row>
    <row r="378" spans="5:6">
      <c r="E378" s="1493"/>
      <c r="F378" s="1298"/>
    </row>
    <row r="379" spans="5:6">
      <c r="E379" s="1493"/>
      <c r="F379" s="1298"/>
    </row>
    <row r="380" spans="5:6">
      <c r="E380" s="1493"/>
      <c r="F380" s="1298"/>
    </row>
    <row r="381" spans="5:6">
      <c r="E381" s="1493"/>
      <c r="F381" s="1298"/>
    </row>
    <row r="382" spans="5:6">
      <c r="E382" s="1493"/>
      <c r="F382" s="1298"/>
    </row>
    <row r="383" spans="5:6">
      <c r="E383" s="1493"/>
      <c r="F383" s="1298"/>
    </row>
    <row r="384" spans="5:6">
      <c r="E384" s="1493"/>
      <c r="F384" s="1298"/>
    </row>
    <row r="385" spans="5:6">
      <c r="E385" s="1493"/>
      <c r="F385" s="1298"/>
    </row>
    <row r="386" spans="5:6">
      <c r="E386" s="1493"/>
      <c r="F386" s="1298"/>
    </row>
    <row r="387" spans="5:6">
      <c r="E387" s="1493"/>
      <c r="F387" s="1298"/>
    </row>
    <row r="388" spans="5:6">
      <c r="E388" s="1493"/>
      <c r="F388" s="1298"/>
    </row>
    <row r="389" spans="5:6">
      <c r="E389" s="1493"/>
      <c r="F389" s="1298"/>
    </row>
    <row r="390" spans="5:6">
      <c r="E390" s="1493"/>
      <c r="F390" s="1298"/>
    </row>
    <row r="391" spans="5:6">
      <c r="E391" s="1493"/>
      <c r="F391" s="1298"/>
    </row>
    <row r="392" spans="5:6">
      <c r="E392" s="1493"/>
      <c r="F392" s="1298"/>
    </row>
    <row r="393" spans="5:6">
      <c r="E393" s="1493"/>
      <c r="F393" s="1298"/>
    </row>
    <row r="394" spans="5:6">
      <c r="E394" s="1493"/>
      <c r="F394" s="1298"/>
    </row>
    <row r="395" spans="5:6">
      <c r="E395" s="1493"/>
      <c r="F395" s="1298"/>
    </row>
    <row r="396" spans="5:6">
      <c r="E396" s="1493"/>
      <c r="F396" s="1298"/>
    </row>
    <row r="397" spans="5:6">
      <c r="E397" s="1493"/>
      <c r="F397" s="1298"/>
    </row>
    <row r="398" spans="5:6">
      <c r="E398" s="1493"/>
      <c r="F398" s="1298"/>
    </row>
    <row r="399" spans="5:6">
      <c r="E399" s="1493"/>
      <c r="F399" s="1298"/>
    </row>
    <row r="400" spans="5:6">
      <c r="E400" s="1493"/>
      <c r="F400" s="1298"/>
    </row>
    <row r="401" spans="5:6">
      <c r="E401" s="1493"/>
      <c r="F401" s="1298"/>
    </row>
    <row r="402" spans="5:6">
      <c r="E402" s="1493"/>
      <c r="F402" s="1298"/>
    </row>
    <row r="403" spans="5:6">
      <c r="E403" s="1493"/>
      <c r="F403" s="1298"/>
    </row>
    <row r="404" spans="5:6">
      <c r="E404" s="1493"/>
      <c r="F404" s="1298"/>
    </row>
    <row r="405" spans="5:6">
      <c r="E405" s="1493"/>
      <c r="F405" s="1298"/>
    </row>
    <row r="406" spans="5:6">
      <c r="E406" s="1493"/>
      <c r="F406" s="1298"/>
    </row>
    <row r="407" spans="5:6">
      <c r="E407" s="1493"/>
      <c r="F407" s="1298"/>
    </row>
    <row r="408" spans="5:6">
      <c r="E408" s="1493"/>
      <c r="F408" s="1298"/>
    </row>
    <row r="409" spans="5:6">
      <c r="E409" s="1493"/>
      <c r="F409" s="1298"/>
    </row>
    <row r="410" spans="5:6">
      <c r="E410" s="1493"/>
      <c r="F410" s="1298"/>
    </row>
    <row r="411" spans="5:6">
      <c r="E411" s="1493"/>
      <c r="F411" s="1298"/>
    </row>
    <row r="412" spans="5:6">
      <c r="E412" s="1493"/>
      <c r="F412" s="1298"/>
    </row>
    <row r="413" spans="5:6">
      <c r="E413" s="1493"/>
      <c r="F413" s="1298"/>
    </row>
    <row r="414" spans="5:6">
      <c r="E414" s="1493"/>
      <c r="F414" s="1298"/>
    </row>
    <row r="415" spans="5:6">
      <c r="E415" s="1493"/>
      <c r="F415" s="1298"/>
    </row>
    <row r="416" spans="5:6">
      <c r="E416" s="1493"/>
      <c r="F416" s="1298"/>
    </row>
    <row r="417" spans="5:6">
      <c r="E417" s="1493"/>
      <c r="F417" s="1298"/>
    </row>
    <row r="418" spans="5:6">
      <c r="E418" s="1493"/>
      <c r="F418" s="1298"/>
    </row>
    <row r="419" spans="5:6">
      <c r="E419" s="1493"/>
      <c r="F419" s="1298"/>
    </row>
    <row r="420" spans="5:6">
      <c r="E420" s="1493"/>
      <c r="F420" s="1298"/>
    </row>
    <row r="421" spans="5:6">
      <c r="E421" s="1493"/>
      <c r="F421" s="1298"/>
    </row>
    <row r="422" spans="5:6">
      <c r="E422" s="1493"/>
      <c r="F422" s="1298"/>
    </row>
    <row r="423" spans="5:6">
      <c r="E423" s="1493"/>
      <c r="F423" s="1298"/>
    </row>
    <row r="424" spans="5:6">
      <c r="E424" s="1493"/>
      <c r="F424" s="1298"/>
    </row>
    <row r="425" spans="5:6">
      <c r="E425" s="1493"/>
      <c r="F425" s="1298"/>
    </row>
    <row r="426" spans="5:6">
      <c r="E426" s="1493"/>
      <c r="F426" s="1298"/>
    </row>
    <row r="427" spans="5:6">
      <c r="E427" s="1493"/>
      <c r="F427" s="1298"/>
    </row>
    <row r="428" spans="5:6">
      <c r="E428" s="1493"/>
      <c r="F428" s="1298"/>
    </row>
    <row r="429" spans="5:6">
      <c r="E429" s="1493"/>
      <c r="F429" s="1298"/>
    </row>
    <row r="430" spans="5:6">
      <c r="E430" s="1493"/>
      <c r="F430" s="1298"/>
    </row>
    <row r="431" spans="5:6">
      <c r="E431" s="1493"/>
      <c r="F431" s="1298"/>
    </row>
    <row r="432" spans="5:6">
      <c r="E432" s="1493"/>
      <c r="F432" s="1298"/>
    </row>
    <row r="433" spans="5:6">
      <c r="E433" s="1493"/>
      <c r="F433" s="1298"/>
    </row>
    <row r="434" spans="5:6">
      <c r="E434" s="1493"/>
      <c r="F434" s="1298"/>
    </row>
    <row r="435" spans="5:6">
      <c r="E435" s="1493"/>
      <c r="F435" s="1298"/>
    </row>
    <row r="436" spans="5:6">
      <c r="E436" s="1493"/>
      <c r="F436" s="1298"/>
    </row>
    <row r="437" spans="5:6">
      <c r="E437" s="1493"/>
      <c r="F437" s="1298"/>
    </row>
    <row r="438" spans="5:6">
      <c r="E438" s="1493"/>
      <c r="F438" s="1298"/>
    </row>
    <row r="439" spans="5:6">
      <c r="E439" s="1493"/>
      <c r="F439" s="1298"/>
    </row>
    <row r="440" spans="5:6">
      <c r="E440" s="1493"/>
      <c r="F440" s="1298"/>
    </row>
    <row r="441" spans="5:6">
      <c r="E441" s="1493"/>
      <c r="F441" s="1298"/>
    </row>
    <row r="442" spans="5:6">
      <c r="E442" s="1493"/>
      <c r="F442" s="1298"/>
    </row>
    <row r="443" spans="5:6">
      <c r="E443" s="1493"/>
      <c r="F443" s="1298"/>
    </row>
    <row r="444" spans="5:6">
      <c r="E444" s="1493"/>
      <c r="F444" s="1298"/>
    </row>
    <row r="445" spans="5:6">
      <c r="E445" s="1493"/>
      <c r="F445" s="1298"/>
    </row>
    <row r="446" spans="5:6">
      <c r="E446" s="1493"/>
      <c r="F446" s="1298"/>
    </row>
    <row r="447" spans="5:6">
      <c r="E447" s="1493"/>
      <c r="F447" s="1298"/>
    </row>
    <row r="448" spans="5:6">
      <c r="E448" s="1493"/>
      <c r="F448" s="1298"/>
    </row>
    <row r="449" spans="5:6">
      <c r="E449" s="1493"/>
      <c r="F449" s="1298"/>
    </row>
    <row r="450" spans="5:6">
      <c r="E450" s="1493"/>
      <c r="F450" s="1298"/>
    </row>
    <row r="451" spans="5:6">
      <c r="E451" s="1493"/>
      <c r="F451" s="1298"/>
    </row>
    <row r="452" spans="5:6">
      <c r="E452" s="1493"/>
      <c r="F452" s="1298"/>
    </row>
    <row r="453" spans="5:6">
      <c r="E453" s="1493"/>
      <c r="F453" s="1298"/>
    </row>
    <row r="454" spans="5:6">
      <c r="E454" s="1493"/>
      <c r="F454" s="1298"/>
    </row>
    <row r="455" spans="5:6">
      <c r="E455" s="1493"/>
      <c r="F455" s="1298"/>
    </row>
    <row r="456" spans="5:6">
      <c r="E456" s="1493"/>
      <c r="F456" s="1298"/>
    </row>
    <row r="457" spans="5:6">
      <c r="E457" s="1493"/>
      <c r="F457" s="1298"/>
    </row>
    <row r="458" spans="5:6">
      <c r="E458" s="1493"/>
      <c r="F458" s="1298"/>
    </row>
    <row r="459" spans="5:6">
      <c r="E459" s="1493"/>
      <c r="F459" s="1298"/>
    </row>
    <row r="460" spans="5:6">
      <c r="E460" s="1493"/>
      <c r="F460" s="1298"/>
    </row>
    <row r="461" spans="5:6">
      <c r="E461" s="1493"/>
      <c r="F461" s="1298"/>
    </row>
    <row r="462" spans="5:6">
      <c r="E462" s="1493"/>
      <c r="F462" s="1298"/>
    </row>
    <row r="463" spans="5:6">
      <c r="E463" s="1493"/>
      <c r="F463" s="1298"/>
    </row>
    <row r="464" spans="5:6">
      <c r="E464" s="1493"/>
      <c r="F464" s="1298"/>
    </row>
    <row r="465" spans="5:6">
      <c r="E465" s="1493"/>
      <c r="F465" s="1298"/>
    </row>
    <row r="466" spans="5:6">
      <c r="E466" s="1493"/>
      <c r="F466" s="1298"/>
    </row>
    <row r="467" spans="5:6">
      <c r="E467" s="1493"/>
      <c r="F467" s="1298"/>
    </row>
    <row r="468" spans="5:6">
      <c r="E468" s="1493"/>
      <c r="F468" s="1298"/>
    </row>
    <row r="469" spans="5:6">
      <c r="E469" s="1493"/>
      <c r="F469" s="1298"/>
    </row>
    <row r="470" spans="5:6">
      <c r="E470" s="1493"/>
      <c r="F470" s="1298"/>
    </row>
    <row r="471" spans="5:6">
      <c r="E471" s="1493"/>
      <c r="F471" s="1298"/>
    </row>
    <row r="472" spans="5:6">
      <c r="E472" s="1493"/>
      <c r="F472" s="1298"/>
    </row>
    <row r="473" spans="5:6">
      <c r="E473" s="1493"/>
      <c r="F473" s="1298"/>
    </row>
    <row r="474" spans="5:6">
      <c r="E474" s="1493"/>
      <c r="F474" s="1298"/>
    </row>
    <row r="475" spans="5:6">
      <c r="E475" s="1493"/>
      <c r="F475" s="1298"/>
    </row>
    <row r="476" spans="5:6">
      <c r="E476" s="1493"/>
      <c r="F476" s="1298"/>
    </row>
    <row r="477" spans="5:6">
      <c r="E477" s="1493"/>
      <c r="F477" s="1298"/>
    </row>
    <row r="478" spans="5:6">
      <c r="E478" s="1493"/>
      <c r="F478" s="1298"/>
    </row>
    <row r="479" spans="5:6">
      <c r="E479" s="1493"/>
      <c r="F479" s="1298"/>
    </row>
    <row r="480" spans="5:6">
      <c r="E480" s="1493"/>
      <c r="F480" s="1298"/>
    </row>
    <row r="481" spans="5:6">
      <c r="E481" s="1493"/>
      <c r="F481" s="1298"/>
    </row>
    <row r="482" spans="5:6">
      <c r="E482" s="1493"/>
      <c r="F482" s="1298"/>
    </row>
    <row r="483" spans="5:6">
      <c r="E483" s="1493"/>
      <c r="F483" s="1298"/>
    </row>
    <row r="484" spans="5:6">
      <c r="E484" s="1493"/>
      <c r="F484" s="1298"/>
    </row>
    <row r="485" spans="5:6">
      <c r="E485" s="1493"/>
      <c r="F485" s="1298"/>
    </row>
    <row r="486" spans="5:6">
      <c r="E486" s="1493"/>
      <c r="F486" s="1298"/>
    </row>
    <row r="487" spans="5:6">
      <c r="E487" s="1493"/>
      <c r="F487" s="1298"/>
    </row>
    <row r="488" spans="5:6">
      <c r="E488" s="1493"/>
      <c r="F488" s="1298"/>
    </row>
    <row r="489" spans="5:6">
      <c r="E489" s="1493"/>
      <c r="F489" s="1298"/>
    </row>
    <row r="490" spans="5:6">
      <c r="E490" s="1493"/>
      <c r="F490" s="1298"/>
    </row>
    <row r="491" spans="5:6">
      <c r="E491" s="1493"/>
      <c r="F491" s="1298"/>
    </row>
    <row r="492" spans="5:6">
      <c r="E492" s="1493"/>
      <c r="F492" s="1298"/>
    </row>
    <row r="493" spans="5:6">
      <c r="E493" s="1493"/>
      <c r="F493" s="1298"/>
    </row>
    <row r="494" spans="5:6">
      <c r="E494" s="1493"/>
      <c r="F494" s="1298"/>
    </row>
    <row r="495" spans="5:6">
      <c r="E495" s="1493"/>
      <c r="F495" s="1298"/>
    </row>
    <row r="496" spans="5:6">
      <c r="E496" s="1493"/>
      <c r="F496" s="1298"/>
    </row>
    <row r="497" spans="5:6">
      <c r="E497" s="1493"/>
      <c r="F497" s="1298"/>
    </row>
    <row r="498" spans="5:6">
      <c r="E498" s="1493"/>
      <c r="F498" s="1298"/>
    </row>
    <row r="499" spans="5:6">
      <c r="E499" s="1493"/>
      <c r="F499" s="1298"/>
    </row>
    <row r="500" spans="5:6">
      <c r="E500" s="1493"/>
      <c r="F500" s="1298"/>
    </row>
    <row r="501" spans="5:6">
      <c r="E501" s="1493"/>
      <c r="F501" s="1298"/>
    </row>
    <row r="502" spans="5:6">
      <c r="E502" s="1493"/>
      <c r="F502" s="1298"/>
    </row>
    <row r="503" spans="5:6">
      <c r="E503" s="1493"/>
      <c r="F503" s="1298"/>
    </row>
    <row r="504" spans="5:6">
      <c r="E504" s="1493"/>
      <c r="F504" s="1298"/>
    </row>
    <row r="505" spans="5:6">
      <c r="E505" s="1493"/>
      <c r="F505" s="1298"/>
    </row>
    <row r="506" spans="5:6">
      <c r="E506" s="1493"/>
      <c r="F506" s="1298"/>
    </row>
    <row r="507" spans="5:6">
      <c r="E507" s="1493"/>
      <c r="F507" s="1298"/>
    </row>
    <row r="508" spans="5:6">
      <c r="E508" s="1493"/>
      <c r="F508" s="1298"/>
    </row>
    <row r="509" spans="5:6">
      <c r="E509" s="1493"/>
      <c r="F509" s="1298"/>
    </row>
    <row r="510" spans="5:6">
      <c r="E510" s="1493"/>
      <c r="F510" s="1298"/>
    </row>
    <row r="511" spans="5:6">
      <c r="E511" s="1493"/>
      <c r="F511" s="1298"/>
    </row>
    <row r="512" spans="5:6">
      <c r="E512" s="1493"/>
      <c r="F512" s="1298"/>
    </row>
    <row r="513" spans="1:25">
      <c r="E513" s="1493"/>
      <c r="F513" s="1298"/>
    </row>
    <row r="514" spans="1:25">
      <c r="E514" s="1493"/>
      <c r="F514" s="1298"/>
    </row>
    <row r="515" spans="1:25">
      <c r="E515" s="1493"/>
      <c r="F515" s="1298"/>
    </row>
    <row r="516" spans="1:25">
      <c r="E516" s="1493"/>
      <c r="F516" s="1298"/>
    </row>
    <row r="517" spans="1:25">
      <c r="E517" s="1493"/>
      <c r="F517" s="1298"/>
    </row>
    <row r="518" spans="1:25">
      <c r="E518" s="1493"/>
      <c r="F518" s="1298"/>
    </row>
    <row r="519" spans="1:25">
      <c r="E519" s="1493"/>
      <c r="F519" s="1298"/>
    </row>
    <row r="520" spans="1:25">
      <c r="E520" s="1493"/>
      <c r="F520" s="1298"/>
    </row>
    <row r="521" spans="1:25" ht="13.5" thickBot="1">
      <c r="E521" s="1493"/>
      <c r="F521" s="1298"/>
    </row>
    <row r="522" spans="1:25" ht="45">
      <c r="A522" s="1497"/>
      <c r="B522" s="1498" t="s">
        <v>85</v>
      </c>
      <c r="C522" s="1498"/>
      <c r="D522" s="1499"/>
      <c r="E522" s="1500"/>
      <c r="F522" s="1501"/>
      <c r="G522" s="1501"/>
      <c r="H522" s="1501"/>
      <c r="I522" s="1502"/>
      <c r="J522" s="1502"/>
      <c r="K522" s="1502"/>
      <c r="L522" s="1502"/>
      <c r="M522" s="1499"/>
      <c r="N522" s="1499"/>
      <c r="O522" s="1499"/>
      <c r="P522" s="1499"/>
      <c r="Q522" s="1499"/>
      <c r="R522" s="1499"/>
      <c r="S522" s="1499"/>
      <c r="T522" s="1499"/>
      <c r="U522" s="1499"/>
      <c r="V522" s="1499"/>
      <c r="W522" s="1499"/>
      <c r="X522" s="1499"/>
      <c r="Y522" s="1503"/>
    </row>
    <row r="523" spans="1:25">
      <c r="A523" s="1504"/>
      <c r="E523" s="1493"/>
      <c r="F523" s="1298"/>
      <c r="Y523" s="1505"/>
    </row>
    <row r="524" spans="1:25">
      <c r="A524" s="1504"/>
      <c r="E524" s="1493"/>
      <c r="F524" s="1298"/>
      <c r="Y524" s="1505"/>
    </row>
    <row r="525" spans="1:25">
      <c r="A525" s="1504"/>
      <c r="E525" s="1493"/>
      <c r="F525" s="1298"/>
      <c r="Y525" s="1505"/>
    </row>
    <row r="526" spans="1:25">
      <c r="A526" s="1504"/>
      <c r="E526" s="1493"/>
      <c r="F526" s="1298"/>
      <c r="Y526" s="1505"/>
    </row>
    <row r="527" spans="1:25">
      <c r="A527" s="1504"/>
      <c r="E527" s="1493"/>
      <c r="F527" s="1298"/>
      <c r="Y527" s="1505"/>
    </row>
    <row r="528" spans="1:25">
      <c r="A528" s="1504"/>
      <c r="E528" s="1493"/>
      <c r="F528" s="1298"/>
      <c r="Y528" s="1505"/>
    </row>
    <row r="529" spans="1:25">
      <c r="A529" s="1504"/>
      <c r="E529" s="1493"/>
      <c r="F529" s="1298"/>
      <c r="Y529" s="1505"/>
    </row>
    <row r="530" spans="1:25">
      <c r="A530" s="1504"/>
      <c r="E530" s="1493"/>
      <c r="F530" s="1298"/>
      <c r="Y530" s="1505"/>
    </row>
    <row r="531" spans="1:25">
      <c r="A531" s="1504"/>
      <c r="E531" s="1493"/>
      <c r="F531" s="1298"/>
      <c r="Y531" s="1505"/>
    </row>
    <row r="532" spans="1:25">
      <c r="A532" s="1504"/>
      <c r="E532" s="1493"/>
      <c r="F532" s="1298"/>
      <c r="Y532" s="1505"/>
    </row>
    <row r="533" spans="1:25" ht="13.5" thickBot="1">
      <c r="A533" s="1506"/>
      <c r="B533" s="1507"/>
      <c r="C533" s="1507"/>
      <c r="D533" s="1507"/>
      <c r="E533" s="1508"/>
      <c r="F533" s="1509"/>
      <c r="G533" s="1509"/>
      <c r="H533" s="1509"/>
      <c r="I533" s="1510"/>
      <c r="J533" s="1510"/>
      <c r="K533" s="1510"/>
      <c r="L533" s="1510"/>
      <c r="M533" s="1507"/>
      <c r="N533" s="1507"/>
      <c r="O533" s="1507"/>
      <c r="P533" s="1507"/>
      <c r="Q533" s="1507"/>
      <c r="R533" s="1507"/>
      <c r="S533" s="1507"/>
      <c r="T533" s="1507"/>
      <c r="U533" s="1507"/>
      <c r="V533" s="1507"/>
      <c r="W533" s="1507"/>
      <c r="X533" s="1507"/>
      <c r="Y533" s="1511"/>
    </row>
    <row r="534" spans="1:25">
      <c r="E534" s="1493"/>
      <c r="F534" s="1298"/>
    </row>
    <row r="535" spans="1:25">
      <c r="E535" s="1493"/>
      <c r="F535" s="1298"/>
    </row>
    <row r="536" spans="1:25">
      <c r="E536" s="1493"/>
      <c r="F536" s="1298"/>
    </row>
    <row r="537" spans="1:25">
      <c r="E537" s="1493"/>
      <c r="F537" s="1298"/>
    </row>
    <row r="538" spans="1:25">
      <c r="E538" s="1493"/>
      <c r="F538" s="1298"/>
    </row>
    <row r="539" spans="1:25">
      <c r="E539" s="1493"/>
      <c r="F539" s="1298"/>
    </row>
    <row r="540" spans="1:25">
      <c r="E540" s="1493"/>
      <c r="F540" s="1298"/>
    </row>
    <row r="541" spans="1:25">
      <c r="E541" s="1493"/>
      <c r="F541" s="1298"/>
    </row>
    <row r="542" spans="1:25">
      <c r="E542" s="1493"/>
      <c r="F542" s="1298"/>
    </row>
    <row r="543" spans="1:25">
      <c r="E543" s="1493"/>
      <c r="F543" s="1298"/>
    </row>
    <row r="544" spans="1:25">
      <c r="E544" s="1493"/>
      <c r="F544" s="1298"/>
    </row>
    <row r="545" spans="5:6">
      <c r="E545" s="1493"/>
      <c r="F545" s="1298"/>
    </row>
    <row r="546" spans="5:6">
      <c r="E546" s="1493"/>
      <c r="F546" s="1298"/>
    </row>
    <row r="547" spans="5:6">
      <c r="E547" s="1493"/>
      <c r="F547" s="1298"/>
    </row>
    <row r="548" spans="5:6">
      <c r="E548" s="1493"/>
      <c r="F548" s="1298"/>
    </row>
    <row r="549" spans="5:6">
      <c r="E549" s="1493"/>
      <c r="F549" s="1298"/>
    </row>
    <row r="550" spans="5:6">
      <c r="E550" s="1493"/>
      <c r="F550" s="1298"/>
    </row>
    <row r="551" spans="5:6">
      <c r="E551" s="1493"/>
      <c r="F551" s="1298"/>
    </row>
    <row r="552" spans="5:6">
      <c r="E552" s="1493"/>
      <c r="F552" s="1298"/>
    </row>
    <row r="553" spans="5:6">
      <c r="E553" s="1493"/>
      <c r="F553" s="1298"/>
    </row>
    <row r="554" spans="5:6">
      <c r="E554" s="1493"/>
      <c r="F554" s="1298"/>
    </row>
    <row r="555" spans="5:6">
      <c r="E555" s="1493"/>
      <c r="F555" s="1298"/>
    </row>
    <row r="556" spans="5:6">
      <c r="E556" s="1493"/>
      <c r="F556" s="1298"/>
    </row>
    <row r="557" spans="5:6">
      <c r="E557" s="1493"/>
      <c r="F557" s="1298"/>
    </row>
    <row r="558" spans="5:6">
      <c r="E558" s="1493"/>
      <c r="F558" s="1298"/>
    </row>
    <row r="559" spans="5:6">
      <c r="E559" s="1493"/>
      <c r="F559" s="1298"/>
    </row>
    <row r="560" spans="5:6">
      <c r="E560" s="1493"/>
      <c r="F560" s="1298"/>
    </row>
    <row r="561" spans="5:6">
      <c r="E561" s="1493"/>
      <c r="F561" s="1298"/>
    </row>
    <row r="562" spans="5:6">
      <c r="E562" s="1493"/>
      <c r="F562" s="1298"/>
    </row>
    <row r="563" spans="5:6">
      <c r="E563" s="1493"/>
      <c r="F563" s="1298"/>
    </row>
    <row r="564" spans="5:6">
      <c r="E564" s="1493"/>
      <c r="F564" s="1298"/>
    </row>
    <row r="565" spans="5:6">
      <c r="E565" s="1493"/>
      <c r="F565" s="1298"/>
    </row>
    <row r="566" spans="5:6">
      <c r="E566" s="1493"/>
      <c r="F566" s="1298"/>
    </row>
    <row r="567" spans="5:6">
      <c r="E567" s="1493"/>
      <c r="F567" s="1298"/>
    </row>
    <row r="568" spans="5:6">
      <c r="E568" s="1493"/>
      <c r="F568" s="1298"/>
    </row>
    <row r="569" spans="5:6">
      <c r="E569" s="1493"/>
      <c r="F569" s="1298"/>
    </row>
    <row r="570" spans="5:6">
      <c r="E570" s="1493"/>
      <c r="F570" s="1298"/>
    </row>
    <row r="571" spans="5:6">
      <c r="E571" s="1493"/>
      <c r="F571" s="1298"/>
    </row>
    <row r="572" spans="5:6">
      <c r="E572" s="1493"/>
      <c r="F572" s="1298"/>
    </row>
    <row r="573" spans="5:6">
      <c r="E573" s="1493"/>
      <c r="F573" s="1298"/>
    </row>
    <row r="574" spans="5:6">
      <c r="E574" s="1493"/>
      <c r="F574" s="1298"/>
    </row>
    <row r="575" spans="5:6">
      <c r="E575" s="1493"/>
      <c r="F575" s="1298"/>
    </row>
    <row r="576" spans="5:6">
      <c r="E576" s="1493"/>
      <c r="F576" s="1298"/>
    </row>
    <row r="577" spans="5:6">
      <c r="E577" s="1493"/>
      <c r="F577" s="1298"/>
    </row>
    <row r="578" spans="5:6">
      <c r="E578" s="1493"/>
      <c r="F578" s="1298"/>
    </row>
    <row r="579" spans="5:6">
      <c r="E579" s="1493"/>
      <c r="F579" s="1298"/>
    </row>
    <row r="580" spans="5:6">
      <c r="E580" s="1493"/>
      <c r="F580" s="1298"/>
    </row>
    <row r="581" spans="5:6">
      <c r="E581" s="1493"/>
      <c r="F581" s="1298"/>
    </row>
    <row r="582" spans="5:6">
      <c r="E582" s="1493"/>
      <c r="F582" s="1298"/>
    </row>
    <row r="583" spans="5:6">
      <c r="E583" s="1493"/>
      <c r="F583" s="1298"/>
    </row>
    <row r="584" spans="5:6">
      <c r="E584" s="1493"/>
      <c r="F584" s="1298"/>
    </row>
    <row r="585" spans="5:6">
      <c r="E585" s="1493"/>
      <c r="F585" s="1298"/>
    </row>
    <row r="586" spans="5:6">
      <c r="E586" s="1493"/>
      <c r="F586" s="1298"/>
    </row>
    <row r="587" spans="5:6">
      <c r="E587" s="1493"/>
      <c r="F587" s="1298"/>
    </row>
    <row r="588" spans="5:6">
      <c r="E588" s="1493"/>
      <c r="F588" s="1298"/>
    </row>
    <row r="589" spans="5:6">
      <c r="E589" s="1493"/>
      <c r="F589" s="1298"/>
    </row>
    <row r="590" spans="5:6">
      <c r="E590" s="1493"/>
      <c r="F590" s="1298"/>
    </row>
    <row r="591" spans="5:6">
      <c r="E591" s="1493"/>
      <c r="F591" s="1298"/>
    </row>
    <row r="592" spans="5:6">
      <c r="E592" s="1493"/>
      <c r="F592" s="1298"/>
    </row>
    <row r="593" spans="5:6">
      <c r="E593" s="1493"/>
      <c r="F593" s="1298"/>
    </row>
    <row r="594" spans="5:6">
      <c r="E594" s="1493"/>
      <c r="F594" s="1298"/>
    </row>
    <row r="595" spans="5:6">
      <c r="E595" s="1493"/>
      <c r="F595" s="1298"/>
    </row>
    <row r="596" spans="5:6">
      <c r="E596" s="1493"/>
      <c r="F596" s="1298"/>
    </row>
    <row r="597" spans="5:6">
      <c r="E597" s="1493"/>
      <c r="F597" s="1298"/>
    </row>
    <row r="598" spans="5:6">
      <c r="E598" s="1493"/>
      <c r="F598" s="1298"/>
    </row>
    <row r="599" spans="5:6">
      <c r="E599" s="1493"/>
      <c r="F599" s="1298"/>
    </row>
    <row r="600" spans="5:6">
      <c r="E600" s="1493"/>
      <c r="F600" s="1298"/>
    </row>
    <row r="601" spans="5:6">
      <c r="E601" s="1493"/>
      <c r="F601" s="1298"/>
    </row>
    <row r="602" spans="5:6">
      <c r="E602" s="1493"/>
      <c r="F602" s="1298"/>
    </row>
    <row r="603" spans="5:6">
      <c r="E603" s="1493"/>
      <c r="F603" s="1298"/>
    </row>
    <row r="604" spans="5:6">
      <c r="E604" s="1493"/>
      <c r="F604" s="1298"/>
    </row>
    <row r="605" spans="5:6">
      <c r="E605" s="1493"/>
      <c r="F605" s="1298"/>
    </row>
    <row r="606" spans="5:6">
      <c r="E606" s="1493"/>
      <c r="F606" s="1298"/>
    </row>
    <row r="607" spans="5:6">
      <c r="E607" s="1493"/>
      <c r="F607" s="1298"/>
    </row>
    <row r="608" spans="5:6">
      <c r="E608" s="1493"/>
      <c r="F608" s="1298"/>
    </row>
    <row r="609" spans="5:6">
      <c r="E609" s="1493"/>
      <c r="F609" s="1298"/>
    </row>
    <row r="610" spans="5:6">
      <c r="E610" s="1493"/>
      <c r="F610" s="1298"/>
    </row>
    <row r="611" spans="5:6">
      <c r="E611" s="1493"/>
      <c r="F611" s="1298"/>
    </row>
    <row r="612" spans="5:6">
      <c r="E612" s="1493"/>
      <c r="F612" s="1298"/>
    </row>
    <row r="613" spans="5:6">
      <c r="E613" s="1493"/>
      <c r="F613" s="1298"/>
    </row>
    <row r="614" spans="5:6">
      <c r="E614" s="1493"/>
      <c r="F614" s="1298"/>
    </row>
    <row r="615" spans="5:6">
      <c r="E615" s="1493"/>
      <c r="F615" s="1298"/>
    </row>
    <row r="616" spans="5:6">
      <c r="E616" s="1493"/>
      <c r="F616" s="1298"/>
    </row>
    <row r="617" spans="5:6">
      <c r="E617" s="1493"/>
      <c r="F617" s="1298"/>
    </row>
    <row r="618" spans="5:6">
      <c r="E618" s="1493"/>
      <c r="F618" s="1298"/>
    </row>
    <row r="619" spans="5:6">
      <c r="E619" s="1493"/>
      <c r="F619" s="1298"/>
    </row>
    <row r="620" spans="5:6">
      <c r="E620" s="1493"/>
      <c r="F620" s="1298"/>
    </row>
    <row r="621" spans="5:6">
      <c r="E621" s="1493"/>
      <c r="F621" s="1298"/>
    </row>
    <row r="622" spans="5:6">
      <c r="E622" s="1493"/>
      <c r="F622" s="1298"/>
    </row>
    <row r="623" spans="5:6">
      <c r="E623" s="1493"/>
      <c r="F623" s="1298"/>
    </row>
    <row r="624" spans="5:6">
      <c r="E624" s="1493"/>
      <c r="F624" s="1298"/>
    </row>
    <row r="625" spans="5:6">
      <c r="E625" s="1493"/>
      <c r="F625" s="1298"/>
    </row>
    <row r="626" spans="5:6">
      <c r="E626" s="1493"/>
      <c r="F626" s="1298"/>
    </row>
    <row r="627" spans="5:6">
      <c r="E627" s="1493"/>
      <c r="F627" s="1298"/>
    </row>
    <row r="628" spans="5:6">
      <c r="E628" s="1493"/>
      <c r="F628" s="1298"/>
    </row>
    <row r="629" spans="5:6">
      <c r="E629" s="1493"/>
      <c r="F629" s="1298"/>
    </row>
    <row r="630" spans="5:6">
      <c r="E630" s="1493"/>
      <c r="F630" s="1298"/>
    </row>
    <row r="631" spans="5:6">
      <c r="E631" s="1493"/>
      <c r="F631" s="1298"/>
    </row>
    <row r="632" spans="5:6">
      <c r="E632" s="1493"/>
      <c r="F632" s="1298"/>
    </row>
    <row r="633" spans="5:6">
      <c r="E633" s="1493"/>
      <c r="F633" s="1298"/>
    </row>
    <row r="634" spans="5:6">
      <c r="E634" s="1493"/>
      <c r="F634" s="1298"/>
    </row>
    <row r="635" spans="5:6">
      <c r="E635" s="1493"/>
      <c r="F635" s="1298"/>
    </row>
    <row r="636" spans="5:6">
      <c r="E636" s="1493"/>
      <c r="F636" s="1298"/>
    </row>
    <row r="637" spans="5:6">
      <c r="E637" s="1493"/>
      <c r="F637" s="1298"/>
    </row>
    <row r="638" spans="5:6">
      <c r="E638" s="1493"/>
      <c r="F638" s="1298"/>
    </row>
    <row r="639" spans="5:6">
      <c r="E639" s="1493"/>
      <c r="F639" s="1298"/>
    </row>
    <row r="640" spans="5:6">
      <c r="E640" s="1493"/>
      <c r="F640" s="1298"/>
    </row>
    <row r="641" spans="5:6">
      <c r="E641" s="1493"/>
      <c r="F641" s="1298"/>
    </row>
    <row r="642" spans="5:6">
      <c r="E642" s="1493"/>
      <c r="F642" s="1298"/>
    </row>
    <row r="643" spans="5:6">
      <c r="E643" s="1493"/>
      <c r="F643" s="1298"/>
    </row>
    <row r="644" spans="5:6">
      <c r="E644" s="1493"/>
      <c r="F644" s="1298"/>
    </row>
    <row r="645" spans="5:6">
      <c r="E645" s="1493"/>
      <c r="F645" s="1298"/>
    </row>
    <row r="646" spans="5:6">
      <c r="E646" s="1493"/>
      <c r="F646" s="1298"/>
    </row>
    <row r="647" spans="5:6">
      <c r="E647" s="1493"/>
      <c r="F647" s="1298"/>
    </row>
    <row r="648" spans="5:6">
      <c r="E648" s="1493"/>
      <c r="F648" s="1298"/>
    </row>
    <row r="649" spans="5:6">
      <c r="E649" s="1493"/>
      <c r="F649" s="1298"/>
    </row>
    <row r="650" spans="5:6">
      <c r="E650" s="1493"/>
      <c r="F650" s="1298"/>
    </row>
    <row r="651" spans="5:6">
      <c r="E651" s="1493"/>
      <c r="F651" s="1298"/>
    </row>
    <row r="652" spans="5:6">
      <c r="E652" s="1493"/>
      <c r="F652" s="1298"/>
    </row>
    <row r="653" spans="5:6">
      <c r="E653" s="1493"/>
      <c r="F653" s="1298"/>
    </row>
    <row r="654" spans="5:6">
      <c r="E654" s="1493"/>
      <c r="F654" s="1298"/>
    </row>
    <row r="655" spans="5:6">
      <c r="E655" s="1493"/>
      <c r="F655" s="1298"/>
    </row>
    <row r="656" spans="5:6">
      <c r="E656" s="1493"/>
      <c r="F656" s="1298"/>
    </row>
    <row r="657" spans="5:6">
      <c r="E657" s="1493"/>
      <c r="F657" s="1298"/>
    </row>
    <row r="658" spans="5:6">
      <c r="E658" s="1493"/>
      <c r="F658" s="1298"/>
    </row>
    <row r="659" spans="5:6">
      <c r="E659" s="1493"/>
      <c r="F659" s="1298"/>
    </row>
    <row r="660" spans="5:6">
      <c r="E660" s="1493"/>
      <c r="F660" s="1298"/>
    </row>
    <row r="661" spans="5:6">
      <c r="E661" s="1493"/>
      <c r="F661" s="1298"/>
    </row>
    <row r="662" spans="5:6">
      <c r="E662" s="1493"/>
      <c r="F662" s="1298"/>
    </row>
    <row r="663" spans="5:6">
      <c r="E663" s="1493"/>
      <c r="F663" s="1298"/>
    </row>
    <row r="664" spans="5:6">
      <c r="E664" s="1493"/>
      <c r="F664" s="1298"/>
    </row>
    <row r="665" spans="5:6">
      <c r="E665" s="1493"/>
      <c r="F665" s="1298"/>
    </row>
    <row r="666" spans="5:6">
      <c r="E666" s="1493"/>
      <c r="F666" s="1298"/>
    </row>
    <row r="667" spans="5:6">
      <c r="E667" s="1493"/>
      <c r="F667" s="1298"/>
    </row>
    <row r="668" spans="5:6">
      <c r="E668" s="1493"/>
      <c r="F668" s="1298"/>
    </row>
    <row r="669" spans="5:6">
      <c r="E669" s="1493"/>
      <c r="F669" s="1298"/>
    </row>
    <row r="670" spans="5:6">
      <c r="E670" s="1493"/>
      <c r="F670" s="1298"/>
    </row>
    <row r="671" spans="5:6">
      <c r="E671" s="1493"/>
      <c r="F671" s="1298"/>
    </row>
    <row r="672" spans="5:6">
      <c r="E672" s="1493"/>
      <c r="F672" s="1298"/>
    </row>
    <row r="673" spans="5:6">
      <c r="E673" s="1493"/>
      <c r="F673" s="1298"/>
    </row>
    <row r="674" spans="5:6">
      <c r="E674" s="1493"/>
      <c r="F674" s="1298"/>
    </row>
    <row r="675" spans="5:6">
      <c r="E675" s="1493"/>
      <c r="F675" s="1298"/>
    </row>
    <row r="676" spans="5:6">
      <c r="E676" s="1493"/>
      <c r="F676" s="1298"/>
    </row>
    <row r="677" spans="5:6">
      <c r="E677" s="1493"/>
      <c r="F677" s="1298"/>
    </row>
    <row r="678" spans="5:6">
      <c r="E678" s="1493"/>
      <c r="F678" s="1298"/>
    </row>
    <row r="679" spans="5:6">
      <c r="E679" s="1493"/>
      <c r="F679" s="1298"/>
    </row>
    <row r="680" spans="5:6">
      <c r="E680" s="1493"/>
      <c r="F680" s="1298"/>
    </row>
    <row r="681" spans="5:6">
      <c r="E681" s="1493"/>
      <c r="F681" s="1298"/>
    </row>
    <row r="682" spans="5:6">
      <c r="E682" s="1493"/>
      <c r="F682" s="1298"/>
    </row>
    <row r="683" spans="5:6">
      <c r="E683" s="1493"/>
      <c r="F683" s="1298"/>
    </row>
    <row r="684" spans="5:6">
      <c r="E684" s="1493"/>
      <c r="F684" s="1298"/>
    </row>
    <row r="685" spans="5:6">
      <c r="E685" s="1493"/>
      <c r="F685" s="1298"/>
    </row>
    <row r="686" spans="5:6">
      <c r="E686" s="1493"/>
      <c r="F686" s="1298"/>
    </row>
    <row r="687" spans="5:6">
      <c r="E687" s="1493"/>
      <c r="F687" s="1298"/>
    </row>
    <row r="688" spans="5:6">
      <c r="E688" s="1493"/>
      <c r="F688" s="1298"/>
    </row>
    <row r="689" spans="5:6">
      <c r="E689" s="1493"/>
      <c r="F689" s="1298"/>
    </row>
    <row r="690" spans="5:6">
      <c r="E690" s="1493"/>
      <c r="F690" s="1298"/>
    </row>
    <row r="691" spans="5:6">
      <c r="E691" s="1493"/>
      <c r="F691" s="1298"/>
    </row>
    <row r="692" spans="5:6">
      <c r="E692" s="1493"/>
      <c r="F692" s="1298"/>
    </row>
    <row r="693" spans="5:6">
      <c r="E693" s="1493"/>
      <c r="F693" s="1298"/>
    </row>
    <row r="694" spans="5:6">
      <c r="E694" s="1493"/>
      <c r="F694" s="1298"/>
    </row>
    <row r="695" spans="5:6">
      <c r="E695" s="1493"/>
      <c r="F695" s="1298"/>
    </row>
    <row r="696" spans="5:6">
      <c r="E696" s="1493"/>
      <c r="F696" s="1298"/>
    </row>
    <row r="697" spans="5:6">
      <c r="E697" s="1493"/>
      <c r="F697" s="1298"/>
    </row>
    <row r="698" spans="5:6">
      <c r="E698" s="1493"/>
      <c r="F698" s="1298"/>
    </row>
    <row r="699" spans="5:6">
      <c r="E699" s="1493"/>
      <c r="F699" s="1298"/>
    </row>
    <row r="700" spans="5:6">
      <c r="E700" s="1493"/>
      <c r="F700" s="1298"/>
    </row>
    <row r="701" spans="5:6">
      <c r="E701" s="1493"/>
      <c r="F701" s="1298"/>
    </row>
    <row r="702" spans="5:6">
      <c r="E702" s="1493"/>
      <c r="F702" s="1298"/>
    </row>
    <row r="703" spans="5:6">
      <c r="E703" s="1493"/>
      <c r="F703" s="1298"/>
    </row>
    <row r="704" spans="5:6">
      <c r="E704" s="1493"/>
      <c r="F704" s="1298"/>
    </row>
    <row r="705" spans="5:6">
      <c r="E705" s="1493"/>
      <c r="F705" s="1298"/>
    </row>
    <row r="706" spans="5:6">
      <c r="E706" s="1493"/>
      <c r="F706" s="1298"/>
    </row>
    <row r="707" spans="5:6">
      <c r="E707" s="1493"/>
      <c r="F707" s="1298"/>
    </row>
    <row r="708" spans="5:6">
      <c r="E708" s="1493"/>
      <c r="F708" s="1298"/>
    </row>
    <row r="709" spans="5:6">
      <c r="E709" s="1493"/>
      <c r="F709" s="1298"/>
    </row>
    <row r="710" spans="5:6">
      <c r="E710" s="1493"/>
      <c r="F710" s="1298"/>
    </row>
    <row r="711" spans="5:6">
      <c r="E711" s="1493"/>
      <c r="F711" s="1298"/>
    </row>
    <row r="712" spans="5:6">
      <c r="E712" s="1493"/>
      <c r="F712" s="1298"/>
    </row>
    <row r="713" spans="5:6">
      <c r="E713" s="1493"/>
      <c r="F713" s="1298"/>
    </row>
    <row r="714" spans="5:6">
      <c r="E714" s="1493"/>
      <c r="F714" s="1298"/>
    </row>
    <row r="715" spans="5:6">
      <c r="E715" s="1493"/>
      <c r="F715" s="1298"/>
    </row>
    <row r="716" spans="5:6">
      <c r="E716" s="1493"/>
      <c r="F716" s="1298"/>
    </row>
    <row r="717" spans="5:6">
      <c r="E717" s="1493"/>
      <c r="F717" s="1298"/>
    </row>
    <row r="718" spans="5:6">
      <c r="E718" s="1493"/>
      <c r="F718" s="1298"/>
    </row>
    <row r="719" spans="5:6">
      <c r="E719" s="1493"/>
      <c r="F719" s="1298"/>
    </row>
    <row r="720" spans="5:6">
      <c r="E720" s="1493"/>
      <c r="F720" s="1298"/>
    </row>
    <row r="721" spans="5:6">
      <c r="E721" s="1493"/>
      <c r="F721" s="1298"/>
    </row>
    <row r="722" spans="5:6">
      <c r="E722" s="1493"/>
      <c r="F722" s="1298"/>
    </row>
    <row r="723" spans="5:6">
      <c r="E723" s="1493"/>
      <c r="F723" s="1298"/>
    </row>
    <row r="724" spans="5:6">
      <c r="E724" s="1493"/>
      <c r="F724" s="1298"/>
    </row>
    <row r="725" spans="5:6">
      <c r="E725" s="1493"/>
      <c r="F725" s="1298"/>
    </row>
    <row r="726" spans="5:6">
      <c r="E726" s="1493"/>
      <c r="F726" s="1298"/>
    </row>
    <row r="727" spans="5:6">
      <c r="E727" s="1493"/>
      <c r="F727" s="1298"/>
    </row>
    <row r="728" spans="5:6">
      <c r="E728" s="1493"/>
      <c r="F728" s="1298"/>
    </row>
    <row r="729" spans="5:6">
      <c r="E729" s="1493"/>
      <c r="F729" s="1298"/>
    </row>
    <row r="730" spans="5:6">
      <c r="E730" s="1493"/>
      <c r="F730" s="1298"/>
    </row>
    <row r="731" spans="5:6">
      <c r="E731" s="1493"/>
      <c r="F731" s="1298"/>
    </row>
    <row r="732" spans="5:6">
      <c r="E732" s="1493"/>
      <c r="F732" s="1298"/>
    </row>
    <row r="733" spans="5:6">
      <c r="E733" s="1493"/>
      <c r="F733" s="1298"/>
    </row>
    <row r="734" spans="5:6">
      <c r="E734" s="1493"/>
      <c r="F734" s="1298"/>
    </row>
    <row r="735" spans="5:6">
      <c r="E735" s="1493"/>
      <c r="F735" s="1298"/>
    </row>
    <row r="736" spans="5:6">
      <c r="E736" s="1493"/>
      <c r="F736" s="1298"/>
    </row>
    <row r="737" spans="5:6">
      <c r="E737" s="1493"/>
      <c r="F737" s="1298"/>
    </row>
    <row r="738" spans="5:6">
      <c r="E738" s="1493"/>
      <c r="F738" s="1298"/>
    </row>
    <row r="739" spans="5:6">
      <c r="E739" s="1493"/>
      <c r="F739" s="1298"/>
    </row>
    <row r="740" spans="5:6">
      <c r="E740" s="1493"/>
      <c r="F740" s="1298"/>
    </row>
    <row r="741" spans="5:6">
      <c r="E741" s="1493"/>
      <c r="F741" s="1298"/>
    </row>
    <row r="742" spans="5:6">
      <c r="E742" s="1493"/>
      <c r="F742" s="1298"/>
    </row>
    <row r="743" spans="5:6">
      <c r="E743" s="1493"/>
      <c r="F743" s="1298"/>
    </row>
    <row r="744" spans="5:6">
      <c r="E744" s="1493"/>
      <c r="F744" s="1298"/>
    </row>
    <row r="745" spans="5:6">
      <c r="E745" s="1493"/>
      <c r="F745" s="1298"/>
    </row>
    <row r="746" spans="5:6">
      <c r="E746" s="1493"/>
      <c r="F746" s="1298"/>
    </row>
    <row r="747" spans="5:6">
      <c r="E747" s="1493"/>
      <c r="F747" s="1298"/>
    </row>
    <row r="748" spans="5:6">
      <c r="E748" s="1493"/>
      <c r="F748" s="1298"/>
    </row>
    <row r="749" spans="5:6">
      <c r="E749" s="1493"/>
      <c r="F749" s="1298"/>
    </row>
    <row r="750" spans="5:6">
      <c r="E750" s="1493"/>
      <c r="F750" s="1298"/>
    </row>
    <row r="751" spans="5:6">
      <c r="E751" s="1493"/>
      <c r="F751" s="1298"/>
    </row>
    <row r="752" spans="5:6">
      <c r="E752" s="1493"/>
      <c r="F752" s="1298"/>
    </row>
    <row r="753" spans="5:6">
      <c r="E753" s="1493"/>
      <c r="F753" s="1298"/>
    </row>
    <row r="754" spans="5:6">
      <c r="E754" s="1493"/>
      <c r="F754" s="1298"/>
    </row>
    <row r="755" spans="5:6">
      <c r="E755" s="1493"/>
      <c r="F755" s="1298"/>
    </row>
    <row r="756" spans="5:6">
      <c r="E756" s="1493"/>
      <c r="F756" s="1298"/>
    </row>
    <row r="757" spans="5:6">
      <c r="E757" s="1493"/>
      <c r="F757" s="1298"/>
    </row>
    <row r="758" spans="5:6">
      <c r="E758" s="1493"/>
      <c r="F758" s="1298"/>
    </row>
    <row r="759" spans="5:6">
      <c r="E759" s="1493"/>
      <c r="F759" s="1298"/>
    </row>
    <row r="760" spans="5:6">
      <c r="E760" s="1493"/>
      <c r="F760" s="1298"/>
    </row>
    <row r="761" spans="5:6">
      <c r="E761" s="1493"/>
      <c r="F761" s="1298"/>
    </row>
    <row r="762" spans="5:6">
      <c r="E762" s="1493"/>
      <c r="F762" s="1298"/>
    </row>
    <row r="763" spans="5:6">
      <c r="E763" s="1493"/>
      <c r="F763" s="1298"/>
    </row>
    <row r="764" spans="5:6">
      <c r="E764" s="1493"/>
      <c r="F764" s="1298"/>
    </row>
    <row r="765" spans="5:6">
      <c r="E765" s="1493"/>
      <c r="F765" s="1298"/>
    </row>
    <row r="766" spans="5:6">
      <c r="E766" s="1493"/>
      <c r="F766" s="1298"/>
    </row>
    <row r="767" spans="5:6">
      <c r="E767" s="1493"/>
      <c r="F767" s="1298"/>
    </row>
    <row r="768" spans="5:6">
      <c r="E768" s="1493"/>
      <c r="F768" s="1298"/>
    </row>
    <row r="769" spans="5:6">
      <c r="E769" s="1493"/>
      <c r="F769" s="1298"/>
    </row>
    <row r="770" spans="5:6">
      <c r="E770" s="1493"/>
      <c r="F770" s="1298"/>
    </row>
    <row r="771" spans="5:6">
      <c r="E771" s="1493"/>
      <c r="F771" s="1298"/>
    </row>
    <row r="772" spans="5:6">
      <c r="E772" s="1493"/>
      <c r="F772" s="1298"/>
    </row>
    <row r="773" spans="5:6">
      <c r="E773" s="1493"/>
      <c r="F773" s="1298"/>
    </row>
    <row r="774" spans="5:6">
      <c r="E774" s="1493"/>
      <c r="F774" s="1298"/>
    </row>
    <row r="775" spans="5:6">
      <c r="E775" s="1493"/>
      <c r="F775" s="1298"/>
    </row>
    <row r="776" spans="5:6">
      <c r="E776" s="1493"/>
      <c r="F776" s="1298"/>
    </row>
    <row r="777" spans="5:6">
      <c r="E777" s="1493"/>
      <c r="F777" s="1298"/>
    </row>
    <row r="778" spans="5:6">
      <c r="E778" s="1493"/>
      <c r="F778" s="1298"/>
    </row>
    <row r="779" spans="5:6">
      <c r="E779" s="1493"/>
      <c r="F779" s="1298"/>
    </row>
    <row r="780" spans="5:6">
      <c r="E780" s="1493"/>
      <c r="F780" s="1298"/>
    </row>
    <row r="781" spans="5:6">
      <c r="E781" s="1493"/>
      <c r="F781" s="1298"/>
    </row>
    <row r="782" spans="5:6">
      <c r="E782" s="1493"/>
      <c r="F782" s="1298"/>
    </row>
    <row r="783" spans="5:6">
      <c r="E783" s="1493"/>
      <c r="F783" s="1298"/>
    </row>
    <row r="784" spans="5:6">
      <c r="E784" s="1493"/>
      <c r="F784" s="1298"/>
    </row>
    <row r="785" spans="5:6">
      <c r="E785" s="1493"/>
      <c r="F785" s="1298"/>
    </row>
    <row r="786" spans="5:6">
      <c r="E786" s="1493"/>
      <c r="F786" s="1298"/>
    </row>
    <row r="787" spans="5:6">
      <c r="E787" s="1493"/>
      <c r="F787" s="1298"/>
    </row>
    <row r="788" spans="5:6">
      <c r="E788" s="1493"/>
      <c r="F788" s="1298"/>
    </row>
    <row r="789" spans="5:6">
      <c r="E789" s="1493"/>
      <c r="F789" s="1298"/>
    </row>
    <row r="790" spans="5:6">
      <c r="E790" s="1493"/>
      <c r="F790" s="1298"/>
    </row>
    <row r="791" spans="5:6">
      <c r="E791" s="1493"/>
      <c r="F791" s="1298"/>
    </row>
    <row r="792" spans="5:6">
      <c r="E792" s="1493"/>
      <c r="F792" s="1298"/>
    </row>
    <row r="793" spans="5:6">
      <c r="E793" s="1493"/>
      <c r="F793" s="1298"/>
    </row>
    <row r="794" spans="5:6">
      <c r="E794" s="1493"/>
      <c r="F794" s="1298"/>
    </row>
    <row r="795" spans="5:6">
      <c r="E795" s="1493"/>
      <c r="F795" s="1298"/>
    </row>
    <row r="796" spans="5:6">
      <c r="E796" s="1493"/>
      <c r="F796" s="1298"/>
    </row>
    <row r="797" spans="5:6">
      <c r="E797" s="1493"/>
      <c r="F797" s="1298"/>
    </row>
    <row r="798" spans="5:6">
      <c r="E798" s="1493"/>
      <c r="F798" s="1298"/>
    </row>
    <row r="799" spans="5:6">
      <c r="E799" s="1493"/>
      <c r="F799" s="1298"/>
    </row>
    <row r="800" spans="5:6">
      <c r="E800" s="1493"/>
      <c r="F800" s="1298"/>
    </row>
    <row r="801" spans="5:6">
      <c r="E801" s="1493"/>
      <c r="F801" s="1298"/>
    </row>
    <row r="802" spans="5:6">
      <c r="E802" s="1493"/>
      <c r="F802" s="1298"/>
    </row>
    <row r="803" spans="5:6">
      <c r="E803" s="1493"/>
      <c r="F803" s="1298"/>
    </row>
    <row r="804" spans="5:6">
      <c r="E804" s="1493"/>
      <c r="F804" s="1298"/>
    </row>
    <row r="805" spans="5:6">
      <c r="E805" s="1493"/>
      <c r="F805" s="1298"/>
    </row>
    <row r="806" spans="5:6">
      <c r="E806" s="1493"/>
      <c r="F806" s="1298"/>
    </row>
    <row r="807" spans="5:6">
      <c r="E807" s="1493"/>
      <c r="F807" s="1298"/>
    </row>
    <row r="808" spans="5:6">
      <c r="E808" s="1493"/>
      <c r="F808" s="1298"/>
    </row>
    <row r="809" spans="5:6">
      <c r="E809" s="1493"/>
      <c r="F809" s="1298"/>
    </row>
    <row r="810" spans="5:6">
      <c r="E810" s="1493"/>
      <c r="F810" s="1298"/>
    </row>
    <row r="811" spans="5:6">
      <c r="E811" s="1493"/>
      <c r="F811" s="1298"/>
    </row>
    <row r="812" spans="5:6">
      <c r="E812" s="1493"/>
      <c r="F812" s="1298"/>
    </row>
    <row r="813" spans="5:6">
      <c r="E813" s="1493"/>
      <c r="F813" s="1298"/>
    </row>
    <row r="814" spans="5:6">
      <c r="E814" s="1493"/>
      <c r="F814" s="1298"/>
    </row>
    <row r="815" spans="5:6">
      <c r="E815" s="1493"/>
      <c r="F815" s="1298"/>
    </row>
    <row r="816" spans="5:6">
      <c r="E816" s="1493"/>
      <c r="F816" s="1298"/>
    </row>
    <row r="817" spans="5:6">
      <c r="E817" s="1493"/>
      <c r="F817" s="1298"/>
    </row>
    <row r="818" spans="5:6">
      <c r="E818" s="1493"/>
      <c r="F818" s="1298"/>
    </row>
    <row r="819" spans="5:6">
      <c r="E819" s="1493"/>
      <c r="F819" s="1298"/>
    </row>
    <row r="820" spans="5:6">
      <c r="E820" s="1493"/>
      <c r="F820" s="1298"/>
    </row>
    <row r="821" spans="5:6">
      <c r="E821" s="1493"/>
      <c r="F821" s="1298"/>
    </row>
    <row r="822" spans="5:6">
      <c r="E822" s="1493"/>
      <c r="F822" s="1298"/>
    </row>
    <row r="823" spans="5:6">
      <c r="E823" s="1493"/>
      <c r="F823" s="1298"/>
    </row>
    <row r="824" spans="5:6">
      <c r="E824" s="1493"/>
      <c r="F824" s="1298"/>
    </row>
    <row r="825" spans="5:6">
      <c r="E825" s="1493"/>
      <c r="F825" s="1298"/>
    </row>
    <row r="826" spans="5:6">
      <c r="E826" s="1493"/>
      <c r="F826" s="1298"/>
    </row>
    <row r="827" spans="5:6">
      <c r="E827" s="1493"/>
      <c r="F827" s="1298"/>
    </row>
  </sheetData>
  <mergeCells count="99">
    <mergeCell ref="Y208:Y220"/>
    <mergeCell ref="C210:C215"/>
    <mergeCell ref="X216:X220"/>
    <mergeCell ref="C217:C220"/>
    <mergeCell ref="C153:C158"/>
    <mergeCell ref="C162:C164"/>
    <mergeCell ref="C167:C173"/>
    <mergeCell ref="C185:C187"/>
    <mergeCell ref="C194:C200"/>
    <mergeCell ref="C177:C178"/>
    <mergeCell ref="X201:X207"/>
    <mergeCell ref="C175:C176"/>
    <mergeCell ref="C183:C184"/>
    <mergeCell ref="C202:C205"/>
    <mergeCell ref="C189:C190"/>
    <mergeCell ref="X188:X190"/>
    <mergeCell ref="B251:B253"/>
    <mergeCell ref="A248:Y248"/>
    <mergeCell ref="A232:A235"/>
    <mergeCell ref="Y232:Y235"/>
    <mergeCell ref="Y222:Y231"/>
    <mergeCell ref="C226:C228"/>
    <mergeCell ref="C230:C231"/>
    <mergeCell ref="A240:A247"/>
    <mergeCell ref="Y240:Y247"/>
    <mergeCell ref="C246:C247"/>
    <mergeCell ref="X245:X247"/>
    <mergeCell ref="D240:W240"/>
    <mergeCell ref="Y236:Y239"/>
    <mergeCell ref="C238:C239"/>
    <mergeCell ref="D236:W236"/>
    <mergeCell ref="D232:W232"/>
    <mergeCell ref="X21:X26"/>
    <mergeCell ref="X33:X37"/>
    <mergeCell ref="A60:A70"/>
    <mergeCell ref="Y60:Y70"/>
    <mergeCell ref="C62:C65"/>
    <mergeCell ref="C67:C70"/>
    <mergeCell ref="X66:X70"/>
    <mergeCell ref="Y49:Y59"/>
    <mergeCell ref="C51:C54"/>
    <mergeCell ref="C56:C59"/>
    <mergeCell ref="A49:A59"/>
    <mergeCell ref="X44:X48"/>
    <mergeCell ref="X55:X59"/>
    <mergeCell ref="A27:A37"/>
    <mergeCell ref="Y27:Y37"/>
    <mergeCell ref="X88:X90"/>
    <mergeCell ref="C40:C43"/>
    <mergeCell ref="C45:C48"/>
    <mergeCell ref="Y82:Y90"/>
    <mergeCell ref="C84:C87"/>
    <mergeCell ref="C89:C90"/>
    <mergeCell ref="Y115:Y132"/>
    <mergeCell ref="X130:X132"/>
    <mergeCell ref="Y133:Y147"/>
    <mergeCell ref="A5:Y5"/>
    <mergeCell ref="B6:B8"/>
    <mergeCell ref="C6:C8"/>
    <mergeCell ref="D6:D8"/>
    <mergeCell ref="Y6:Y8"/>
    <mergeCell ref="X6:X8"/>
    <mergeCell ref="M6:M7"/>
    <mergeCell ref="O6:O7"/>
    <mergeCell ref="P6:W7"/>
    <mergeCell ref="C29:C32"/>
    <mergeCell ref="C34:C37"/>
    <mergeCell ref="Y91:Y114"/>
    <mergeCell ref="X112:X114"/>
    <mergeCell ref="A236:A239"/>
    <mergeCell ref="C234:C235"/>
    <mergeCell ref="A82:A90"/>
    <mergeCell ref="A91:A114"/>
    <mergeCell ref="A115:A132"/>
    <mergeCell ref="C131:C132"/>
    <mergeCell ref="C117:C122"/>
    <mergeCell ref="C113:C114"/>
    <mergeCell ref="C93:C104"/>
    <mergeCell ref="A133:A147"/>
    <mergeCell ref="A151:A163"/>
    <mergeCell ref="A165:A178"/>
    <mergeCell ref="A181:A190"/>
    <mergeCell ref="A192:A204"/>
    <mergeCell ref="A208:A220"/>
    <mergeCell ref="C242:C244"/>
    <mergeCell ref="X229:X231"/>
    <mergeCell ref="C135:C142"/>
    <mergeCell ref="C144:C150"/>
    <mergeCell ref="X143:X150"/>
    <mergeCell ref="C160:C161"/>
    <mergeCell ref="X174:X180"/>
    <mergeCell ref="X159:X164"/>
    <mergeCell ref="A71:A81"/>
    <mergeCell ref="Y71:Y81"/>
    <mergeCell ref="C73:C76"/>
    <mergeCell ref="C78:C81"/>
    <mergeCell ref="A38:A48"/>
    <mergeCell ref="Y38:Y48"/>
    <mergeCell ref="X77:X81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34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70" max="24" man="1"/>
    <brk id="132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36"/>
  <sheetViews>
    <sheetView showGridLines="0" zoomScaleNormal="100" zoomScaleSheetLayoutView="100" workbookViewId="0">
      <pane xSplit="3" ySplit="7" topLeftCell="D8" activePane="bottomRight" state="frozen"/>
      <selection activeCell="U30" sqref="U30"/>
      <selection pane="topRight" activeCell="U30" sqref="U30"/>
      <selection pane="bottomLeft" activeCell="U30" sqref="U30"/>
      <selection pane="bottomRight" activeCell="O23" sqref="O23"/>
    </sheetView>
  </sheetViews>
  <sheetFormatPr defaultColWidth="9.140625" defaultRowHeight="11.25"/>
  <cols>
    <col min="1" max="1" width="4.140625" style="1892" customWidth="1"/>
    <col min="2" max="2" width="56.140625" style="1312" customWidth="1"/>
    <col min="3" max="3" width="10.5703125" style="1312" customWidth="1"/>
    <col min="4" max="4" width="13.140625" style="1312" customWidth="1"/>
    <col min="5" max="5" width="11.28515625" style="1312" hidden="1" customWidth="1"/>
    <col min="6" max="6" width="11.42578125" style="1312" hidden="1" customWidth="1"/>
    <col min="7" max="7" width="9.85546875" style="1312" hidden="1" customWidth="1"/>
    <col min="8" max="8" width="9.7109375" style="1312" hidden="1" customWidth="1"/>
    <col min="9" max="9" width="11.5703125" style="1312" hidden="1" customWidth="1"/>
    <col min="10" max="10" width="9.28515625" style="1312" hidden="1" customWidth="1"/>
    <col min="11" max="11" width="10.42578125" style="1312" hidden="1" customWidth="1"/>
    <col min="12" max="12" width="10.140625" style="1670" hidden="1" customWidth="1"/>
    <col min="13" max="13" width="11.5703125" style="1312" customWidth="1"/>
    <col min="14" max="14" width="11.140625" style="1312" customWidth="1"/>
    <col min="15" max="15" width="11.28515625" style="1312" customWidth="1"/>
    <col min="16" max="16" width="10.28515625" style="1312" customWidth="1"/>
    <col min="17" max="23" width="8.28515625" style="1312" customWidth="1"/>
    <col min="24" max="24" width="12.42578125" style="1312" customWidth="1"/>
    <col min="25" max="25" width="15.28515625" style="1669" customWidth="1"/>
    <col min="26" max="26" width="3.28515625" style="1312" customWidth="1"/>
    <col min="27" max="27" width="13.42578125" style="1312" customWidth="1"/>
    <col min="28" max="44" width="18.28515625" style="1312" customWidth="1"/>
    <col min="45" max="86" width="3.28515625" style="1312" customWidth="1"/>
    <col min="87" max="16384" width="9.140625" style="1312"/>
  </cols>
  <sheetData>
    <row r="1" spans="1:87" s="1557" customFormat="1" ht="18" customHeight="1">
      <c r="A1" s="1793"/>
      <c r="B1" s="1893"/>
      <c r="C1" s="1793"/>
      <c r="D1" s="1793"/>
      <c r="E1" s="1794"/>
      <c r="F1" s="1793"/>
      <c r="G1" s="1793"/>
      <c r="H1" s="1793"/>
      <c r="I1" s="1793"/>
      <c r="J1" s="1793"/>
      <c r="K1" s="1793"/>
      <c r="L1" s="1793"/>
      <c r="M1" s="1793"/>
      <c r="N1" s="2667"/>
      <c r="O1" s="1300"/>
      <c r="P1" s="1793"/>
      <c r="Q1" s="1793"/>
      <c r="R1" s="1306" t="s">
        <v>286</v>
      </c>
      <c r="S1" s="1306"/>
      <c r="T1" s="1306"/>
      <c r="U1" s="1306"/>
      <c r="V1" s="1306"/>
      <c r="W1" s="1306"/>
      <c r="X1" s="325"/>
      <c r="Y1" s="326"/>
      <c r="Z1" s="1556"/>
      <c r="AA1" s="1556"/>
      <c r="AB1" s="1556"/>
      <c r="AC1" s="1556"/>
      <c r="AD1" s="1556"/>
      <c r="AE1" s="1556"/>
      <c r="AF1" s="1556"/>
      <c r="AG1" s="1556"/>
      <c r="AH1" s="1556"/>
      <c r="AI1" s="1556"/>
      <c r="AJ1" s="1556"/>
      <c r="AK1" s="1556"/>
      <c r="AL1" s="1556"/>
      <c r="AM1" s="1556"/>
      <c r="AN1" s="1556"/>
      <c r="AO1" s="1556"/>
      <c r="AP1" s="1556"/>
      <c r="AQ1" s="1556"/>
      <c r="AR1" s="1556"/>
      <c r="AS1" s="1556"/>
      <c r="AT1" s="1556"/>
      <c r="AU1" s="1556"/>
      <c r="AV1" s="1556"/>
      <c r="AW1" s="1556"/>
      <c r="AX1" s="1556"/>
      <c r="AY1" s="1556"/>
      <c r="AZ1" s="1556"/>
      <c r="BA1" s="1556"/>
      <c r="BB1" s="1556"/>
      <c r="BC1" s="1556"/>
      <c r="BD1" s="1556"/>
      <c r="BE1" s="1556"/>
      <c r="BF1" s="1556"/>
      <c r="BG1" s="1556"/>
      <c r="BH1" s="1556"/>
      <c r="BI1" s="1556"/>
      <c r="BJ1" s="1556"/>
      <c r="BK1" s="1556"/>
      <c r="BL1" s="1556"/>
      <c r="BM1" s="1556"/>
      <c r="BN1" s="1556"/>
      <c r="BO1" s="1556"/>
      <c r="BP1" s="1556"/>
      <c r="BQ1" s="1556"/>
      <c r="BR1" s="1556"/>
      <c r="BS1" s="1556"/>
      <c r="BT1" s="1556"/>
      <c r="BU1" s="1556"/>
      <c r="BV1" s="1556"/>
      <c r="BW1" s="1556"/>
      <c r="BX1" s="1556"/>
      <c r="BY1" s="1556"/>
      <c r="BZ1" s="1556"/>
      <c r="CA1" s="1556"/>
      <c r="CB1" s="1556"/>
      <c r="CC1" s="1556"/>
      <c r="CD1" s="1556"/>
      <c r="CE1" s="1556"/>
      <c r="CF1" s="1556"/>
      <c r="CG1" s="1556"/>
      <c r="CH1" s="1556"/>
      <c r="CI1" s="1311"/>
    </row>
    <row r="2" spans="1:87" s="1557" customFormat="1" ht="4.5" customHeight="1">
      <c r="A2" s="1894"/>
      <c r="B2" s="1893"/>
      <c r="C2" s="1793"/>
      <c r="D2" s="1795"/>
      <c r="E2" s="1794"/>
      <c r="F2" s="1793"/>
      <c r="G2" s="1793"/>
      <c r="H2" s="1793"/>
      <c r="I2" s="1793"/>
      <c r="J2" s="1793"/>
      <c r="K2" s="1793"/>
      <c r="L2" s="1793"/>
      <c r="M2" s="1793"/>
      <c r="N2" s="1307"/>
      <c r="O2" s="1307"/>
      <c r="P2" s="1307"/>
      <c r="Q2" s="1307"/>
      <c r="R2" s="1307"/>
      <c r="S2" s="1307"/>
      <c r="T2" s="1307"/>
      <c r="U2" s="1307"/>
      <c r="V2" s="1307"/>
      <c r="W2" s="1307"/>
      <c r="X2" s="325"/>
      <c r="Y2" s="326"/>
      <c r="Z2" s="1556"/>
      <c r="AA2" s="1556"/>
      <c r="AB2" s="1556"/>
      <c r="AC2" s="1556"/>
      <c r="AD2" s="1556"/>
      <c r="AE2" s="1556"/>
      <c r="AF2" s="1556"/>
      <c r="AG2" s="1556"/>
      <c r="AH2" s="1556"/>
      <c r="AI2" s="1556"/>
      <c r="AJ2" s="1556"/>
      <c r="AK2" s="1556"/>
      <c r="AL2" s="1556"/>
      <c r="AM2" s="1556"/>
      <c r="AN2" s="1556"/>
      <c r="AO2" s="1556"/>
      <c r="AP2" s="1556"/>
      <c r="AQ2" s="1556"/>
      <c r="AR2" s="1556"/>
      <c r="AS2" s="1556"/>
      <c r="AT2" s="1556"/>
      <c r="AU2" s="1556"/>
      <c r="AV2" s="1556"/>
      <c r="AW2" s="1556"/>
      <c r="AX2" s="1556"/>
      <c r="AY2" s="1556"/>
      <c r="AZ2" s="1556"/>
      <c r="BA2" s="1556"/>
      <c r="BB2" s="1556"/>
      <c r="BC2" s="1556"/>
      <c r="BD2" s="1556"/>
      <c r="BE2" s="1556"/>
      <c r="BF2" s="1556"/>
      <c r="BG2" s="1556"/>
      <c r="BH2" s="1556"/>
      <c r="BI2" s="1556"/>
      <c r="BJ2" s="1556"/>
      <c r="BK2" s="1556"/>
      <c r="BL2" s="1556"/>
      <c r="BM2" s="1556"/>
      <c r="BN2" s="1556"/>
      <c r="BO2" s="1556"/>
      <c r="BP2" s="1556"/>
      <c r="BQ2" s="1556"/>
      <c r="BR2" s="1556"/>
      <c r="BS2" s="1556"/>
      <c r="BT2" s="1556"/>
      <c r="BU2" s="1556"/>
      <c r="BV2" s="1556"/>
      <c r="BW2" s="1556"/>
      <c r="BX2" s="1556"/>
      <c r="BY2" s="1556"/>
      <c r="BZ2" s="1556"/>
      <c r="CA2" s="1556"/>
      <c r="CB2" s="1556"/>
      <c r="CC2" s="1556"/>
      <c r="CD2" s="1556"/>
      <c r="CE2" s="1556"/>
      <c r="CF2" s="1556"/>
      <c r="CG2" s="1556"/>
      <c r="CH2" s="1556"/>
      <c r="CI2" s="1311"/>
    </row>
    <row r="3" spans="1:87" s="1557" customFormat="1" ht="25.5" customHeight="1" thickBot="1">
      <c r="A3" s="1791" t="s">
        <v>200</v>
      </c>
      <c r="B3" s="1792"/>
      <c r="C3" s="1793"/>
      <c r="D3" s="1793"/>
      <c r="E3" s="1794"/>
      <c r="F3" s="1793"/>
      <c r="G3" s="1793"/>
      <c r="H3" s="1793"/>
      <c r="I3" s="1793"/>
      <c r="J3" s="1793"/>
      <c r="K3" s="1795"/>
      <c r="L3" s="1793"/>
      <c r="M3" s="1793"/>
      <c r="N3" s="1793"/>
      <c r="O3" s="1795"/>
      <c r="P3" s="1793"/>
      <c r="Q3" s="1793"/>
      <c r="R3" s="1793"/>
      <c r="S3" s="1793"/>
      <c r="T3" s="1793"/>
      <c r="U3" s="1793"/>
      <c r="V3" s="1793"/>
      <c r="W3" s="1793"/>
      <c r="X3" s="325"/>
      <c r="Y3" s="326"/>
      <c r="Z3" s="1556"/>
      <c r="AA3" s="1556"/>
      <c r="AB3" s="1556"/>
      <c r="AC3" s="1556"/>
      <c r="AD3" s="1556"/>
      <c r="AE3" s="1556"/>
      <c r="AF3" s="1556"/>
      <c r="AG3" s="1556"/>
      <c r="AH3" s="1556"/>
      <c r="AI3" s="1556"/>
      <c r="AJ3" s="1556"/>
      <c r="AK3" s="1556"/>
      <c r="AL3" s="1556"/>
      <c r="AM3" s="1556"/>
      <c r="AN3" s="1556"/>
      <c r="AO3" s="1556"/>
      <c r="AP3" s="1556"/>
      <c r="AQ3" s="1556"/>
      <c r="AR3" s="1556"/>
      <c r="AS3" s="1556"/>
      <c r="AT3" s="1556"/>
      <c r="AU3" s="1556"/>
      <c r="AV3" s="1556"/>
      <c r="AW3" s="1556"/>
      <c r="AX3" s="1556"/>
      <c r="AY3" s="1556"/>
      <c r="AZ3" s="1556"/>
      <c r="BA3" s="1556"/>
      <c r="BB3" s="1556"/>
      <c r="BC3" s="1556"/>
      <c r="BD3" s="1556"/>
      <c r="BE3" s="1556"/>
      <c r="BF3" s="1556"/>
      <c r="BG3" s="1556"/>
      <c r="BH3" s="1556"/>
      <c r="BI3" s="1556"/>
      <c r="BJ3" s="1556"/>
      <c r="BK3" s="1556"/>
      <c r="BL3" s="1556"/>
      <c r="BM3" s="1556"/>
      <c r="BN3" s="1556"/>
      <c r="BO3" s="1556"/>
      <c r="BP3" s="1556"/>
      <c r="BQ3" s="1556"/>
      <c r="BR3" s="1556"/>
      <c r="BS3" s="1556"/>
      <c r="BT3" s="1556"/>
      <c r="BU3" s="1556"/>
      <c r="BV3" s="1556"/>
      <c r="BW3" s="1556"/>
      <c r="BX3" s="1556"/>
      <c r="BY3" s="1556"/>
      <c r="BZ3" s="1556"/>
      <c r="CA3" s="1556"/>
      <c r="CB3" s="1556"/>
      <c r="CC3" s="1556"/>
      <c r="CD3" s="1556"/>
      <c r="CE3" s="1556"/>
      <c r="CF3" s="1556"/>
      <c r="CG3" s="1556"/>
      <c r="CH3" s="1556"/>
      <c r="CI3" s="1311"/>
    </row>
    <row r="4" spans="1:87" ht="40.5" customHeight="1" thickBot="1">
      <c r="A4" s="1796"/>
      <c r="B4" s="3323" t="s">
        <v>91</v>
      </c>
      <c r="C4" s="3324" t="s">
        <v>87</v>
      </c>
      <c r="D4" s="3057" t="s">
        <v>88</v>
      </c>
      <c r="E4" s="1249" t="s">
        <v>3</v>
      </c>
      <c r="F4" s="1250"/>
      <c r="G4" s="1250"/>
      <c r="H4" s="1250"/>
      <c r="I4" s="1250"/>
      <c r="J4" s="1250"/>
      <c r="K4" s="1250"/>
      <c r="L4" s="1250"/>
      <c r="M4" s="3072" t="s">
        <v>400</v>
      </c>
      <c r="N4" s="1250"/>
      <c r="O4" s="3074" t="s">
        <v>415</v>
      </c>
      <c r="P4" s="3076" t="s">
        <v>410</v>
      </c>
      <c r="Q4" s="3077"/>
      <c r="R4" s="3077"/>
      <c r="S4" s="3077"/>
      <c r="T4" s="3077"/>
      <c r="U4" s="3077"/>
      <c r="V4" s="3077"/>
      <c r="W4" s="3078"/>
      <c r="X4" s="3333" t="s">
        <v>355</v>
      </c>
      <c r="Y4" s="3195" t="s">
        <v>89</v>
      </c>
      <c r="Z4" s="1311"/>
      <c r="AA4" s="1311"/>
      <c r="AB4" s="1311"/>
      <c r="AC4" s="1311"/>
      <c r="AD4" s="1311"/>
      <c r="AE4" s="1311"/>
      <c r="AF4" s="1311"/>
      <c r="AG4" s="1311"/>
      <c r="AH4" s="1311"/>
      <c r="AI4" s="1311"/>
      <c r="AJ4" s="1311"/>
      <c r="AK4" s="1311"/>
      <c r="AL4" s="1311"/>
      <c r="AM4" s="1311"/>
      <c r="AN4" s="1311"/>
      <c r="AO4" s="1311"/>
      <c r="AP4" s="1311"/>
      <c r="AQ4" s="1311"/>
      <c r="AR4" s="1311"/>
      <c r="AS4" s="1311"/>
      <c r="AT4" s="1311"/>
      <c r="AU4" s="1311"/>
      <c r="AV4" s="1311"/>
      <c r="AW4" s="1311"/>
      <c r="AX4" s="1311"/>
      <c r="AY4" s="1311"/>
      <c r="AZ4" s="1311"/>
      <c r="BA4" s="1311"/>
      <c r="BB4" s="1311"/>
      <c r="BC4" s="1311"/>
      <c r="BD4" s="1311"/>
      <c r="BE4" s="1311"/>
      <c r="BF4" s="1311"/>
      <c r="BG4" s="1311"/>
      <c r="BH4" s="1311"/>
      <c r="BI4" s="1311"/>
      <c r="BJ4" s="1311"/>
      <c r="BK4" s="1311"/>
      <c r="BL4" s="1311"/>
      <c r="BM4" s="1311"/>
      <c r="BN4" s="1311"/>
      <c r="BO4" s="1311"/>
      <c r="BP4" s="1311"/>
      <c r="BQ4" s="1311"/>
      <c r="BR4" s="1311"/>
      <c r="BS4" s="1311"/>
      <c r="BT4" s="1311"/>
      <c r="BU4" s="1311"/>
      <c r="BV4" s="1311"/>
      <c r="BW4" s="1311"/>
      <c r="BX4" s="1311"/>
      <c r="BY4" s="1311"/>
      <c r="BZ4" s="1311"/>
      <c r="CA4" s="1311"/>
      <c r="CB4" s="1311"/>
      <c r="CC4" s="1311"/>
      <c r="CD4" s="1311"/>
      <c r="CE4" s="1311"/>
      <c r="CF4" s="1311"/>
      <c r="CG4" s="1311"/>
      <c r="CH4" s="1311"/>
      <c r="CI4" s="1311"/>
    </row>
    <row r="5" spans="1:87" ht="21.75" customHeight="1" thickBot="1">
      <c r="A5" s="1797" t="s">
        <v>90</v>
      </c>
      <c r="B5" s="3323"/>
      <c r="C5" s="3325"/>
      <c r="D5" s="3058"/>
      <c r="E5" s="940"/>
      <c r="F5" s="941"/>
      <c r="G5" s="941"/>
      <c r="H5" s="941"/>
      <c r="I5" s="941"/>
      <c r="J5" s="941"/>
      <c r="K5" s="941"/>
      <c r="L5" s="941"/>
      <c r="M5" s="3073"/>
      <c r="N5" s="941"/>
      <c r="O5" s="3075"/>
      <c r="P5" s="3079"/>
      <c r="Q5" s="3080"/>
      <c r="R5" s="3080"/>
      <c r="S5" s="3080"/>
      <c r="T5" s="3080"/>
      <c r="U5" s="3080"/>
      <c r="V5" s="3080"/>
      <c r="W5" s="3081"/>
      <c r="X5" s="3334"/>
      <c r="Y5" s="3196"/>
      <c r="Z5" s="1311"/>
      <c r="AA5" s="1311"/>
      <c r="AB5" s="1311"/>
      <c r="AC5" s="1311"/>
      <c r="AD5" s="1311"/>
      <c r="AE5" s="1311"/>
      <c r="AF5" s="1311"/>
      <c r="AG5" s="1311"/>
      <c r="AH5" s="1311"/>
      <c r="AI5" s="1311"/>
      <c r="AJ5" s="1311"/>
      <c r="AK5" s="1311"/>
      <c r="AL5" s="1311"/>
      <c r="AM5" s="1311"/>
      <c r="AN5" s="1311"/>
      <c r="AO5" s="1311"/>
      <c r="AP5" s="1311"/>
      <c r="AQ5" s="1311"/>
      <c r="AR5" s="1311"/>
      <c r="AS5" s="1311"/>
      <c r="AT5" s="1311"/>
      <c r="AU5" s="1311"/>
      <c r="AV5" s="1311"/>
      <c r="AW5" s="1311"/>
      <c r="AX5" s="1311"/>
      <c r="AY5" s="1311"/>
      <c r="AZ5" s="1311"/>
      <c r="BA5" s="1311"/>
      <c r="BB5" s="1311"/>
      <c r="BC5" s="1311"/>
      <c r="BD5" s="1311"/>
      <c r="BE5" s="1311"/>
      <c r="BF5" s="1311"/>
      <c r="BG5" s="1311"/>
      <c r="BH5" s="1311"/>
      <c r="BI5" s="1311"/>
      <c r="BJ5" s="1311"/>
      <c r="BK5" s="1311"/>
      <c r="BL5" s="1311"/>
      <c r="BM5" s="1311"/>
      <c r="BN5" s="1311"/>
      <c r="BO5" s="1311"/>
      <c r="BP5" s="1311"/>
      <c r="BQ5" s="1311"/>
      <c r="BR5" s="1311"/>
      <c r="BS5" s="1311"/>
      <c r="BT5" s="1311"/>
      <c r="BU5" s="1311"/>
      <c r="BV5" s="1311"/>
      <c r="BW5" s="1311"/>
      <c r="BX5" s="1311"/>
      <c r="BY5" s="1311"/>
      <c r="BZ5" s="1311"/>
      <c r="CA5" s="1311"/>
      <c r="CB5" s="1311"/>
      <c r="CC5" s="1311"/>
      <c r="CD5" s="1311"/>
      <c r="CE5" s="1311"/>
      <c r="CF5" s="1311"/>
      <c r="CG5" s="1311"/>
      <c r="CH5" s="1311"/>
      <c r="CI5" s="1311"/>
    </row>
    <row r="6" spans="1:87" ht="30" customHeight="1" thickBot="1">
      <c r="A6" s="1797"/>
      <c r="B6" s="3323"/>
      <c r="C6" s="3326"/>
      <c r="D6" s="3059"/>
      <c r="E6" s="2666" t="s">
        <v>6</v>
      </c>
      <c r="F6" s="333" t="s">
        <v>7</v>
      </c>
      <c r="G6" s="333" t="s">
        <v>8</v>
      </c>
      <c r="H6" s="333" t="s">
        <v>9</v>
      </c>
      <c r="I6" s="2649" t="s">
        <v>10</v>
      </c>
      <c r="J6" s="2649" t="s">
        <v>11</v>
      </c>
      <c r="K6" s="2649" t="s">
        <v>12</v>
      </c>
      <c r="L6" s="2649" t="s">
        <v>13</v>
      </c>
      <c r="M6" s="1211" t="s">
        <v>371</v>
      </c>
      <c r="N6" s="2649" t="s">
        <v>14</v>
      </c>
      <c r="O6" s="2649" t="s">
        <v>15</v>
      </c>
      <c r="P6" s="2649" t="s">
        <v>16</v>
      </c>
      <c r="Q6" s="2649" t="s">
        <v>17</v>
      </c>
      <c r="R6" s="2649" t="s">
        <v>18</v>
      </c>
      <c r="S6" s="1318" t="s">
        <v>290</v>
      </c>
      <c r="T6" s="1318" t="s">
        <v>295</v>
      </c>
      <c r="U6" s="1318" t="s">
        <v>373</v>
      </c>
      <c r="V6" s="1318" t="s">
        <v>374</v>
      </c>
      <c r="W6" s="1318" t="s">
        <v>372</v>
      </c>
      <c r="X6" s="3335"/>
      <c r="Y6" s="3197"/>
      <c r="Z6" s="1311"/>
      <c r="AA6" s="1311"/>
      <c r="AB6" s="1311"/>
      <c r="AC6" s="1311"/>
      <c r="AD6" s="1311"/>
      <c r="AE6" s="1311"/>
      <c r="AF6" s="1311"/>
      <c r="AG6" s="1311"/>
      <c r="AH6" s="1311"/>
      <c r="AI6" s="1311"/>
      <c r="AJ6" s="1311"/>
      <c r="AK6" s="1311"/>
      <c r="AL6" s="1311"/>
      <c r="AM6" s="1311"/>
      <c r="AN6" s="1311"/>
      <c r="AO6" s="1311"/>
      <c r="AP6" s="1311"/>
      <c r="AQ6" s="1311"/>
      <c r="AR6" s="1311"/>
      <c r="AS6" s="1311"/>
      <c r="AT6" s="1311"/>
      <c r="AU6" s="1311"/>
      <c r="AV6" s="1311"/>
      <c r="AW6" s="1311"/>
      <c r="AX6" s="1311"/>
      <c r="AY6" s="1311"/>
      <c r="AZ6" s="1311"/>
      <c r="BA6" s="1311"/>
      <c r="BB6" s="1311"/>
      <c r="BC6" s="1311"/>
      <c r="BD6" s="1311"/>
      <c r="BE6" s="1311"/>
      <c r="BF6" s="1311"/>
      <c r="BG6" s="1311"/>
      <c r="BH6" s="1311"/>
      <c r="BI6" s="1311"/>
      <c r="BJ6" s="1311"/>
      <c r="BK6" s="1311"/>
      <c r="BL6" s="1311"/>
      <c r="BM6" s="1311"/>
      <c r="BN6" s="1311"/>
      <c r="BO6" s="1311"/>
      <c r="BP6" s="1311"/>
      <c r="BQ6" s="1311"/>
      <c r="BR6" s="1311"/>
      <c r="BS6" s="1311"/>
      <c r="BT6" s="1311"/>
      <c r="BU6" s="1311"/>
      <c r="BV6" s="1311"/>
      <c r="BW6" s="1311"/>
      <c r="BX6" s="1311"/>
      <c r="BY6" s="1311"/>
      <c r="BZ6" s="1311"/>
      <c r="CA6" s="1311"/>
      <c r="CB6" s="1311"/>
      <c r="CC6" s="1311"/>
      <c r="CD6" s="1311"/>
      <c r="CE6" s="1311"/>
      <c r="CF6" s="1311"/>
      <c r="CG6" s="1311"/>
      <c r="CH6" s="1311"/>
      <c r="CI6" s="1311"/>
    </row>
    <row r="7" spans="1:87" ht="14.25" customHeight="1">
      <c r="A7" s="1798">
        <v>1</v>
      </c>
      <c r="B7" s="1799">
        <v>2</v>
      </c>
      <c r="C7" s="1800" t="s">
        <v>142</v>
      </c>
      <c r="D7" s="1801" t="s">
        <v>143</v>
      </c>
      <c r="E7" s="1801"/>
      <c r="F7" s="1802"/>
      <c r="G7" s="1802"/>
      <c r="H7" s="1802"/>
      <c r="I7" s="1803"/>
      <c r="J7" s="1803"/>
      <c r="K7" s="1803"/>
      <c r="L7" s="1803"/>
      <c r="M7" s="1804">
        <v>5</v>
      </c>
      <c r="N7" s="1804" t="s">
        <v>375</v>
      </c>
      <c r="O7" s="1804">
        <v>6</v>
      </c>
      <c r="P7" s="1804">
        <v>7</v>
      </c>
      <c r="Q7" s="1804">
        <v>8</v>
      </c>
      <c r="R7" s="1804">
        <v>9</v>
      </c>
      <c r="S7" s="1804">
        <v>10</v>
      </c>
      <c r="T7" s="1804">
        <v>11</v>
      </c>
      <c r="U7" s="1804">
        <v>12</v>
      </c>
      <c r="V7" s="1804">
        <v>13</v>
      </c>
      <c r="W7" s="1804">
        <v>14</v>
      </c>
      <c r="X7" s="1805">
        <v>15</v>
      </c>
      <c r="Y7" s="1806">
        <v>16</v>
      </c>
      <c r="Z7" s="1311"/>
      <c r="AA7" s="1311"/>
      <c r="AB7" s="1311"/>
      <c r="AC7" s="1311"/>
      <c r="AD7" s="1311"/>
      <c r="AE7" s="1311"/>
      <c r="AF7" s="1311"/>
      <c r="AG7" s="1311"/>
      <c r="AH7" s="1311"/>
      <c r="AI7" s="1311"/>
      <c r="AJ7" s="1311"/>
      <c r="AK7" s="1311"/>
      <c r="AL7" s="1311"/>
      <c r="AM7" s="1311"/>
      <c r="AN7" s="1311"/>
      <c r="AO7" s="1311"/>
      <c r="AP7" s="1311"/>
      <c r="AQ7" s="1311"/>
      <c r="AR7" s="1311"/>
      <c r="AS7" s="1311"/>
      <c r="AT7" s="1311"/>
      <c r="AU7" s="1311"/>
      <c r="AV7" s="1311"/>
      <c r="AW7" s="1311"/>
      <c r="AX7" s="1311"/>
      <c r="AY7" s="1311"/>
      <c r="AZ7" s="1311"/>
      <c r="BA7" s="1311"/>
      <c r="BB7" s="1311"/>
      <c r="BC7" s="1311"/>
      <c r="BD7" s="1311"/>
      <c r="BE7" s="1311"/>
      <c r="BF7" s="1311"/>
      <c r="BG7" s="1311"/>
      <c r="BH7" s="1311"/>
      <c r="BI7" s="1311"/>
      <c r="BJ7" s="1311"/>
      <c r="BK7" s="1311"/>
      <c r="BL7" s="1311"/>
      <c r="BM7" s="1311"/>
      <c r="BN7" s="1311"/>
      <c r="BO7" s="1311"/>
      <c r="BP7" s="1311"/>
      <c r="BQ7" s="1311"/>
      <c r="BR7" s="1311"/>
      <c r="BS7" s="1311"/>
      <c r="BT7" s="1311"/>
      <c r="BU7" s="1311"/>
      <c r="BV7" s="1311"/>
      <c r="BW7" s="1311"/>
      <c r="BX7" s="1311"/>
      <c r="BY7" s="1311"/>
      <c r="BZ7" s="1311"/>
      <c r="CA7" s="1311"/>
      <c r="CB7" s="1311"/>
      <c r="CC7" s="1311"/>
      <c r="CD7" s="1311"/>
      <c r="CE7" s="1311"/>
      <c r="CF7" s="1311"/>
      <c r="CG7" s="1311"/>
      <c r="CH7" s="1311"/>
      <c r="CI7" s="1311"/>
    </row>
    <row r="8" spans="1:87" ht="14.25" customHeight="1">
      <c r="A8" s="1807"/>
      <c r="B8" s="1808" t="s">
        <v>92</v>
      </c>
      <c r="C8" s="1809"/>
      <c r="D8" s="1740">
        <f>+D10</f>
        <v>49923526</v>
      </c>
      <c r="E8" s="1740">
        <f t="shared" ref="E8:O8" si="0">+E10</f>
        <v>815947</v>
      </c>
      <c r="F8" s="1740">
        <f t="shared" si="0"/>
        <v>0</v>
      </c>
      <c r="G8" s="1740">
        <f t="shared" si="0"/>
        <v>0</v>
      </c>
      <c r="H8" s="1740">
        <f t="shared" si="0"/>
        <v>0</v>
      </c>
      <c r="I8" s="1740">
        <f t="shared" si="0"/>
        <v>1306315</v>
      </c>
      <c r="J8" s="1740">
        <f t="shared" si="0"/>
        <v>2257947</v>
      </c>
      <c r="K8" s="1740">
        <f t="shared" si="0"/>
        <v>4980398</v>
      </c>
      <c r="L8" s="1740">
        <f t="shared" si="0"/>
        <v>3486383</v>
      </c>
      <c r="M8" s="1740">
        <f t="shared" ref="M8:N8" si="1">+M10</f>
        <v>26667685</v>
      </c>
      <c r="N8" s="1740">
        <f t="shared" si="1"/>
        <v>13820695</v>
      </c>
      <c r="O8" s="1740">
        <f t="shared" si="0"/>
        <v>20975841</v>
      </c>
      <c r="P8" s="1740">
        <f t="shared" ref="P8:T8" si="2">+P10</f>
        <v>2280000</v>
      </c>
      <c r="Q8" s="1740">
        <f t="shared" si="2"/>
        <v>0</v>
      </c>
      <c r="R8" s="1740">
        <f t="shared" si="2"/>
        <v>0</v>
      </c>
      <c r="S8" s="1740">
        <f t="shared" si="2"/>
        <v>0</v>
      </c>
      <c r="T8" s="1740">
        <f t="shared" si="2"/>
        <v>0</v>
      </c>
      <c r="U8" s="1740">
        <f t="shared" ref="U8:W8" si="3">+U10</f>
        <v>0</v>
      </c>
      <c r="V8" s="1740">
        <f t="shared" si="3"/>
        <v>0</v>
      </c>
      <c r="W8" s="1740">
        <f t="shared" si="3"/>
        <v>0</v>
      </c>
      <c r="X8" s="676">
        <f>+X10</f>
        <v>2280000</v>
      </c>
      <c r="Y8" s="1810"/>
      <c r="Z8" s="1311"/>
      <c r="AA8" s="710">
        <f>+O8+P8+Q8+R8</f>
        <v>23255841</v>
      </c>
      <c r="AB8" s="1311"/>
      <c r="AC8" s="1311"/>
      <c r="AD8" s="1311"/>
      <c r="AE8" s="1311"/>
      <c r="AF8" s="1311"/>
      <c r="AG8" s="1311"/>
      <c r="AH8" s="1311"/>
      <c r="AI8" s="1311"/>
      <c r="AJ8" s="1311"/>
      <c r="AK8" s="1311"/>
      <c r="AL8" s="1311"/>
      <c r="AM8" s="1311"/>
      <c r="AN8" s="1311"/>
      <c r="AO8" s="1311"/>
      <c r="AP8" s="1311"/>
      <c r="AQ8" s="1311"/>
      <c r="AR8" s="1311"/>
      <c r="AS8" s="1311"/>
      <c r="AT8" s="1311"/>
      <c r="AU8" s="1311"/>
      <c r="AV8" s="1311"/>
      <c r="AW8" s="1311"/>
      <c r="AX8" s="1311"/>
      <c r="AY8" s="1311"/>
      <c r="AZ8" s="1311"/>
      <c r="BA8" s="1311"/>
      <c r="BB8" s="1311"/>
      <c r="BC8" s="1311"/>
      <c r="BD8" s="1311"/>
      <c r="BE8" s="1311"/>
      <c r="BF8" s="1311"/>
      <c r="BG8" s="1311"/>
      <c r="BH8" s="1311"/>
      <c r="BI8" s="1311"/>
      <c r="BJ8" s="1311"/>
      <c r="BK8" s="1311"/>
      <c r="BL8" s="1311"/>
      <c r="BM8" s="1311"/>
      <c r="BN8" s="1311"/>
      <c r="BO8" s="1311"/>
      <c r="BP8" s="1311"/>
      <c r="BQ8" s="1311"/>
      <c r="BR8" s="1311"/>
      <c r="BS8" s="1311"/>
      <c r="BT8" s="1311"/>
      <c r="BU8" s="1311"/>
      <c r="BV8" s="1311"/>
      <c r="BW8" s="1311"/>
      <c r="BX8" s="1311"/>
      <c r="BY8" s="1311"/>
      <c r="BZ8" s="1311"/>
      <c r="CA8" s="1311"/>
      <c r="CB8" s="1311"/>
      <c r="CC8" s="1311"/>
      <c r="CD8" s="1311"/>
      <c r="CE8" s="1311"/>
      <c r="CF8" s="1311"/>
      <c r="CG8" s="1311"/>
      <c r="CH8" s="1311"/>
      <c r="CI8" s="1311"/>
    </row>
    <row r="9" spans="1:87" ht="14.25" customHeight="1">
      <c r="A9" s="1807"/>
      <c r="B9" s="1811" t="s">
        <v>93</v>
      </c>
      <c r="C9" s="1812"/>
      <c r="D9" s="794">
        <v>0</v>
      </c>
      <c r="E9" s="794">
        <v>0</v>
      </c>
      <c r="F9" s="794">
        <v>0</v>
      </c>
      <c r="G9" s="794">
        <v>0</v>
      </c>
      <c r="H9" s="794">
        <v>0</v>
      </c>
      <c r="I9" s="794">
        <v>0</v>
      </c>
      <c r="J9" s="794">
        <v>0</v>
      </c>
      <c r="K9" s="794">
        <v>0</v>
      </c>
      <c r="L9" s="794">
        <v>0</v>
      </c>
      <c r="M9" s="794">
        <v>0</v>
      </c>
      <c r="N9" s="794">
        <v>0</v>
      </c>
      <c r="O9" s="794">
        <v>0</v>
      </c>
      <c r="P9" s="794">
        <v>0</v>
      </c>
      <c r="Q9" s="794">
        <v>0</v>
      </c>
      <c r="R9" s="794">
        <v>0</v>
      </c>
      <c r="S9" s="794">
        <v>0</v>
      </c>
      <c r="T9" s="794">
        <v>0</v>
      </c>
      <c r="U9" s="794">
        <v>0</v>
      </c>
      <c r="V9" s="794">
        <v>0</v>
      </c>
      <c r="W9" s="794">
        <v>0</v>
      </c>
      <c r="X9" s="347">
        <v>0</v>
      </c>
      <c r="Y9" s="1810"/>
      <c r="Z9" s="1311"/>
      <c r="AA9" s="1311"/>
      <c r="AB9" s="1311"/>
      <c r="AC9" s="1311"/>
      <c r="AD9" s="1311"/>
      <c r="AE9" s="1311"/>
      <c r="AF9" s="1311"/>
      <c r="AG9" s="1311"/>
      <c r="AH9" s="1311"/>
      <c r="AI9" s="1311"/>
      <c r="AJ9" s="1311"/>
      <c r="AK9" s="1311"/>
      <c r="AL9" s="1311"/>
      <c r="AM9" s="1311"/>
      <c r="AN9" s="1311"/>
      <c r="AO9" s="1311"/>
      <c r="AP9" s="1311"/>
      <c r="AQ9" s="1311"/>
      <c r="AR9" s="1311"/>
      <c r="AS9" s="1311"/>
      <c r="AT9" s="1311"/>
      <c r="AU9" s="1311"/>
      <c r="AV9" s="1311"/>
      <c r="AW9" s="1311"/>
      <c r="AX9" s="1311"/>
      <c r="AY9" s="1311"/>
      <c r="AZ9" s="1311"/>
      <c r="BA9" s="1311"/>
      <c r="BB9" s="1311"/>
      <c r="BC9" s="1311"/>
      <c r="BD9" s="1311"/>
      <c r="BE9" s="1311"/>
      <c r="BF9" s="1311"/>
      <c r="BG9" s="1311"/>
      <c r="BH9" s="1311"/>
      <c r="BI9" s="1311"/>
      <c r="BJ9" s="1311"/>
      <c r="BK9" s="1311"/>
      <c r="BL9" s="1311"/>
      <c r="BM9" s="1311"/>
      <c r="BN9" s="1311"/>
      <c r="BO9" s="1311"/>
      <c r="BP9" s="1311"/>
      <c r="BQ9" s="1311"/>
      <c r="BR9" s="1311"/>
      <c r="BS9" s="1311"/>
      <c r="BT9" s="1311"/>
      <c r="BU9" s="1311"/>
      <c r="BV9" s="1311"/>
      <c r="BW9" s="1311"/>
      <c r="BX9" s="1311"/>
      <c r="BY9" s="1311"/>
      <c r="BZ9" s="1311"/>
      <c r="CA9" s="1311"/>
      <c r="CB9" s="1311"/>
      <c r="CC9" s="1311"/>
      <c r="CD9" s="1311"/>
      <c r="CE9" s="1311"/>
      <c r="CF9" s="1311"/>
      <c r="CG9" s="1311"/>
      <c r="CH9" s="1311"/>
      <c r="CI9" s="1311"/>
    </row>
    <row r="10" spans="1:87" ht="14.25" customHeight="1" thickBot="1">
      <c r="A10" s="1807"/>
      <c r="B10" s="1813" t="s">
        <v>21</v>
      </c>
      <c r="C10" s="1814"/>
      <c r="D10" s="811">
        <f>+D25+D35+D46+D58+D71+D83</f>
        <v>49923526</v>
      </c>
      <c r="E10" s="811">
        <f>+E25+E35+E46+E58+E71+E83</f>
        <v>815947</v>
      </c>
      <c r="F10" s="811">
        <f>+F25+F35+F46+F58+F71+F83</f>
        <v>0</v>
      </c>
      <c r="G10" s="811">
        <f>+G25+G35+G46+G58+G71+G83</f>
        <v>0</v>
      </c>
      <c r="H10" s="811">
        <f>+H25+H35+H46+H58+H71+H83</f>
        <v>0</v>
      </c>
      <c r="I10" s="811">
        <f t="shared" ref="I10:O10" si="4">+I25+I35+I46+I58+I71+I83</f>
        <v>1306315</v>
      </c>
      <c r="J10" s="811">
        <f t="shared" si="4"/>
        <v>2257947</v>
      </c>
      <c r="K10" s="811">
        <f t="shared" si="4"/>
        <v>4980398</v>
      </c>
      <c r="L10" s="811">
        <f t="shared" si="4"/>
        <v>3486383</v>
      </c>
      <c r="M10" s="811">
        <f t="shared" ref="M10:N10" si="5">+M25+M35+M46+M58+M71+M83</f>
        <v>26667685</v>
      </c>
      <c r="N10" s="811">
        <f t="shared" si="5"/>
        <v>13820695</v>
      </c>
      <c r="O10" s="811">
        <f t="shared" si="4"/>
        <v>20975841</v>
      </c>
      <c r="P10" s="811">
        <f t="shared" ref="P10:T10" si="6">+P25+P35+P46+P58+P71+P83</f>
        <v>2280000</v>
      </c>
      <c r="Q10" s="811">
        <f t="shared" si="6"/>
        <v>0</v>
      </c>
      <c r="R10" s="811">
        <f t="shared" si="6"/>
        <v>0</v>
      </c>
      <c r="S10" s="811">
        <f t="shared" si="6"/>
        <v>0</v>
      </c>
      <c r="T10" s="811">
        <f t="shared" si="6"/>
        <v>0</v>
      </c>
      <c r="U10" s="811">
        <f t="shared" ref="U10:W10" si="7">+U25+U35+U46+U58+U71+U83</f>
        <v>0</v>
      </c>
      <c r="V10" s="811">
        <f t="shared" si="7"/>
        <v>0</v>
      </c>
      <c r="W10" s="811">
        <f t="shared" si="7"/>
        <v>0</v>
      </c>
      <c r="X10" s="678">
        <f>+X25+X35+X46+X58+X71+X83</f>
        <v>2280000</v>
      </c>
      <c r="Y10" s="1810"/>
      <c r="Z10" s="1311"/>
      <c r="AA10" s="1311"/>
      <c r="AB10" s="1311"/>
      <c r="AC10" s="1311"/>
      <c r="AD10" s="1311"/>
      <c r="AE10" s="1311"/>
      <c r="AF10" s="1311"/>
      <c r="AG10" s="1311"/>
      <c r="AH10" s="1311"/>
      <c r="AI10" s="1311"/>
      <c r="AJ10" s="1311"/>
      <c r="AK10" s="1311"/>
      <c r="AL10" s="1311"/>
      <c r="AM10" s="1311"/>
      <c r="AN10" s="1311"/>
      <c r="AO10" s="1311"/>
      <c r="AP10" s="1311"/>
      <c r="AQ10" s="1311"/>
      <c r="AR10" s="1311"/>
      <c r="AS10" s="1311"/>
      <c r="AT10" s="1311"/>
      <c r="AU10" s="1311"/>
      <c r="AV10" s="1311"/>
      <c r="AW10" s="1311"/>
      <c r="AX10" s="1311"/>
      <c r="AY10" s="1311"/>
      <c r="AZ10" s="1311"/>
      <c r="BA10" s="1311"/>
      <c r="BB10" s="1311"/>
      <c r="BC10" s="1311"/>
      <c r="BD10" s="1311"/>
      <c r="BE10" s="1311"/>
      <c r="BF10" s="1311"/>
      <c r="BG10" s="1311"/>
      <c r="BH10" s="1311"/>
      <c r="BI10" s="1311"/>
      <c r="BJ10" s="1311"/>
      <c r="BK10" s="1311"/>
      <c r="BL10" s="1311"/>
      <c r="BM10" s="1311"/>
      <c r="BN10" s="1311"/>
      <c r="BO10" s="1311"/>
      <c r="BP10" s="1311"/>
      <c r="BQ10" s="1311"/>
      <c r="BR10" s="1311"/>
      <c r="BS10" s="1311"/>
      <c r="BT10" s="1311"/>
      <c r="BU10" s="1311"/>
      <c r="BV10" s="1311"/>
      <c r="BW10" s="1311"/>
      <c r="BX10" s="1311"/>
      <c r="BY10" s="1311"/>
      <c r="BZ10" s="1311"/>
      <c r="CA10" s="1311"/>
      <c r="CB10" s="1311"/>
      <c r="CC10" s="1311"/>
      <c r="CD10" s="1311"/>
      <c r="CE10" s="1311"/>
      <c r="CF10" s="1311"/>
      <c r="CG10" s="1311"/>
      <c r="CH10" s="1311"/>
      <c r="CI10" s="1311"/>
    </row>
    <row r="11" spans="1:87" s="1895" customFormat="1" ht="16.5" customHeight="1">
      <c r="A11" s="1807"/>
      <c r="B11" s="1815" t="s">
        <v>22</v>
      </c>
      <c r="C11" s="1815"/>
      <c r="D11" s="1516">
        <f>+D12+D15</f>
        <v>139370718</v>
      </c>
      <c r="E11" s="1516">
        <f>+E12+E15</f>
        <v>843563</v>
      </c>
      <c r="F11" s="1516">
        <f t="shared" ref="F11:O11" si="8">+F12+F15</f>
        <v>0</v>
      </c>
      <c r="G11" s="1516">
        <f t="shared" si="8"/>
        <v>0</v>
      </c>
      <c r="H11" s="1516">
        <f t="shared" si="8"/>
        <v>0</v>
      </c>
      <c r="I11" s="1516">
        <f t="shared" si="8"/>
        <v>1517797</v>
      </c>
      <c r="J11" s="1516">
        <f t="shared" si="8"/>
        <v>2354759</v>
      </c>
      <c r="K11" s="1516">
        <f t="shared" si="8"/>
        <v>10944932</v>
      </c>
      <c r="L11" s="1516">
        <f t="shared" si="8"/>
        <v>9305069</v>
      </c>
      <c r="M11" s="1516">
        <f t="shared" ref="M11:N11" si="9">+M12+M15</f>
        <v>46680114</v>
      </c>
      <c r="N11" s="1516">
        <f t="shared" si="9"/>
        <v>21654081</v>
      </c>
      <c r="O11" s="1516">
        <f t="shared" si="8"/>
        <v>85760452</v>
      </c>
      <c r="P11" s="1516">
        <f t="shared" ref="P11:T11" si="10">+P12+P15</f>
        <v>6930152</v>
      </c>
      <c r="Q11" s="1516">
        <f t="shared" si="10"/>
        <v>0</v>
      </c>
      <c r="R11" s="1516">
        <f t="shared" si="10"/>
        <v>0</v>
      </c>
      <c r="S11" s="1516">
        <f t="shared" si="10"/>
        <v>0</v>
      </c>
      <c r="T11" s="1516">
        <f t="shared" si="10"/>
        <v>0</v>
      </c>
      <c r="U11" s="1516">
        <f t="shared" ref="U11:W11" si="11">+U12+U15</f>
        <v>0</v>
      </c>
      <c r="V11" s="1516">
        <f t="shared" si="11"/>
        <v>0</v>
      </c>
      <c r="W11" s="1516">
        <f t="shared" si="11"/>
        <v>0</v>
      </c>
      <c r="X11" s="1444">
        <f>+X12</f>
        <v>2280000</v>
      </c>
      <c r="Y11" s="3327"/>
      <c r="Z11" s="1311"/>
      <c r="AA11" s="710"/>
      <c r="AB11" s="710">
        <f>+D23+D32+D44+D56+D68+D80</f>
        <v>139370718</v>
      </c>
      <c r="AC11" s="1311"/>
      <c r="AD11" s="1311"/>
      <c r="AE11" s="1311"/>
      <c r="AF11" s="1311"/>
      <c r="AG11" s="1311"/>
      <c r="AH11" s="1311"/>
      <c r="AI11" s="1311"/>
      <c r="AJ11" s="1311"/>
      <c r="AK11" s="1311"/>
      <c r="AL11" s="1311"/>
      <c r="AM11" s="1311"/>
      <c r="AN11" s="1311"/>
      <c r="AO11" s="1311"/>
      <c r="AP11" s="1311"/>
      <c r="AQ11" s="1311"/>
      <c r="AR11" s="1311"/>
      <c r="AS11" s="1311"/>
      <c r="AT11" s="1311"/>
      <c r="AU11" s="1311"/>
      <c r="AV11" s="1311"/>
      <c r="AW11" s="1311"/>
      <c r="AX11" s="1311"/>
      <c r="AY11" s="1311"/>
      <c r="AZ11" s="1311"/>
      <c r="BA11" s="1311"/>
      <c r="BB11" s="1311"/>
      <c r="BC11" s="1311"/>
      <c r="BD11" s="1311"/>
      <c r="BE11" s="1311"/>
      <c r="BF11" s="1311"/>
      <c r="BG11" s="1311"/>
      <c r="BH11" s="1311"/>
      <c r="BI11" s="1311"/>
      <c r="BJ11" s="1311"/>
      <c r="BK11" s="1311"/>
      <c r="BL11" s="1311"/>
      <c r="BM11" s="1311"/>
      <c r="BN11" s="1311"/>
      <c r="BO11" s="1311"/>
      <c r="BP11" s="1311"/>
      <c r="BQ11" s="1311"/>
      <c r="BR11" s="1311"/>
      <c r="BS11" s="1311"/>
      <c r="BT11" s="1311"/>
      <c r="BU11" s="1311"/>
      <c r="BV11" s="1311"/>
      <c r="BW11" s="1311"/>
      <c r="BX11" s="1311"/>
      <c r="BY11" s="1311"/>
      <c r="BZ11" s="1311"/>
      <c r="CA11" s="1311"/>
      <c r="CB11" s="1311"/>
      <c r="CC11" s="1311"/>
      <c r="CD11" s="1311"/>
      <c r="CE11" s="1311"/>
      <c r="CF11" s="1311"/>
      <c r="CG11" s="1311"/>
      <c r="CH11" s="1311"/>
      <c r="CI11" s="1311"/>
    </row>
    <row r="12" spans="1:87" s="1895" customFormat="1" ht="14.1" customHeight="1">
      <c r="A12" s="1807"/>
      <c r="B12" s="1816" t="s">
        <v>23</v>
      </c>
      <c r="C12" s="3329" t="s">
        <v>77</v>
      </c>
      <c r="D12" s="1817">
        <f>+D13+D14</f>
        <v>51157141</v>
      </c>
      <c r="E12" s="1817">
        <f t="shared" ref="E12:O12" si="12">+E13+E14</f>
        <v>843563</v>
      </c>
      <c r="F12" s="1817">
        <f t="shared" si="12"/>
        <v>0</v>
      </c>
      <c r="G12" s="1817">
        <f t="shared" si="12"/>
        <v>0</v>
      </c>
      <c r="H12" s="1817">
        <f t="shared" si="12"/>
        <v>0</v>
      </c>
      <c r="I12" s="1817">
        <f t="shared" si="12"/>
        <v>1517797</v>
      </c>
      <c r="J12" s="1817">
        <f t="shared" si="12"/>
        <v>2323137</v>
      </c>
      <c r="K12" s="1817">
        <f t="shared" si="12"/>
        <v>4984786</v>
      </c>
      <c r="L12" s="1817">
        <f t="shared" si="12"/>
        <v>3566415</v>
      </c>
      <c r="M12" s="1817">
        <f t="shared" ref="M12:N12" si="13">+M13+M14</f>
        <v>27669024</v>
      </c>
      <c r="N12" s="1817">
        <f t="shared" si="13"/>
        <v>14373413</v>
      </c>
      <c r="O12" s="1817">
        <f t="shared" si="12"/>
        <v>21146222</v>
      </c>
      <c r="P12" s="1817">
        <f t="shared" ref="P12:T12" si="14">+P13+P14</f>
        <v>2341895</v>
      </c>
      <c r="Q12" s="1817">
        <f t="shared" si="14"/>
        <v>0</v>
      </c>
      <c r="R12" s="1817">
        <f t="shared" si="14"/>
        <v>0</v>
      </c>
      <c r="S12" s="1817">
        <f t="shared" si="14"/>
        <v>0</v>
      </c>
      <c r="T12" s="1817">
        <f t="shared" si="14"/>
        <v>0</v>
      </c>
      <c r="U12" s="1817">
        <f t="shared" ref="U12:W12" si="15">+U13+U14</f>
        <v>0</v>
      </c>
      <c r="V12" s="1817">
        <f t="shared" si="15"/>
        <v>0</v>
      </c>
      <c r="W12" s="1817">
        <f t="shared" si="15"/>
        <v>0</v>
      </c>
      <c r="X12" s="1818">
        <f>+X14</f>
        <v>2280000</v>
      </c>
      <c r="Y12" s="3327"/>
      <c r="Z12" s="1311"/>
      <c r="AA12" s="710">
        <f t="shared" ref="AA12:AA17" si="16">+P12+O12+N12+L12+K12+J12+I12+E12</f>
        <v>51097228</v>
      </c>
      <c r="AB12" s="710">
        <f>+AB11-D11</f>
        <v>0</v>
      </c>
      <c r="AC12" s="1311"/>
      <c r="AD12" s="1311"/>
      <c r="AE12" s="1311"/>
      <c r="AF12" s="1311"/>
      <c r="AG12" s="1311"/>
      <c r="AH12" s="1311"/>
      <c r="AI12" s="1311"/>
      <c r="AJ12" s="1311"/>
      <c r="AK12" s="1311"/>
      <c r="AL12" s="1311"/>
      <c r="AM12" s="1311"/>
      <c r="AN12" s="1311"/>
      <c r="AO12" s="1311"/>
      <c r="AP12" s="1311"/>
      <c r="AQ12" s="1311"/>
      <c r="AR12" s="1311"/>
      <c r="AS12" s="1311"/>
      <c r="AT12" s="1311"/>
      <c r="AU12" s="1311"/>
      <c r="AV12" s="1311"/>
      <c r="AW12" s="1311"/>
      <c r="AX12" s="1311"/>
      <c r="AY12" s="1311"/>
      <c r="AZ12" s="1311"/>
      <c r="BA12" s="1311"/>
      <c r="BB12" s="1311"/>
      <c r="BC12" s="1311"/>
      <c r="BD12" s="1311"/>
      <c r="BE12" s="1311"/>
      <c r="BF12" s="1311"/>
      <c r="BG12" s="1311"/>
      <c r="BH12" s="1311"/>
      <c r="BI12" s="1311"/>
      <c r="BJ12" s="1311"/>
      <c r="BK12" s="1311"/>
      <c r="BL12" s="1311"/>
      <c r="BM12" s="1311"/>
      <c r="BN12" s="1311"/>
      <c r="BO12" s="1311"/>
      <c r="BP12" s="1311"/>
      <c r="BQ12" s="1311"/>
      <c r="BR12" s="1311"/>
      <c r="BS12" s="1311"/>
      <c r="BT12" s="1311"/>
      <c r="BU12" s="1311"/>
      <c r="BV12" s="1311"/>
      <c r="BW12" s="1311"/>
      <c r="BX12" s="1311"/>
      <c r="BY12" s="1311"/>
      <c r="BZ12" s="1311"/>
      <c r="CA12" s="1311"/>
      <c r="CB12" s="1311"/>
      <c r="CC12" s="1311"/>
      <c r="CD12" s="1311"/>
      <c r="CE12" s="1311"/>
      <c r="CF12" s="1311"/>
      <c r="CG12" s="1311"/>
      <c r="CH12" s="1311"/>
      <c r="CI12" s="1311"/>
    </row>
    <row r="13" spans="1:87" s="1895" customFormat="1" ht="12">
      <c r="A13" s="1807"/>
      <c r="B13" s="1819" t="s">
        <v>45</v>
      </c>
      <c r="C13" s="3329"/>
      <c r="D13" s="1820">
        <f>+D70+D34+D47+D59+D82</f>
        <v>1233615</v>
      </c>
      <c r="E13" s="1820">
        <f t="shared" ref="E13:O13" si="17">+E70+E34+E47+E59+E82</f>
        <v>27616</v>
      </c>
      <c r="F13" s="1820">
        <f t="shared" si="17"/>
        <v>0</v>
      </c>
      <c r="G13" s="1820">
        <f t="shared" si="17"/>
        <v>0</v>
      </c>
      <c r="H13" s="1820">
        <f t="shared" si="17"/>
        <v>0</v>
      </c>
      <c r="I13" s="1820">
        <f t="shared" si="17"/>
        <v>211482</v>
      </c>
      <c r="J13" s="1820">
        <f t="shared" si="17"/>
        <v>65190</v>
      </c>
      <c r="K13" s="1820">
        <f t="shared" si="17"/>
        <v>4388</v>
      </c>
      <c r="L13" s="1820">
        <f t="shared" si="17"/>
        <v>80032</v>
      </c>
      <c r="M13" s="1820">
        <f t="shared" si="17"/>
        <v>1001339</v>
      </c>
      <c r="N13" s="1820">
        <f t="shared" si="17"/>
        <v>552718</v>
      </c>
      <c r="O13" s="1820">
        <f t="shared" si="17"/>
        <v>170381</v>
      </c>
      <c r="P13" s="1820">
        <f t="shared" ref="P13:T13" si="18">+P70+P34+P47+P59</f>
        <v>61895</v>
      </c>
      <c r="Q13" s="1820">
        <f t="shared" si="18"/>
        <v>0</v>
      </c>
      <c r="R13" s="1820">
        <f t="shared" si="18"/>
        <v>0</v>
      </c>
      <c r="S13" s="1820">
        <f t="shared" si="18"/>
        <v>0</v>
      </c>
      <c r="T13" s="1820">
        <f t="shared" si="18"/>
        <v>0</v>
      </c>
      <c r="U13" s="1820">
        <f t="shared" ref="U13:W13" si="19">+U70+U34+U47+U59</f>
        <v>0</v>
      </c>
      <c r="V13" s="1820">
        <f t="shared" si="19"/>
        <v>0</v>
      </c>
      <c r="W13" s="1820">
        <f t="shared" si="19"/>
        <v>0</v>
      </c>
      <c r="X13" s="1821" t="s">
        <v>77</v>
      </c>
      <c r="Y13" s="3327"/>
      <c r="Z13" s="1311"/>
      <c r="AA13" s="710">
        <f t="shared" si="16"/>
        <v>1173702</v>
      </c>
      <c r="AB13" s="1311"/>
      <c r="AC13" s="1311"/>
      <c r="AD13" s="1311"/>
      <c r="AE13" s="1311"/>
      <c r="AF13" s="1311"/>
      <c r="AG13" s="1311"/>
      <c r="AH13" s="1311"/>
      <c r="AI13" s="1311"/>
      <c r="AJ13" s="1311"/>
      <c r="AK13" s="1311"/>
      <c r="AL13" s="1311"/>
      <c r="AM13" s="1311"/>
      <c r="AN13" s="1311"/>
      <c r="AO13" s="1311"/>
      <c r="AP13" s="1311"/>
      <c r="AQ13" s="1311"/>
      <c r="AR13" s="1311"/>
      <c r="AS13" s="1311"/>
      <c r="AT13" s="1311"/>
      <c r="AU13" s="1311"/>
      <c r="AV13" s="1311"/>
      <c r="AW13" s="1311"/>
      <c r="AX13" s="1311"/>
      <c r="AY13" s="1311"/>
      <c r="AZ13" s="1311"/>
      <c r="BA13" s="1311"/>
      <c r="BB13" s="1311"/>
      <c r="BC13" s="1311"/>
      <c r="BD13" s="1311"/>
      <c r="BE13" s="1311"/>
      <c r="BF13" s="1311"/>
      <c r="BG13" s="1311"/>
      <c r="BH13" s="1311"/>
      <c r="BI13" s="1311"/>
      <c r="BJ13" s="1311"/>
      <c r="BK13" s="1311"/>
      <c r="BL13" s="1311"/>
      <c r="BM13" s="1311"/>
      <c r="BN13" s="1311"/>
      <c r="BO13" s="1311"/>
      <c r="BP13" s="1311"/>
      <c r="BQ13" s="1311"/>
      <c r="BR13" s="1311"/>
      <c r="BS13" s="1311"/>
      <c r="BT13" s="1311"/>
      <c r="BU13" s="1311"/>
      <c r="BV13" s="1311"/>
      <c r="BW13" s="1311"/>
      <c r="BX13" s="1311"/>
      <c r="BY13" s="1311"/>
      <c r="BZ13" s="1311"/>
      <c r="CA13" s="1311"/>
      <c r="CB13" s="1311"/>
      <c r="CC13" s="1311"/>
      <c r="CD13" s="1311"/>
      <c r="CE13" s="1311"/>
      <c r="CF13" s="1311"/>
      <c r="CG13" s="1311"/>
      <c r="CH13" s="1311"/>
      <c r="CI13" s="1311"/>
    </row>
    <row r="14" spans="1:87" s="1895" customFormat="1" ht="12">
      <c r="A14" s="1807"/>
      <c r="B14" s="1819" t="s">
        <v>201</v>
      </c>
      <c r="C14" s="3329"/>
      <c r="D14" s="1822">
        <f>+D25+D35+D46+D58+D83+D71</f>
        <v>49923526</v>
      </c>
      <c r="E14" s="1822">
        <f>+E25+E35+E46+E58+E83+E71</f>
        <v>815947</v>
      </c>
      <c r="F14" s="1822">
        <f>+F25+F35+F46+F58+F83+F71</f>
        <v>0</v>
      </c>
      <c r="G14" s="1822">
        <f>+G25+G35+G46+G58+G83+G71</f>
        <v>0</v>
      </c>
      <c r="H14" s="1822">
        <f>+H25+H35+H46+H58+H83+H71</f>
        <v>0</v>
      </c>
      <c r="I14" s="1822">
        <f t="shared" ref="I14:O14" si="20">+I25+I35+I46+I58+I83+I71</f>
        <v>1306315</v>
      </c>
      <c r="J14" s="1822">
        <f t="shared" si="20"/>
        <v>2257947</v>
      </c>
      <c r="K14" s="1822">
        <f t="shared" si="20"/>
        <v>4980398</v>
      </c>
      <c r="L14" s="1822">
        <f t="shared" si="20"/>
        <v>3486383</v>
      </c>
      <c r="M14" s="1822">
        <f t="shared" ref="M14:N14" si="21">+M25+M35+M46+M58+M83+M71</f>
        <v>26667685</v>
      </c>
      <c r="N14" s="1822">
        <f t="shared" si="21"/>
        <v>13820695</v>
      </c>
      <c r="O14" s="1822">
        <f t="shared" si="20"/>
        <v>20975841</v>
      </c>
      <c r="P14" s="1822">
        <f t="shared" ref="P14:T14" si="22">+P25+P35+P46+P58+P83+P71</f>
        <v>2280000</v>
      </c>
      <c r="Q14" s="1822">
        <f t="shared" si="22"/>
        <v>0</v>
      </c>
      <c r="R14" s="1822">
        <f t="shared" si="22"/>
        <v>0</v>
      </c>
      <c r="S14" s="1822">
        <f t="shared" si="22"/>
        <v>0</v>
      </c>
      <c r="T14" s="1822">
        <f t="shared" si="22"/>
        <v>0</v>
      </c>
      <c r="U14" s="1822">
        <f t="shared" ref="U14:W14" si="23">+U25+U35+U46+U58+U83+U71</f>
        <v>0</v>
      </c>
      <c r="V14" s="1822">
        <f t="shared" si="23"/>
        <v>0</v>
      </c>
      <c r="W14" s="1822">
        <f t="shared" si="23"/>
        <v>0</v>
      </c>
      <c r="X14" s="1823">
        <f>SUM(P14:T14)</f>
        <v>2280000</v>
      </c>
      <c r="Y14" s="3327"/>
      <c r="Z14" s="1311"/>
      <c r="AA14" s="710">
        <f t="shared" si="16"/>
        <v>49923526</v>
      </c>
      <c r="AB14" s="710"/>
      <c r="AC14" s="1311"/>
      <c r="AD14" s="1311"/>
      <c r="AE14" s="1311"/>
      <c r="AF14" s="1311"/>
      <c r="AG14" s="1311"/>
      <c r="AH14" s="1311"/>
      <c r="AI14" s="1311"/>
      <c r="AJ14" s="1311"/>
      <c r="AK14" s="1311"/>
      <c r="AL14" s="1311"/>
      <c r="AM14" s="1311"/>
      <c r="AN14" s="1311"/>
      <c r="AO14" s="1311"/>
      <c r="AP14" s="1311"/>
      <c r="AQ14" s="1311"/>
      <c r="AR14" s="1311"/>
      <c r="AS14" s="1311"/>
      <c r="AT14" s="1311"/>
      <c r="AU14" s="1311"/>
      <c r="AV14" s="1311"/>
      <c r="AW14" s="1311"/>
      <c r="AX14" s="1311"/>
      <c r="AY14" s="1311"/>
      <c r="AZ14" s="1311"/>
      <c r="BA14" s="1311"/>
      <c r="BB14" s="1311"/>
      <c r="BC14" s="1311"/>
      <c r="BD14" s="1311"/>
      <c r="BE14" s="1311"/>
      <c r="BF14" s="1311"/>
      <c r="BG14" s="1311"/>
      <c r="BH14" s="1311"/>
      <c r="BI14" s="1311"/>
      <c r="BJ14" s="1311"/>
      <c r="BK14" s="1311"/>
      <c r="BL14" s="1311"/>
      <c r="BM14" s="1311"/>
      <c r="BN14" s="1311"/>
      <c r="BO14" s="1311"/>
      <c r="BP14" s="1311"/>
      <c r="BQ14" s="1311"/>
      <c r="BR14" s="1311"/>
      <c r="BS14" s="1311"/>
      <c r="BT14" s="1311"/>
      <c r="BU14" s="1311"/>
      <c r="BV14" s="1311"/>
      <c r="BW14" s="1311"/>
      <c r="BX14" s="1311"/>
      <c r="BY14" s="1311"/>
      <c r="BZ14" s="1311"/>
      <c r="CA14" s="1311"/>
      <c r="CB14" s="1311"/>
      <c r="CC14" s="1311"/>
      <c r="CD14" s="1311"/>
      <c r="CE14" s="1311"/>
      <c r="CF14" s="1311"/>
      <c r="CG14" s="1311"/>
      <c r="CH14" s="1311"/>
      <c r="CI14" s="1311"/>
    </row>
    <row r="15" spans="1:87" s="1895" customFormat="1" ht="12">
      <c r="A15" s="1807"/>
      <c r="B15" s="1816" t="s">
        <v>30</v>
      </c>
      <c r="C15" s="3329"/>
      <c r="D15" s="1817">
        <f>+D16</f>
        <v>88213577</v>
      </c>
      <c r="E15" s="1817">
        <f>+E16</f>
        <v>0</v>
      </c>
      <c r="F15" s="1817">
        <f>F26+F36+F48+F84+F72</f>
        <v>0</v>
      </c>
      <c r="G15" s="1817">
        <f>G26+G36+G48+G84+G72</f>
        <v>0</v>
      </c>
      <c r="H15" s="1817">
        <f>H26+H36+H48+H84+H72</f>
        <v>0</v>
      </c>
      <c r="I15" s="1817">
        <f t="shared" ref="I15:W15" si="24">+I16</f>
        <v>0</v>
      </c>
      <c r="J15" s="1817">
        <f t="shared" si="24"/>
        <v>31622</v>
      </c>
      <c r="K15" s="1817">
        <f t="shared" si="24"/>
        <v>5960146</v>
      </c>
      <c r="L15" s="1817">
        <f t="shared" si="24"/>
        <v>5738654</v>
      </c>
      <c r="M15" s="1817">
        <f t="shared" si="24"/>
        <v>19011090</v>
      </c>
      <c r="N15" s="1817">
        <f t="shared" si="24"/>
        <v>7280668</v>
      </c>
      <c r="O15" s="1817">
        <f t="shared" si="24"/>
        <v>64614230</v>
      </c>
      <c r="P15" s="1817">
        <f t="shared" si="24"/>
        <v>4588257</v>
      </c>
      <c r="Q15" s="1817">
        <f t="shared" si="24"/>
        <v>0</v>
      </c>
      <c r="R15" s="1817">
        <f t="shared" si="24"/>
        <v>0</v>
      </c>
      <c r="S15" s="1817">
        <f t="shared" si="24"/>
        <v>0</v>
      </c>
      <c r="T15" s="1817">
        <f t="shared" si="24"/>
        <v>0</v>
      </c>
      <c r="U15" s="1817">
        <f t="shared" si="24"/>
        <v>0</v>
      </c>
      <c r="V15" s="1817">
        <f t="shared" si="24"/>
        <v>0</v>
      </c>
      <c r="W15" s="1817">
        <f t="shared" si="24"/>
        <v>0</v>
      </c>
      <c r="X15" s="1824" t="str">
        <f>+X16</f>
        <v>x</v>
      </c>
      <c r="Y15" s="3327"/>
      <c r="Z15" s="1311"/>
      <c r="AA15" s="710">
        <f t="shared" si="16"/>
        <v>88213577</v>
      </c>
      <c r="AB15" s="1311"/>
      <c r="AC15" s="1311"/>
      <c r="AD15" s="1311"/>
      <c r="AE15" s="1311"/>
      <c r="AF15" s="1311"/>
      <c r="AG15" s="1311"/>
      <c r="AH15" s="1311"/>
      <c r="AI15" s="1311"/>
      <c r="AJ15" s="1311"/>
      <c r="AK15" s="1311"/>
      <c r="AL15" s="1311"/>
      <c r="AM15" s="1311"/>
      <c r="AN15" s="1311"/>
      <c r="AO15" s="1311"/>
      <c r="AP15" s="1311"/>
      <c r="AQ15" s="1311"/>
      <c r="AR15" s="1311"/>
      <c r="AS15" s="1311"/>
      <c r="AT15" s="1311"/>
      <c r="AU15" s="1311"/>
      <c r="AV15" s="1311"/>
      <c r="AW15" s="1311"/>
      <c r="AX15" s="1311"/>
      <c r="AY15" s="1311"/>
      <c r="AZ15" s="1311"/>
      <c r="BA15" s="1311"/>
      <c r="BB15" s="1311"/>
      <c r="BC15" s="1311"/>
      <c r="BD15" s="1311"/>
      <c r="BE15" s="1311"/>
      <c r="BF15" s="1311"/>
      <c r="BG15" s="1311"/>
      <c r="BH15" s="1311"/>
      <c r="BI15" s="1311"/>
      <c r="BJ15" s="1311"/>
      <c r="BK15" s="1311"/>
      <c r="BL15" s="1311"/>
      <c r="BM15" s="1311"/>
      <c r="BN15" s="1311"/>
      <c r="BO15" s="1311"/>
      <c r="BP15" s="1311"/>
      <c r="BQ15" s="1311"/>
      <c r="BR15" s="1311"/>
      <c r="BS15" s="1311"/>
      <c r="BT15" s="1311"/>
      <c r="BU15" s="1311"/>
      <c r="BV15" s="1311"/>
      <c r="BW15" s="1311"/>
      <c r="BX15" s="1311"/>
      <c r="BY15" s="1311"/>
      <c r="BZ15" s="1311"/>
      <c r="CA15" s="1311"/>
      <c r="CB15" s="1311"/>
      <c r="CC15" s="1311"/>
      <c r="CD15" s="1311"/>
      <c r="CE15" s="1311"/>
      <c r="CF15" s="1311"/>
      <c r="CG15" s="1311"/>
      <c r="CH15" s="1311"/>
      <c r="CI15" s="1311"/>
    </row>
    <row r="16" spans="1:87" s="1895" customFormat="1" ht="12">
      <c r="A16" s="1807"/>
      <c r="B16" s="1825" t="s">
        <v>48</v>
      </c>
      <c r="C16" s="3329"/>
      <c r="D16" s="1822">
        <f t="shared" ref="D16:O16" si="25">D27+D37+D49+D73+D85+D61</f>
        <v>88213577</v>
      </c>
      <c r="E16" s="1822">
        <f t="shared" si="25"/>
        <v>0</v>
      </c>
      <c r="F16" s="1822">
        <f t="shared" si="25"/>
        <v>0</v>
      </c>
      <c r="G16" s="1822">
        <f t="shared" si="25"/>
        <v>0</v>
      </c>
      <c r="H16" s="1822">
        <f t="shared" si="25"/>
        <v>0</v>
      </c>
      <c r="I16" s="1822">
        <f t="shared" si="25"/>
        <v>0</v>
      </c>
      <c r="J16" s="1822">
        <f t="shared" si="25"/>
        <v>31622</v>
      </c>
      <c r="K16" s="1822">
        <f t="shared" si="25"/>
        <v>5960146</v>
      </c>
      <c r="L16" s="1822">
        <f t="shared" si="25"/>
        <v>5738654</v>
      </c>
      <c r="M16" s="1822">
        <f t="shared" ref="M16:N16" si="26">M27+M37+M49+M73+M85+M61</f>
        <v>19011090</v>
      </c>
      <c r="N16" s="1822">
        <f t="shared" si="26"/>
        <v>7280668</v>
      </c>
      <c r="O16" s="1822">
        <f t="shared" si="25"/>
        <v>64614230</v>
      </c>
      <c r="P16" s="1822">
        <f t="shared" ref="P16:T16" si="27">P27+P37+P49+P73+P85+P61</f>
        <v>4588257</v>
      </c>
      <c r="Q16" s="1822">
        <f t="shared" si="27"/>
        <v>0</v>
      </c>
      <c r="R16" s="1822">
        <f t="shared" si="27"/>
        <v>0</v>
      </c>
      <c r="S16" s="1822">
        <f t="shared" si="27"/>
        <v>0</v>
      </c>
      <c r="T16" s="1822">
        <f t="shared" si="27"/>
        <v>0</v>
      </c>
      <c r="U16" s="1822">
        <f t="shared" ref="U16:W16" si="28">U27+U37+U49+U73+U85+U61</f>
        <v>0</v>
      </c>
      <c r="V16" s="1822">
        <f t="shared" si="28"/>
        <v>0</v>
      </c>
      <c r="W16" s="1822">
        <f t="shared" si="28"/>
        <v>0</v>
      </c>
      <c r="X16" s="1826" t="s">
        <v>77</v>
      </c>
      <c r="Y16" s="3327"/>
      <c r="Z16" s="1311"/>
      <c r="AA16" s="710">
        <f t="shared" si="16"/>
        <v>88213577</v>
      </c>
      <c r="AB16" s="1311"/>
      <c r="AC16" s="1311"/>
      <c r="AD16" s="1311"/>
      <c r="AE16" s="1311"/>
      <c r="AF16" s="1311"/>
      <c r="AG16" s="1311"/>
      <c r="AH16" s="1311"/>
      <c r="AI16" s="1311"/>
      <c r="AJ16" s="1311"/>
      <c r="AK16" s="1311"/>
      <c r="AL16" s="1311"/>
      <c r="AM16" s="1311"/>
      <c r="AN16" s="1311"/>
      <c r="AO16" s="1311"/>
      <c r="AP16" s="1311"/>
      <c r="AQ16" s="1311"/>
      <c r="AR16" s="1311"/>
      <c r="AS16" s="1311"/>
      <c r="AT16" s="1311"/>
      <c r="AU16" s="1311"/>
      <c r="AV16" s="1311"/>
      <c r="AW16" s="1311"/>
      <c r="AX16" s="1311"/>
      <c r="AY16" s="1311"/>
      <c r="AZ16" s="1311"/>
      <c r="BA16" s="1311"/>
      <c r="BB16" s="1311"/>
      <c r="BC16" s="1311"/>
      <c r="BD16" s="1311"/>
      <c r="BE16" s="1311"/>
      <c r="BF16" s="1311"/>
      <c r="BG16" s="1311"/>
      <c r="BH16" s="1311"/>
      <c r="BI16" s="1311"/>
      <c r="BJ16" s="1311"/>
      <c r="BK16" s="1311"/>
      <c r="BL16" s="1311"/>
      <c r="BM16" s="1311"/>
      <c r="BN16" s="1311"/>
      <c r="BO16" s="1311"/>
      <c r="BP16" s="1311"/>
      <c r="BQ16" s="1311"/>
      <c r="BR16" s="1311"/>
      <c r="BS16" s="1311"/>
      <c r="BT16" s="1311"/>
      <c r="BU16" s="1311"/>
      <c r="BV16" s="1311"/>
      <c r="BW16" s="1311"/>
      <c r="BX16" s="1311"/>
      <c r="BY16" s="1311"/>
      <c r="BZ16" s="1311"/>
      <c r="CA16" s="1311"/>
      <c r="CB16" s="1311"/>
      <c r="CC16" s="1311"/>
      <c r="CD16" s="1311"/>
      <c r="CE16" s="1311"/>
      <c r="CF16" s="1311"/>
      <c r="CG16" s="1311"/>
      <c r="CH16" s="1311"/>
      <c r="CI16" s="1311"/>
    </row>
    <row r="17" spans="1:87" s="1895" customFormat="1" ht="12.75" customHeight="1">
      <c r="A17" s="1807"/>
      <c r="B17" s="1827" t="s">
        <v>34</v>
      </c>
      <c r="C17" s="1827"/>
      <c r="D17" s="1382">
        <f>+D18+D20</f>
        <v>112856120</v>
      </c>
      <c r="E17" s="1382">
        <f t="shared" ref="E17:O17" si="29">+E18+E20</f>
        <v>0</v>
      </c>
      <c r="F17" s="1382">
        <f t="shared" si="29"/>
        <v>0</v>
      </c>
      <c r="G17" s="1382">
        <f t="shared" si="29"/>
        <v>0</v>
      </c>
      <c r="H17" s="1382">
        <f t="shared" si="29"/>
        <v>0</v>
      </c>
      <c r="I17" s="1382">
        <f t="shared" si="29"/>
        <v>101937</v>
      </c>
      <c r="J17" s="1382">
        <f t="shared" si="29"/>
        <v>224050</v>
      </c>
      <c r="K17" s="1382">
        <f t="shared" si="29"/>
        <v>9089349</v>
      </c>
      <c r="L17" s="1382">
        <f t="shared" si="29"/>
        <v>6491996</v>
      </c>
      <c r="M17" s="1382">
        <f t="shared" ref="M17:N17" si="30">+M18+M20</f>
        <v>25615317</v>
      </c>
      <c r="N17" s="1382">
        <f t="shared" si="30"/>
        <v>9707985</v>
      </c>
      <c r="O17" s="1382">
        <f t="shared" si="29"/>
        <v>73045440</v>
      </c>
      <c r="P17" s="1382">
        <f t="shared" ref="P17:T17" si="31">+P18+P20</f>
        <v>14195363</v>
      </c>
      <c r="Q17" s="1382">
        <f t="shared" si="31"/>
        <v>0</v>
      </c>
      <c r="R17" s="1382">
        <f t="shared" si="31"/>
        <v>0</v>
      </c>
      <c r="S17" s="1382">
        <f t="shared" si="31"/>
        <v>0</v>
      </c>
      <c r="T17" s="1382">
        <f t="shared" si="31"/>
        <v>0</v>
      </c>
      <c r="U17" s="1382">
        <f t="shared" ref="U17:W17" si="32">+U18+U20</f>
        <v>0</v>
      </c>
      <c r="V17" s="1382">
        <f t="shared" si="32"/>
        <v>0</v>
      </c>
      <c r="W17" s="1382">
        <f t="shared" si="32"/>
        <v>0</v>
      </c>
      <c r="X17" s="3336" t="s">
        <v>77</v>
      </c>
      <c r="Y17" s="3327"/>
      <c r="Z17" s="1311"/>
      <c r="AA17" s="710">
        <f t="shared" si="16"/>
        <v>112856120</v>
      </c>
      <c r="AB17" s="1311"/>
      <c r="AC17" s="1311"/>
      <c r="AD17" s="1311"/>
      <c r="AE17" s="1311"/>
      <c r="AF17" s="1311"/>
      <c r="AG17" s="1311"/>
      <c r="AH17" s="1311"/>
      <c r="AI17" s="1311"/>
      <c r="AJ17" s="1311"/>
      <c r="AK17" s="1311"/>
      <c r="AL17" s="1311"/>
      <c r="AM17" s="1311"/>
      <c r="AN17" s="1311"/>
      <c r="AO17" s="1311"/>
      <c r="AP17" s="1311"/>
      <c r="AQ17" s="1311"/>
      <c r="AR17" s="1311"/>
      <c r="AS17" s="1311"/>
      <c r="AT17" s="1311"/>
      <c r="AU17" s="1311"/>
      <c r="AV17" s="1311"/>
      <c r="AW17" s="1311"/>
      <c r="AX17" s="1311"/>
      <c r="AY17" s="1311"/>
      <c r="AZ17" s="1311"/>
      <c r="BA17" s="1311"/>
      <c r="BB17" s="1311"/>
      <c r="BC17" s="1311"/>
      <c r="BD17" s="1311"/>
      <c r="BE17" s="1311"/>
      <c r="BF17" s="1311"/>
      <c r="BG17" s="1311"/>
      <c r="BH17" s="1311"/>
      <c r="BI17" s="1311"/>
      <c r="BJ17" s="1311"/>
      <c r="BK17" s="1311"/>
      <c r="BL17" s="1311"/>
      <c r="BM17" s="1311"/>
      <c r="BN17" s="1311"/>
      <c r="BO17" s="1311"/>
      <c r="BP17" s="1311"/>
      <c r="BQ17" s="1311"/>
      <c r="BR17" s="1311"/>
      <c r="BS17" s="1311"/>
      <c r="BT17" s="1311"/>
      <c r="BU17" s="1311"/>
      <c r="BV17" s="1311"/>
      <c r="BW17" s="1311"/>
      <c r="BX17" s="1311"/>
      <c r="BY17" s="1311"/>
      <c r="BZ17" s="1311"/>
      <c r="CA17" s="1311"/>
      <c r="CB17" s="1311"/>
      <c r="CC17" s="1311"/>
      <c r="CD17" s="1311"/>
      <c r="CE17" s="1311"/>
      <c r="CF17" s="1311"/>
      <c r="CG17" s="1311"/>
      <c r="CH17" s="1311"/>
      <c r="CI17" s="1311"/>
    </row>
    <row r="18" spans="1:87" s="1895" customFormat="1" ht="12">
      <c r="A18" s="1807"/>
      <c r="B18" s="1816" t="s">
        <v>36</v>
      </c>
      <c r="C18" s="3330" t="s">
        <v>77</v>
      </c>
      <c r="D18" s="1817">
        <f>+D19</f>
        <v>24642543</v>
      </c>
      <c r="E18" s="1817">
        <f>+E19</f>
        <v>0</v>
      </c>
      <c r="F18" s="1817">
        <f t="shared" ref="F18:H19" si="33">+F51+F87+F39+F63</f>
        <v>0</v>
      </c>
      <c r="G18" s="1817">
        <f t="shared" si="33"/>
        <v>0</v>
      </c>
      <c r="H18" s="1817">
        <f t="shared" si="33"/>
        <v>0</v>
      </c>
      <c r="I18" s="1817">
        <f t="shared" ref="I18:W18" si="34">+I19</f>
        <v>101937</v>
      </c>
      <c r="J18" s="1817">
        <f t="shared" si="34"/>
        <v>220330</v>
      </c>
      <c r="K18" s="1817">
        <f t="shared" si="34"/>
        <v>1292164</v>
      </c>
      <c r="L18" s="1817">
        <f t="shared" si="34"/>
        <v>1912264</v>
      </c>
      <c r="M18" s="1817">
        <f t="shared" si="34"/>
        <v>6780924</v>
      </c>
      <c r="N18" s="1817">
        <f t="shared" si="34"/>
        <v>3254229</v>
      </c>
      <c r="O18" s="1817">
        <f t="shared" si="34"/>
        <v>11956995</v>
      </c>
      <c r="P18" s="1817">
        <f t="shared" si="34"/>
        <v>5904624</v>
      </c>
      <c r="Q18" s="1817">
        <f t="shared" si="34"/>
        <v>0</v>
      </c>
      <c r="R18" s="1817">
        <f t="shared" si="34"/>
        <v>0</v>
      </c>
      <c r="S18" s="1817">
        <f t="shared" si="34"/>
        <v>0</v>
      </c>
      <c r="T18" s="1817">
        <f t="shared" si="34"/>
        <v>0</v>
      </c>
      <c r="U18" s="1817">
        <f t="shared" si="34"/>
        <v>0</v>
      </c>
      <c r="V18" s="1817">
        <f t="shared" si="34"/>
        <v>0</v>
      </c>
      <c r="W18" s="1817">
        <f t="shared" si="34"/>
        <v>0</v>
      </c>
      <c r="X18" s="3337"/>
      <c r="Y18" s="3327"/>
      <c r="Z18" s="1311"/>
      <c r="AA18" s="710"/>
      <c r="AB18" s="1311"/>
      <c r="AC18" s="1311"/>
      <c r="AD18" s="1311"/>
      <c r="AE18" s="1311"/>
      <c r="AF18" s="1311"/>
      <c r="AG18" s="1311"/>
      <c r="AH18" s="1311"/>
      <c r="AI18" s="1311"/>
      <c r="AJ18" s="1311"/>
      <c r="AK18" s="1311"/>
      <c r="AL18" s="1311"/>
      <c r="AM18" s="1311"/>
      <c r="AN18" s="1311"/>
      <c r="AO18" s="1311"/>
      <c r="AP18" s="1311"/>
      <c r="AQ18" s="1311"/>
      <c r="AR18" s="1311"/>
      <c r="AS18" s="1311"/>
      <c r="AT18" s="1311"/>
      <c r="AU18" s="1311"/>
      <c r="AV18" s="1311"/>
      <c r="AW18" s="1311"/>
      <c r="AX18" s="1311"/>
      <c r="AY18" s="1311"/>
      <c r="AZ18" s="1311"/>
      <c r="BA18" s="1311"/>
      <c r="BB18" s="1311"/>
      <c r="BC18" s="1311"/>
      <c r="BD18" s="1311"/>
      <c r="BE18" s="1311"/>
      <c r="BF18" s="1311"/>
      <c r="BG18" s="1311"/>
      <c r="BH18" s="1311"/>
      <c r="BI18" s="1311"/>
      <c r="BJ18" s="1311"/>
      <c r="BK18" s="1311"/>
      <c r="BL18" s="1311"/>
      <c r="BM18" s="1311"/>
      <c r="BN18" s="1311"/>
      <c r="BO18" s="1311"/>
      <c r="BP18" s="1311"/>
      <c r="BQ18" s="1311"/>
      <c r="BR18" s="1311"/>
      <c r="BS18" s="1311"/>
      <c r="BT18" s="1311"/>
      <c r="BU18" s="1311"/>
      <c r="BV18" s="1311"/>
      <c r="BW18" s="1311"/>
      <c r="BX18" s="1311"/>
      <c r="BY18" s="1311"/>
      <c r="BZ18" s="1311"/>
      <c r="CA18" s="1311"/>
      <c r="CB18" s="1311"/>
      <c r="CC18" s="1311"/>
      <c r="CD18" s="1311"/>
      <c r="CE18" s="1311"/>
      <c r="CF18" s="1311"/>
      <c r="CG18" s="1311"/>
      <c r="CH18" s="1311"/>
      <c r="CI18" s="1311"/>
    </row>
    <row r="19" spans="1:87" s="1895" customFormat="1" ht="12">
      <c r="A19" s="1807"/>
      <c r="B19" s="1825" t="s">
        <v>174</v>
      </c>
      <c r="C19" s="3331"/>
      <c r="D19" s="1822">
        <f>+D52+D88+D40+D64+D76</f>
        <v>24642543</v>
      </c>
      <c r="E19" s="1822">
        <f>+E52+E88+E40+E64+E76</f>
        <v>0</v>
      </c>
      <c r="F19" s="1822">
        <f t="shared" si="33"/>
        <v>0</v>
      </c>
      <c r="G19" s="1822">
        <f t="shared" si="33"/>
        <v>0</v>
      </c>
      <c r="H19" s="1822">
        <f t="shared" si="33"/>
        <v>0</v>
      </c>
      <c r="I19" s="1822">
        <f t="shared" ref="I19:O19" si="35">+I52+I88+I40+I64+I76</f>
        <v>101937</v>
      </c>
      <c r="J19" s="1822">
        <f t="shared" si="35"/>
        <v>220330</v>
      </c>
      <c r="K19" s="1822">
        <f t="shared" si="35"/>
        <v>1292164</v>
      </c>
      <c r="L19" s="1822">
        <f t="shared" si="35"/>
        <v>1912264</v>
      </c>
      <c r="M19" s="1822">
        <f t="shared" ref="M19:N19" si="36">+M52+M88+M40+M64+M76</f>
        <v>6780924</v>
      </c>
      <c r="N19" s="1822">
        <f t="shared" si="36"/>
        <v>3254229</v>
      </c>
      <c r="O19" s="1822">
        <f t="shared" si="35"/>
        <v>11956995</v>
      </c>
      <c r="P19" s="1822">
        <f t="shared" ref="P19:T19" si="37">+P52+P88+P40+P64+P76</f>
        <v>5904624</v>
      </c>
      <c r="Q19" s="1822">
        <f t="shared" si="37"/>
        <v>0</v>
      </c>
      <c r="R19" s="1822">
        <f t="shared" si="37"/>
        <v>0</v>
      </c>
      <c r="S19" s="1822">
        <f t="shared" si="37"/>
        <v>0</v>
      </c>
      <c r="T19" s="1822">
        <f t="shared" si="37"/>
        <v>0</v>
      </c>
      <c r="U19" s="1822">
        <f t="shared" ref="U19:W19" si="38">+U52+U88+U40+U64+U76</f>
        <v>0</v>
      </c>
      <c r="V19" s="1822">
        <f t="shared" si="38"/>
        <v>0</v>
      </c>
      <c r="W19" s="1822">
        <f t="shared" si="38"/>
        <v>0</v>
      </c>
      <c r="X19" s="3337"/>
      <c r="Y19" s="3327"/>
      <c r="Z19" s="1311"/>
      <c r="AA19" s="710"/>
      <c r="AB19" s="1311"/>
      <c r="AC19" s="1311"/>
      <c r="AD19" s="1311"/>
      <c r="AE19" s="1311"/>
      <c r="AF19" s="1311"/>
      <c r="AG19" s="1311"/>
      <c r="AH19" s="1311"/>
      <c r="AI19" s="1311"/>
      <c r="AJ19" s="1311"/>
      <c r="AK19" s="1311"/>
      <c r="AL19" s="1311"/>
      <c r="AM19" s="1311"/>
      <c r="AN19" s="1311"/>
      <c r="AO19" s="1311"/>
      <c r="AP19" s="1311"/>
      <c r="AQ19" s="1311"/>
      <c r="AR19" s="1311"/>
      <c r="AS19" s="1311"/>
      <c r="AT19" s="1311"/>
      <c r="AU19" s="1311"/>
      <c r="AV19" s="1311"/>
      <c r="AW19" s="1311"/>
      <c r="AX19" s="1311"/>
      <c r="AY19" s="1311"/>
      <c r="AZ19" s="1311"/>
      <c r="BA19" s="1311"/>
      <c r="BB19" s="1311"/>
      <c r="BC19" s="1311"/>
      <c r="BD19" s="1311"/>
      <c r="BE19" s="1311"/>
      <c r="BF19" s="1311"/>
      <c r="BG19" s="1311"/>
      <c r="BH19" s="1311"/>
      <c r="BI19" s="1311"/>
      <c r="BJ19" s="1311"/>
      <c r="BK19" s="1311"/>
      <c r="BL19" s="1311"/>
      <c r="BM19" s="1311"/>
      <c r="BN19" s="1311"/>
      <c r="BO19" s="1311"/>
      <c r="BP19" s="1311"/>
      <c r="BQ19" s="1311"/>
      <c r="BR19" s="1311"/>
      <c r="BS19" s="1311"/>
      <c r="BT19" s="1311"/>
      <c r="BU19" s="1311"/>
      <c r="BV19" s="1311"/>
      <c r="BW19" s="1311"/>
      <c r="BX19" s="1311"/>
      <c r="BY19" s="1311"/>
      <c r="BZ19" s="1311"/>
      <c r="CA19" s="1311"/>
      <c r="CB19" s="1311"/>
      <c r="CC19" s="1311"/>
      <c r="CD19" s="1311"/>
      <c r="CE19" s="1311"/>
      <c r="CF19" s="1311"/>
      <c r="CG19" s="1311"/>
      <c r="CH19" s="1311"/>
      <c r="CI19" s="1311"/>
    </row>
    <row r="20" spans="1:87" s="1895" customFormat="1" ht="12">
      <c r="A20" s="1807"/>
      <c r="B20" s="1828" t="s">
        <v>30</v>
      </c>
      <c r="C20" s="3331"/>
      <c r="D20" s="1829">
        <f>+D21</f>
        <v>88213577</v>
      </c>
      <c r="E20" s="1829">
        <f>+E21</f>
        <v>0</v>
      </c>
      <c r="F20" s="1829">
        <f>F29+F41+F53+F89+F77</f>
        <v>0</v>
      </c>
      <c r="G20" s="1829">
        <f>G29+G41+G53+G89+G77</f>
        <v>0</v>
      </c>
      <c r="H20" s="1829">
        <f>H29+H41+H53+H89+H77</f>
        <v>0</v>
      </c>
      <c r="I20" s="1829">
        <f t="shared" ref="I20:W20" si="39">+I21</f>
        <v>0</v>
      </c>
      <c r="J20" s="1829">
        <f t="shared" si="39"/>
        <v>3720</v>
      </c>
      <c r="K20" s="1829">
        <f t="shared" si="39"/>
        <v>7797185</v>
      </c>
      <c r="L20" s="1829">
        <f t="shared" si="39"/>
        <v>4579732</v>
      </c>
      <c r="M20" s="1829">
        <f t="shared" si="39"/>
        <v>18834393</v>
      </c>
      <c r="N20" s="1829">
        <f t="shared" si="39"/>
        <v>6453756</v>
      </c>
      <c r="O20" s="1829">
        <f t="shared" si="39"/>
        <v>61088445</v>
      </c>
      <c r="P20" s="1829">
        <f t="shared" si="39"/>
        <v>8290739</v>
      </c>
      <c r="Q20" s="1829">
        <f t="shared" si="39"/>
        <v>0</v>
      </c>
      <c r="R20" s="1829">
        <f t="shared" si="39"/>
        <v>0</v>
      </c>
      <c r="S20" s="1829">
        <f t="shared" si="39"/>
        <v>0</v>
      </c>
      <c r="T20" s="1829">
        <f t="shared" si="39"/>
        <v>0</v>
      </c>
      <c r="U20" s="1829">
        <f t="shared" si="39"/>
        <v>0</v>
      </c>
      <c r="V20" s="1829">
        <f t="shared" si="39"/>
        <v>0</v>
      </c>
      <c r="W20" s="1829">
        <f t="shared" si="39"/>
        <v>0</v>
      </c>
      <c r="X20" s="3337"/>
      <c r="Y20" s="3327"/>
      <c r="Z20" s="1311"/>
      <c r="AA20" s="710">
        <f>+P20+O20+N20+L20+K20+J20+I20+E20</f>
        <v>88213577</v>
      </c>
      <c r="AB20" s="1311"/>
      <c r="AC20" s="1311"/>
      <c r="AD20" s="1311"/>
      <c r="AE20" s="1311"/>
      <c r="AF20" s="1311"/>
      <c r="AG20" s="1311"/>
      <c r="AH20" s="1311"/>
      <c r="AI20" s="1311"/>
      <c r="AJ20" s="1311"/>
      <c r="AK20" s="1311"/>
      <c r="AL20" s="1311"/>
      <c r="AM20" s="1311"/>
      <c r="AN20" s="1311"/>
      <c r="AO20" s="1311"/>
      <c r="AP20" s="1311"/>
      <c r="AQ20" s="1311"/>
      <c r="AR20" s="1311"/>
      <c r="AS20" s="1311"/>
      <c r="AT20" s="1311"/>
      <c r="AU20" s="1311"/>
      <c r="AV20" s="1311"/>
      <c r="AW20" s="1311"/>
      <c r="AX20" s="1311"/>
      <c r="AY20" s="1311"/>
      <c r="AZ20" s="1311"/>
      <c r="BA20" s="1311"/>
      <c r="BB20" s="1311"/>
      <c r="BC20" s="1311"/>
      <c r="BD20" s="1311"/>
      <c r="BE20" s="1311"/>
      <c r="BF20" s="1311"/>
      <c r="BG20" s="1311"/>
      <c r="BH20" s="1311"/>
      <c r="BI20" s="1311"/>
      <c r="BJ20" s="1311"/>
      <c r="BK20" s="1311"/>
      <c r="BL20" s="1311"/>
      <c r="BM20" s="1311"/>
      <c r="BN20" s="1311"/>
      <c r="BO20" s="1311"/>
      <c r="BP20" s="1311"/>
      <c r="BQ20" s="1311"/>
      <c r="BR20" s="1311"/>
      <c r="BS20" s="1311"/>
      <c r="BT20" s="1311"/>
      <c r="BU20" s="1311"/>
      <c r="BV20" s="1311"/>
      <c r="BW20" s="1311"/>
      <c r="BX20" s="1311"/>
      <c r="BY20" s="1311"/>
      <c r="BZ20" s="1311"/>
      <c r="CA20" s="1311"/>
      <c r="CB20" s="1311"/>
      <c r="CC20" s="1311"/>
      <c r="CD20" s="1311"/>
      <c r="CE20" s="1311"/>
      <c r="CF20" s="1311"/>
      <c r="CG20" s="1311"/>
      <c r="CH20" s="1311"/>
      <c r="CI20" s="1311"/>
    </row>
    <row r="21" spans="1:87" s="1895" customFormat="1" ht="14.1" customHeight="1" thickBot="1">
      <c r="A21" s="1830"/>
      <c r="B21" s="850" t="s">
        <v>48</v>
      </c>
      <c r="C21" s="3332"/>
      <c r="D21" s="1831">
        <f t="shared" ref="D21:O21" si="40">D30+D42+D54+D90+D78+D66</f>
        <v>88213577</v>
      </c>
      <c r="E21" s="1831">
        <f t="shared" si="40"/>
        <v>0</v>
      </c>
      <c r="F21" s="1831">
        <f t="shared" si="40"/>
        <v>0</v>
      </c>
      <c r="G21" s="1831">
        <f t="shared" si="40"/>
        <v>0</v>
      </c>
      <c r="H21" s="1831">
        <f t="shared" si="40"/>
        <v>0</v>
      </c>
      <c r="I21" s="1831">
        <f t="shared" si="40"/>
        <v>0</v>
      </c>
      <c r="J21" s="1831">
        <f t="shared" si="40"/>
        <v>3720</v>
      </c>
      <c r="K21" s="1831">
        <f t="shared" si="40"/>
        <v>7797185</v>
      </c>
      <c r="L21" s="1831">
        <f t="shared" si="40"/>
        <v>4579732</v>
      </c>
      <c r="M21" s="1831">
        <f t="shared" ref="M21:N21" si="41">M30+M42+M54+M90+M78+M66</f>
        <v>18834393</v>
      </c>
      <c r="N21" s="1831">
        <f t="shared" si="41"/>
        <v>6453756</v>
      </c>
      <c r="O21" s="1831">
        <f t="shared" si="40"/>
        <v>61088445</v>
      </c>
      <c r="P21" s="1831">
        <f t="shared" ref="P21:T21" si="42">P30+P42+P54+P90+P78+P66</f>
        <v>8290739</v>
      </c>
      <c r="Q21" s="1831">
        <f t="shared" si="42"/>
        <v>0</v>
      </c>
      <c r="R21" s="1831">
        <f t="shared" si="42"/>
        <v>0</v>
      </c>
      <c r="S21" s="1831">
        <f t="shared" si="42"/>
        <v>0</v>
      </c>
      <c r="T21" s="1831">
        <f t="shared" si="42"/>
        <v>0</v>
      </c>
      <c r="U21" s="1831">
        <f t="shared" ref="U21:W21" si="43">U30+U42+U54+U90+U78+U66</f>
        <v>0</v>
      </c>
      <c r="V21" s="1831">
        <f t="shared" si="43"/>
        <v>0</v>
      </c>
      <c r="W21" s="1831">
        <f t="shared" si="43"/>
        <v>0</v>
      </c>
      <c r="X21" s="3338"/>
      <c r="Y21" s="3328"/>
      <c r="Z21" s="1311"/>
      <c r="AA21" s="710">
        <f>+P21+O21+N21+L21+K21+J21+I21+E21</f>
        <v>88213577</v>
      </c>
      <c r="AB21" s="1311"/>
      <c r="AC21" s="1311"/>
      <c r="AD21" s="1311"/>
      <c r="AE21" s="1311"/>
      <c r="AF21" s="1311"/>
      <c r="AG21" s="1311"/>
      <c r="AH21" s="1311"/>
      <c r="AI21" s="1311"/>
      <c r="AJ21" s="1311"/>
      <c r="AK21" s="1311"/>
      <c r="AL21" s="1311"/>
      <c r="AM21" s="1311"/>
      <c r="AN21" s="1311"/>
      <c r="AO21" s="1311"/>
      <c r="AP21" s="1311"/>
      <c r="AQ21" s="1311"/>
      <c r="AR21" s="1311"/>
      <c r="AS21" s="1311"/>
      <c r="AT21" s="1311"/>
      <c r="AU21" s="1311"/>
      <c r="AV21" s="1311"/>
      <c r="AW21" s="1311"/>
      <c r="AX21" s="1311"/>
      <c r="AY21" s="1311"/>
      <c r="AZ21" s="1311"/>
      <c r="BA21" s="1311"/>
      <c r="BB21" s="1311"/>
      <c r="BC21" s="1311"/>
      <c r="BD21" s="1311"/>
      <c r="BE21" s="1311"/>
      <c r="BF21" s="1311"/>
      <c r="BG21" s="1311"/>
      <c r="BH21" s="1311"/>
      <c r="BI21" s="1311"/>
      <c r="BJ21" s="1311"/>
      <c r="BK21" s="1311"/>
      <c r="BL21" s="1311"/>
      <c r="BM21" s="1311"/>
      <c r="BN21" s="1311"/>
      <c r="BO21" s="1311"/>
      <c r="BP21" s="1311"/>
      <c r="BQ21" s="1311"/>
      <c r="BR21" s="1311"/>
      <c r="BS21" s="1311"/>
      <c r="BT21" s="1311"/>
      <c r="BU21" s="1311"/>
      <c r="BV21" s="1311"/>
      <c r="BW21" s="1311"/>
      <c r="BX21" s="1311"/>
      <c r="BY21" s="1311"/>
      <c r="BZ21" s="1311"/>
      <c r="CA21" s="1311"/>
      <c r="CB21" s="1311"/>
      <c r="CC21" s="1311"/>
      <c r="CD21" s="1311"/>
      <c r="CE21" s="1311"/>
      <c r="CF21" s="1311"/>
      <c r="CG21" s="1311"/>
      <c r="CH21" s="1311"/>
      <c r="CI21" s="1311"/>
    </row>
    <row r="22" spans="1:87" s="1311" customFormat="1" ht="15" customHeight="1">
      <c r="A22" s="3315" t="s">
        <v>79</v>
      </c>
      <c r="B22" s="1832" t="s">
        <v>352</v>
      </c>
      <c r="C22" s="1833" t="s">
        <v>98</v>
      </c>
      <c r="D22" s="1834"/>
      <c r="E22" s="1835"/>
      <c r="F22" s="1835"/>
      <c r="G22" s="1835"/>
      <c r="H22" s="1835"/>
      <c r="I22" s="1835"/>
      <c r="J22" s="1835"/>
      <c r="K22" s="1835"/>
      <c r="L22" s="1835"/>
      <c r="M22" s="1835"/>
      <c r="N22" s="1835"/>
      <c r="O22" s="1835"/>
      <c r="P22" s="1835"/>
      <c r="Q22" s="1835"/>
      <c r="R22" s="1835"/>
      <c r="S22" s="1836"/>
      <c r="T22" s="1836"/>
      <c r="U22" s="1836"/>
      <c r="V22" s="1836"/>
      <c r="W22" s="1836"/>
      <c r="X22" s="1837"/>
      <c r="Y22" s="3297" t="s">
        <v>202</v>
      </c>
    </row>
    <row r="23" spans="1:87" s="1311" customFormat="1" ht="14.1" customHeight="1">
      <c r="A23" s="3316"/>
      <c r="B23" s="1827" t="s">
        <v>22</v>
      </c>
      <c r="C23" s="1827"/>
      <c r="D23" s="1382">
        <f t="shared" ref="D23:L23" si="44">+D24+D26</f>
        <v>2536207</v>
      </c>
      <c r="E23" s="1382">
        <f t="shared" si="44"/>
        <v>0</v>
      </c>
      <c r="F23" s="1382"/>
      <c r="G23" s="1382"/>
      <c r="H23" s="1382"/>
      <c r="I23" s="1382">
        <f t="shared" si="44"/>
        <v>0</v>
      </c>
      <c r="J23" s="1382">
        <f>+J24+J26</f>
        <v>256207</v>
      </c>
      <c r="K23" s="1382">
        <f t="shared" si="44"/>
        <v>0</v>
      </c>
      <c r="L23" s="1382">
        <f t="shared" si="44"/>
        <v>0</v>
      </c>
      <c r="M23" s="1382">
        <f t="shared" ref="M23" si="45">+M24+M26</f>
        <v>256207</v>
      </c>
      <c r="N23" s="1382">
        <f t="shared" ref="N23:X23" si="46">+N24</f>
        <v>0</v>
      </c>
      <c r="O23" s="1382">
        <f t="shared" si="46"/>
        <v>0</v>
      </c>
      <c r="P23" s="1382">
        <f t="shared" si="46"/>
        <v>2280000</v>
      </c>
      <c r="Q23" s="1382">
        <f t="shared" si="46"/>
        <v>0</v>
      </c>
      <c r="R23" s="1382">
        <f t="shared" si="46"/>
        <v>0</v>
      </c>
      <c r="S23" s="1382">
        <f t="shared" si="46"/>
        <v>0</v>
      </c>
      <c r="T23" s="1382">
        <f t="shared" si="46"/>
        <v>0</v>
      </c>
      <c r="U23" s="1382"/>
      <c r="V23" s="1382"/>
      <c r="W23" s="1382"/>
      <c r="X23" s="1388">
        <f t="shared" si="46"/>
        <v>2280000</v>
      </c>
      <c r="Y23" s="3211"/>
    </row>
    <row r="24" spans="1:87" s="1311" customFormat="1" ht="14.1" customHeight="1">
      <c r="A24" s="3316"/>
      <c r="B24" s="1838" t="s">
        <v>36</v>
      </c>
      <c r="C24" s="3308" t="s">
        <v>203</v>
      </c>
      <c r="D24" s="1384">
        <f>D25</f>
        <v>2536207</v>
      </c>
      <c r="E24" s="1384">
        <f t="shared" ref="E24:T24" si="47">E25</f>
        <v>0</v>
      </c>
      <c r="F24" s="1384"/>
      <c r="G24" s="1384"/>
      <c r="H24" s="1384"/>
      <c r="I24" s="1384">
        <f t="shared" si="47"/>
        <v>0</v>
      </c>
      <c r="J24" s="1384">
        <f t="shared" si="47"/>
        <v>256207</v>
      </c>
      <c r="K24" s="1384">
        <f t="shared" si="47"/>
        <v>0</v>
      </c>
      <c r="L24" s="1384">
        <f t="shared" si="47"/>
        <v>0</v>
      </c>
      <c r="M24" s="1384">
        <f t="shared" si="47"/>
        <v>256207</v>
      </c>
      <c r="N24" s="1384">
        <f t="shared" si="47"/>
        <v>0</v>
      </c>
      <c r="O24" s="1384">
        <f t="shared" si="47"/>
        <v>0</v>
      </c>
      <c r="P24" s="1384">
        <f t="shared" si="47"/>
        <v>2280000</v>
      </c>
      <c r="Q24" s="1384">
        <f t="shared" si="47"/>
        <v>0</v>
      </c>
      <c r="R24" s="1384">
        <f t="shared" si="47"/>
        <v>0</v>
      </c>
      <c r="S24" s="1384">
        <f t="shared" si="47"/>
        <v>0</v>
      </c>
      <c r="T24" s="1384">
        <f t="shared" si="47"/>
        <v>0</v>
      </c>
      <c r="U24" s="1384"/>
      <c r="V24" s="1384"/>
      <c r="W24" s="1384"/>
      <c r="X24" s="1363">
        <f>+X25</f>
        <v>2280000</v>
      </c>
      <c r="Y24" s="3211"/>
    </row>
    <row r="25" spans="1:87" s="1311" customFormat="1" ht="12.75" thickBot="1">
      <c r="A25" s="3317"/>
      <c r="B25" s="1839" t="s">
        <v>152</v>
      </c>
      <c r="C25" s="3318"/>
      <c r="D25" s="705">
        <f>M25+O25+P25+Q25+R25+S25+T25+U25+V25+W25</f>
        <v>2536207</v>
      </c>
      <c r="E25" s="705">
        <f>+F25+G25+H25</f>
        <v>0</v>
      </c>
      <c r="F25" s="705"/>
      <c r="G25" s="705"/>
      <c r="H25" s="705"/>
      <c r="I25" s="705">
        <v>0</v>
      </c>
      <c r="J25" s="705">
        <f>2500000-2243000-793</f>
        <v>256207</v>
      </c>
      <c r="K25" s="705">
        <f>4500000-3800000-700000</f>
        <v>0</v>
      </c>
      <c r="L25" s="705">
        <f>3323200-1743200+700000-2280000</f>
        <v>0</v>
      </c>
      <c r="M25" s="705">
        <f>+E25+I25+J25+K25+L25+N25</f>
        <v>256207</v>
      </c>
      <c r="N25" s="705">
        <f>0+2280000-2280000</f>
        <v>0</v>
      </c>
      <c r="O25" s="705">
        <f>0+2280000-2280000</f>
        <v>0</v>
      </c>
      <c r="P25" s="705">
        <f>0+2280000</f>
        <v>2280000</v>
      </c>
      <c r="Q25" s="705">
        <v>0</v>
      </c>
      <c r="R25" s="705">
        <v>0</v>
      </c>
      <c r="S25" s="705">
        <v>0</v>
      </c>
      <c r="T25" s="705">
        <v>0</v>
      </c>
      <c r="U25" s="705"/>
      <c r="V25" s="705"/>
      <c r="W25" s="705"/>
      <c r="X25" s="1823">
        <f>SUM(P25:T25)</f>
        <v>2280000</v>
      </c>
      <c r="Y25" s="3211"/>
    </row>
    <row r="26" spans="1:87" s="1311" customFormat="1" ht="5.25" hidden="1" customHeight="1">
      <c r="A26" s="1840"/>
      <c r="B26" s="1841" t="s">
        <v>30</v>
      </c>
      <c r="C26" s="3318"/>
      <c r="D26" s="1842">
        <f>+D27</f>
        <v>0</v>
      </c>
      <c r="E26" s="1842">
        <f>+E27</f>
        <v>0</v>
      </c>
      <c r="F26" s="1842"/>
      <c r="G26" s="1842"/>
      <c r="H26" s="1842"/>
      <c r="I26" s="1842">
        <f>+I27</f>
        <v>0</v>
      </c>
      <c r="J26" s="1842">
        <f>+J27</f>
        <v>0</v>
      </c>
      <c r="K26" s="1842">
        <f>+K27</f>
        <v>0</v>
      </c>
      <c r="L26" s="1842">
        <f>+L27</f>
        <v>0</v>
      </c>
      <c r="M26" s="1842"/>
      <c r="N26" s="1842">
        <v>0</v>
      </c>
      <c r="O26" s="1842">
        <v>0</v>
      </c>
      <c r="P26" s="1842">
        <v>0</v>
      </c>
      <c r="Q26" s="1842"/>
      <c r="R26" s="1842"/>
      <c r="S26" s="1842"/>
      <c r="T26" s="1842"/>
      <c r="U26" s="1842"/>
      <c r="V26" s="1842"/>
      <c r="W26" s="1842"/>
      <c r="X26" s="1843"/>
      <c r="Y26" s="3211"/>
    </row>
    <row r="27" spans="1:87" s="1311" customFormat="1" ht="5.25" hidden="1" customHeight="1" thickBot="1">
      <c r="A27" s="1840"/>
      <c r="B27" s="1844" t="s">
        <v>48</v>
      </c>
      <c r="C27" s="3319"/>
      <c r="D27" s="705">
        <f>+E27+I27+J27+K27+L27</f>
        <v>0</v>
      </c>
      <c r="E27" s="705">
        <v>0</v>
      </c>
      <c r="F27" s="705"/>
      <c r="G27" s="705"/>
      <c r="H27" s="705"/>
      <c r="I27" s="705">
        <v>0</v>
      </c>
      <c r="J27" s="705">
        <f>7500000-7500000</f>
        <v>0</v>
      </c>
      <c r="K27" s="705">
        <f>13500000-13500000</f>
        <v>0</v>
      </c>
      <c r="L27" s="705">
        <f>9969600-9969600</f>
        <v>0</v>
      </c>
      <c r="M27" s="705"/>
      <c r="N27" s="705">
        <v>0</v>
      </c>
      <c r="O27" s="705">
        <v>0</v>
      </c>
      <c r="P27" s="705">
        <v>0</v>
      </c>
      <c r="Q27" s="705"/>
      <c r="R27" s="705"/>
      <c r="S27" s="705"/>
      <c r="T27" s="705"/>
      <c r="U27" s="705"/>
      <c r="V27" s="705"/>
      <c r="W27" s="705"/>
      <c r="X27" s="1845"/>
      <c r="Y27" s="3211"/>
    </row>
    <row r="28" spans="1:87" s="1896" customFormat="1" ht="9" hidden="1" customHeight="1">
      <c r="A28" s="1840"/>
      <c r="B28" s="1815" t="s">
        <v>34</v>
      </c>
      <c r="C28" s="1846"/>
      <c r="D28" s="1847">
        <f>D29</f>
        <v>0</v>
      </c>
      <c r="E28" s="1847">
        <f t="shared" ref="E28:J28" si="48">E29</f>
        <v>0</v>
      </c>
      <c r="F28" s="1847"/>
      <c r="G28" s="1847"/>
      <c r="H28" s="1847"/>
      <c r="I28" s="1847">
        <f t="shared" si="48"/>
        <v>0</v>
      </c>
      <c r="J28" s="1847">
        <f t="shared" si="48"/>
        <v>0</v>
      </c>
      <c r="K28" s="1847">
        <f>K29</f>
        <v>0</v>
      </c>
      <c r="L28" s="1847">
        <f>L29</f>
        <v>0</v>
      </c>
      <c r="M28" s="1847"/>
      <c r="N28" s="1847">
        <f>N29</f>
        <v>0</v>
      </c>
      <c r="O28" s="1847">
        <f>O29</f>
        <v>0</v>
      </c>
      <c r="P28" s="1847">
        <f>P29</f>
        <v>0</v>
      </c>
      <c r="Q28" s="1847"/>
      <c r="R28" s="1847"/>
      <c r="S28" s="1847"/>
      <c r="T28" s="1847"/>
      <c r="U28" s="1847"/>
      <c r="V28" s="1847"/>
      <c r="W28" s="1847"/>
      <c r="X28" s="1848"/>
      <c r="Y28" s="3211"/>
    </row>
    <row r="29" spans="1:87" s="1311" customFormat="1" ht="7.5" hidden="1" customHeight="1">
      <c r="A29" s="1840"/>
      <c r="B29" s="2667" t="s">
        <v>30</v>
      </c>
      <c r="C29" s="3308" t="s">
        <v>35</v>
      </c>
      <c r="D29" s="1384">
        <f>+D30</f>
        <v>0</v>
      </c>
      <c r="E29" s="1384">
        <f t="shared" ref="E29:L29" si="49">+E30</f>
        <v>0</v>
      </c>
      <c r="F29" s="1384"/>
      <c r="G29" s="1384"/>
      <c r="H29" s="1384"/>
      <c r="I29" s="1384">
        <f t="shared" si="49"/>
        <v>0</v>
      </c>
      <c r="J29" s="1384">
        <f t="shared" si="49"/>
        <v>0</v>
      </c>
      <c r="K29" s="1384">
        <f t="shared" si="49"/>
        <v>0</v>
      </c>
      <c r="L29" s="1384">
        <f t="shared" si="49"/>
        <v>0</v>
      </c>
      <c r="M29" s="1384"/>
      <c r="N29" s="1384">
        <v>0</v>
      </c>
      <c r="O29" s="1384">
        <v>0</v>
      </c>
      <c r="P29" s="1384">
        <v>0</v>
      </c>
      <c r="Q29" s="2667"/>
      <c r="R29" s="2667"/>
      <c r="S29" s="2667"/>
      <c r="T29" s="2667"/>
      <c r="U29" s="2667"/>
      <c r="V29" s="2667"/>
      <c r="W29" s="2667"/>
      <c r="X29" s="2667"/>
      <c r="Y29" s="3211"/>
    </row>
    <row r="30" spans="1:87" s="1311" customFormat="1" ht="4.5" hidden="1" customHeight="1" thickBot="1">
      <c r="A30" s="1849"/>
      <c r="B30" s="1844" t="s">
        <v>48</v>
      </c>
      <c r="C30" s="3210"/>
      <c r="D30" s="705">
        <f>+E30+I30+J30+K30+L30</f>
        <v>0</v>
      </c>
      <c r="E30" s="705">
        <v>0</v>
      </c>
      <c r="F30" s="705"/>
      <c r="G30" s="705"/>
      <c r="H30" s="705"/>
      <c r="I30" s="705">
        <v>0</v>
      </c>
      <c r="J30" s="705">
        <f>7500000-7500000</f>
        <v>0</v>
      </c>
      <c r="K30" s="705">
        <f>13500000-13500000</f>
        <v>0</v>
      </c>
      <c r="L30" s="705">
        <f>9969600-9969600</f>
        <v>0</v>
      </c>
      <c r="M30" s="705"/>
      <c r="N30" s="705">
        <v>0</v>
      </c>
      <c r="O30" s="705">
        <v>0</v>
      </c>
      <c r="P30" s="705">
        <v>0</v>
      </c>
      <c r="Q30" s="2667"/>
      <c r="R30" s="2667"/>
      <c r="S30" s="2667"/>
      <c r="T30" s="2667"/>
      <c r="U30" s="2667"/>
      <c r="V30" s="2667"/>
      <c r="W30" s="2667"/>
      <c r="X30" s="2667"/>
      <c r="Y30" s="3210"/>
    </row>
    <row r="31" spans="1:87" s="1311" customFormat="1" ht="38.25" customHeight="1">
      <c r="A31" s="3306" t="s">
        <v>80</v>
      </c>
      <c r="B31" s="1850" t="s">
        <v>393</v>
      </c>
      <c r="C31" s="1851" t="s">
        <v>98</v>
      </c>
      <c r="D31" s="1852"/>
      <c r="E31" s="1852"/>
      <c r="F31" s="1835"/>
      <c r="G31" s="1835"/>
      <c r="H31" s="1835"/>
      <c r="I31" s="1835"/>
      <c r="J31" s="1835"/>
      <c r="K31" s="1835"/>
      <c r="L31" s="1835"/>
      <c r="M31" s="1835"/>
      <c r="N31" s="1835"/>
      <c r="O31" s="1835"/>
      <c r="P31" s="1835"/>
      <c r="Q31" s="1835"/>
      <c r="R31" s="1835"/>
      <c r="S31" s="1835"/>
      <c r="T31" s="1835"/>
      <c r="U31" s="1835"/>
      <c r="V31" s="1835"/>
      <c r="W31" s="1835"/>
      <c r="X31" s="1837"/>
      <c r="Y31" s="3297" t="s">
        <v>202</v>
      </c>
    </row>
    <row r="32" spans="1:87" s="1311" customFormat="1" ht="11.25" customHeight="1">
      <c r="A32" s="3307"/>
      <c r="B32" s="1827" t="s">
        <v>22</v>
      </c>
      <c r="C32" s="1853"/>
      <c r="D32" s="1382">
        <f>+D33+D36</f>
        <v>26598315</v>
      </c>
      <c r="E32" s="1382">
        <f t="shared" ref="E32:R32" si="50">+E33+E36</f>
        <v>217616</v>
      </c>
      <c r="F32" s="1382">
        <f t="shared" si="50"/>
        <v>0</v>
      </c>
      <c r="G32" s="1382">
        <f t="shared" si="50"/>
        <v>0</v>
      </c>
      <c r="H32" s="1382">
        <f t="shared" si="50"/>
        <v>0</v>
      </c>
      <c r="I32" s="1382">
        <f>+I33+I36</f>
        <v>267797</v>
      </c>
      <c r="J32" s="1382">
        <f t="shared" si="50"/>
        <v>254610</v>
      </c>
      <c r="K32" s="1382">
        <f t="shared" si="50"/>
        <v>6576172</v>
      </c>
      <c r="L32" s="1382">
        <f t="shared" si="50"/>
        <v>5822432</v>
      </c>
      <c r="M32" s="1382">
        <f t="shared" ref="M32" si="51">+M33+M36</f>
        <v>17660351</v>
      </c>
      <c r="N32" s="1382">
        <f t="shared" si="50"/>
        <v>4521724</v>
      </c>
      <c r="O32" s="1382">
        <f t="shared" si="50"/>
        <v>8937964</v>
      </c>
      <c r="P32" s="1382">
        <f>+P33+P36</f>
        <v>0</v>
      </c>
      <c r="Q32" s="1382">
        <f t="shared" si="50"/>
        <v>0</v>
      </c>
      <c r="R32" s="1382">
        <f t="shared" si="50"/>
        <v>0</v>
      </c>
      <c r="S32" s="1382">
        <f t="shared" ref="S32:T32" si="52">+S33+S36</f>
        <v>0</v>
      </c>
      <c r="T32" s="1382">
        <f t="shared" si="52"/>
        <v>0</v>
      </c>
      <c r="U32" s="1382"/>
      <c r="V32" s="1382"/>
      <c r="W32" s="1382"/>
      <c r="X32" s="1388">
        <f>+X33</f>
        <v>0</v>
      </c>
      <c r="Y32" s="3211"/>
    </row>
    <row r="33" spans="1:87" s="1311" customFormat="1" ht="13.5" customHeight="1">
      <c r="A33" s="3307"/>
      <c r="B33" s="1854" t="s">
        <v>36</v>
      </c>
      <c r="C33" s="3303" t="s">
        <v>35</v>
      </c>
      <c r="D33" s="1384">
        <f>D35+D34</f>
        <v>8645178</v>
      </c>
      <c r="E33" s="1384">
        <f>E35+E34</f>
        <v>217616</v>
      </c>
      <c r="F33" s="1384">
        <f t="shared" ref="F33:L33" si="53">F35+F34</f>
        <v>0</v>
      </c>
      <c r="G33" s="1384">
        <f t="shared" si="53"/>
        <v>0</v>
      </c>
      <c r="H33" s="1384">
        <f t="shared" si="53"/>
        <v>0</v>
      </c>
      <c r="I33" s="1384">
        <f t="shared" si="53"/>
        <v>267797</v>
      </c>
      <c r="J33" s="1384">
        <f t="shared" si="53"/>
        <v>254610</v>
      </c>
      <c r="K33" s="1384">
        <f t="shared" si="53"/>
        <v>2422410</v>
      </c>
      <c r="L33" s="1384">
        <f t="shared" si="53"/>
        <v>2313652</v>
      </c>
      <c r="M33" s="1384">
        <f t="shared" ref="M33" si="54">M35+M34</f>
        <v>7832652</v>
      </c>
      <c r="N33" s="1384">
        <f t="shared" ref="N33:T33" si="55">N35+N34</f>
        <v>2356567</v>
      </c>
      <c r="O33" s="1384">
        <f t="shared" si="55"/>
        <v>812526</v>
      </c>
      <c r="P33" s="1384">
        <f t="shared" si="55"/>
        <v>0</v>
      </c>
      <c r="Q33" s="1384">
        <f t="shared" si="55"/>
        <v>0</v>
      </c>
      <c r="R33" s="1384">
        <f t="shared" si="55"/>
        <v>0</v>
      </c>
      <c r="S33" s="1384">
        <f t="shared" si="55"/>
        <v>0</v>
      </c>
      <c r="T33" s="1384">
        <f t="shared" si="55"/>
        <v>0</v>
      </c>
      <c r="U33" s="1384"/>
      <c r="V33" s="1384"/>
      <c r="W33" s="1384"/>
      <c r="X33" s="1363">
        <f>+X35</f>
        <v>0</v>
      </c>
      <c r="Y33" s="3211"/>
    </row>
    <row r="34" spans="1:87" s="1311" customFormat="1" ht="12">
      <c r="A34" s="3307"/>
      <c r="B34" s="1855" t="s">
        <v>45</v>
      </c>
      <c r="C34" s="3304"/>
      <c r="D34" s="1374">
        <f>M34+O34+P34+Q34+R34+S34+T34+U34+V34+W34</f>
        <v>802570</v>
      </c>
      <c r="E34" s="1374">
        <f>41869-2933-11320</f>
        <v>27616</v>
      </c>
      <c r="F34" s="1374"/>
      <c r="G34" s="1374"/>
      <c r="H34" s="1374"/>
      <c r="I34" s="1856">
        <f>12320+35915+163247</f>
        <v>211482</v>
      </c>
      <c r="J34" s="1856">
        <f>130649-20782-50257</f>
        <v>59610</v>
      </c>
      <c r="K34" s="1856">
        <f>0+33883-33883+4388</f>
        <v>4388</v>
      </c>
      <c r="L34" s="1856">
        <f>6328+2160</f>
        <v>8488</v>
      </c>
      <c r="M34" s="1374">
        <f>+E34+I34+J34+K34+L34+N34</f>
        <v>711613</v>
      </c>
      <c r="N34" s="1856">
        <f>0+275648-2160-273488+273488-273488+209789-7324+197564</f>
        <v>400029</v>
      </c>
      <c r="O34" s="1856">
        <f>0+273488-209789+7324+19934</f>
        <v>90957</v>
      </c>
      <c r="P34" s="1856">
        <v>0</v>
      </c>
      <c r="Q34" s="1856">
        <v>0</v>
      </c>
      <c r="R34" s="1856">
        <v>0</v>
      </c>
      <c r="S34" s="1856">
        <v>0</v>
      </c>
      <c r="T34" s="1856">
        <v>0</v>
      </c>
      <c r="U34" s="1857"/>
      <c r="V34" s="1857"/>
      <c r="W34" s="1857"/>
      <c r="X34" s="1858" t="s">
        <v>77</v>
      </c>
      <c r="Y34" s="3211"/>
    </row>
    <row r="35" spans="1:87" s="1311" customFormat="1" ht="27" customHeight="1">
      <c r="A35" s="3307"/>
      <c r="B35" s="1859" t="s">
        <v>152</v>
      </c>
      <c r="C35" s="2672" t="s">
        <v>203</v>
      </c>
      <c r="D35" s="1392">
        <f>M35+O35+P35+Q35+R35+S35+T35+U35+V35+W35</f>
        <v>7842608</v>
      </c>
      <c r="E35" s="1392">
        <v>190000</v>
      </c>
      <c r="F35" s="1392"/>
      <c r="G35" s="1392"/>
      <c r="H35" s="1392"/>
      <c r="I35" s="1860">
        <v>56315</v>
      </c>
      <c r="J35" s="1860">
        <f>1734227-554657-984570</f>
        <v>195000</v>
      </c>
      <c r="K35" s="1860">
        <f>1353518+313690-478123+2496121-457790-758617-50777</f>
        <v>2418022</v>
      </c>
      <c r="L35" s="1860">
        <f>3458679+1703969-494138-110323+177575-2430598</f>
        <v>2305164</v>
      </c>
      <c r="M35" s="1392">
        <f>+E35+I35+J35+K35+L35+N35</f>
        <v>7121039</v>
      </c>
      <c r="N35" s="1860">
        <f>972710+868940-126798+2430598-546151-1537785-104976</f>
        <v>1956538</v>
      </c>
      <c r="O35" s="1860">
        <f>0+1565656+1489785+104976-2438848</f>
        <v>721569</v>
      </c>
      <c r="P35" s="1860">
        <v>0</v>
      </c>
      <c r="Q35" s="1860">
        <v>0</v>
      </c>
      <c r="R35" s="1860">
        <v>0</v>
      </c>
      <c r="S35" s="1860">
        <v>0</v>
      </c>
      <c r="T35" s="1860">
        <v>0</v>
      </c>
      <c r="U35" s="1860"/>
      <c r="V35" s="1860"/>
      <c r="W35" s="1860"/>
      <c r="X35" s="1437">
        <f>SUM(P35:T35)</f>
        <v>0</v>
      </c>
      <c r="Y35" s="3211"/>
    </row>
    <row r="36" spans="1:87" s="1451" customFormat="1" ht="13.5" customHeight="1">
      <c r="A36" s="3307"/>
      <c r="B36" s="1861" t="s">
        <v>30</v>
      </c>
      <c r="C36" s="3303" t="s">
        <v>35</v>
      </c>
      <c r="D36" s="1436">
        <f>+D37</f>
        <v>17953137</v>
      </c>
      <c r="E36" s="1436">
        <f>+E37</f>
        <v>0</v>
      </c>
      <c r="F36" s="1436"/>
      <c r="G36" s="1436"/>
      <c r="H36" s="1436"/>
      <c r="I36" s="1436">
        <f t="shared" ref="I36:X36" si="56">+I37</f>
        <v>0</v>
      </c>
      <c r="J36" s="1436">
        <f t="shared" si="56"/>
        <v>0</v>
      </c>
      <c r="K36" s="1436">
        <f t="shared" si="56"/>
        <v>4153762</v>
      </c>
      <c r="L36" s="1436">
        <f t="shared" si="56"/>
        <v>3508780</v>
      </c>
      <c r="M36" s="1862">
        <f t="shared" si="56"/>
        <v>9827699</v>
      </c>
      <c r="N36" s="1436">
        <f t="shared" si="56"/>
        <v>2165157</v>
      </c>
      <c r="O36" s="1436">
        <f t="shared" si="56"/>
        <v>8125438</v>
      </c>
      <c r="P36" s="1436">
        <f t="shared" si="56"/>
        <v>0</v>
      </c>
      <c r="Q36" s="1436">
        <f t="shared" si="56"/>
        <v>0</v>
      </c>
      <c r="R36" s="1436">
        <f t="shared" si="56"/>
        <v>0</v>
      </c>
      <c r="S36" s="1436">
        <f t="shared" si="56"/>
        <v>0</v>
      </c>
      <c r="T36" s="1436">
        <f t="shared" si="56"/>
        <v>0</v>
      </c>
      <c r="U36" s="1862"/>
      <c r="V36" s="1862"/>
      <c r="W36" s="1862"/>
      <c r="X36" s="1863" t="str">
        <f t="shared" si="56"/>
        <v>x</v>
      </c>
      <c r="Y36" s="3211"/>
    </row>
    <row r="37" spans="1:87" s="1451" customFormat="1" ht="13.5" customHeight="1">
      <c r="A37" s="3307"/>
      <c r="B37" s="1859" t="s">
        <v>48</v>
      </c>
      <c r="C37" s="3304"/>
      <c r="D37" s="1392">
        <f>M37+O37+P37+Q37+R37+S37+T37+U37+V37+W37</f>
        <v>17953137</v>
      </c>
      <c r="E37" s="1392">
        <f>+F37+G37+H37</f>
        <v>0</v>
      </c>
      <c r="F37" s="1392"/>
      <c r="G37" s="1392"/>
      <c r="H37" s="1392"/>
      <c r="I37" s="1860">
        <f>0+227853-227853</f>
        <v>0</v>
      </c>
      <c r="J37" s="1392">
        <f>7290734-7290734+155250-155250</f>
        <v>0</v>
      </c>
      <c r="K37" s="1392">
        <f>3652516+4042558-1104084-1150036-1214385-72807</f>
        <v>4153762</v>
      </c>
      <c r="L37" s="1392">
        <f>10376035-2275067-762048-167205+257118-3798601-121452</f>
        <v>3508780</v>
      </c>
      <c r="M37" s="1374">
        <f>+E37+I37+J37+K37+L37+N37</f>
        <v>9827699</v>
      </c>
      <c r="N37" s="1392">
        <f>0+1528981+1764693-184311+3798601+121452-1428819-2608065-827375</f>
        <v>2165157</v>
      </c>
      <c r="O37" s="1392">
        <f>0+3021795+2533065+827375+1743203</f>
        <v>8125438</v>
      </c>
      <c r="P37" s="1392">
        <v>0</v>
      </c>
      <c r="Q37" s="1392">
        <v>0</v>
      </c>
      <c r="R37" s="1392">
        <v>0</v>
      </c>
      <c r="S37" s="1392">
        <v>0</v>
      </c>
      <c r="T37" s="1392">
        <v>0</v>
      </c>
      <c r="U37" s="1864"/>
      <c r="V37" s="1864"/>
      <c r="W37" s="1864"/>
      <c r="X37" s="1865" t="s">
        <v>77</v>
      </c>
      <c r="Y37" s="3211"/>
    </row>
    <row r="38" spans="1:87" s="1897" customFormat="1" ht="13.5" customHeight="1">
      <c r="A38" s="3307"/>
      <c r="B38" s="1827" t="s">
        <v>34</v>
      </c>
      <c r="C38" s="1866"/>
      <c r="D38" s="1434">
        <f>D41+D39</f>
        <v>22627543</v>
      </c>
      <c r="E38" s="1434">
        <f t="shared" ref="E38:R38" si="57">E41+E39</f>
        <v>0</v>
      </c>
      <c r="F38" s="1434">
        <f t="shared" si="57"/>
        <v>0</v>
      </c>
      <c r="G38" s="1434">
        <f t="shared" si="57"/>
        <v>0</v>
      </c>
      <c r="H38" s="1434">
        <f t="shared" si="57"/>
        <v>0</v>
      </c>
      <c r="I38" s="1434">
        <f t="shared" si="57"/>
        <v>0</v>
      </c>
      <c r="J38" s="1434">
        <f t="shared" si="57"/>
        <v>0</v>
      </c>
      <c r="K38" s="1434">
        <f t="shared" si="57"/>
        <v>6370013</v>
      </c>
      <c r="L38" s="1434">
        <f t="shared" si="57"/>
        <v>4222638</v>
      </c>
      <c r="M38" s="1516">
        <f t="shared" ref="M38" si="58">M41+M39</f>
        <v>12521825</v>
      </c>
      <c r="N38" s="1434">
        <f t="shared" si="57"/>
        <v>1929174</v>
      </c>
      <c r="O38" s="1434">
        <f t="shared" si="57"/>
        <v>6023597</v>
      </c>
      <c r="P38" s="1434">
        <f t="shared" si="57"/>
        <v>4082121</v>
      </c>
      <c r="Q38" s="1434">
        <f t="shared" si="57"/>
        <v>0</v>
      </c>
      <c r="R38" s="1434">
        <f t="shared" si="57"/>
        <v>0</v>
      </c>
      <c r="S38" s="1434">
        <f t="shared" ref="S38:T38" si="59">S41+S39</f>
        <v>0</v>
      </c>
      <c r="T38" s="1434">
        <f t="shared" si="59"/>
        <v>0</v>
      </c>
      <c r="U38" s="1434"/>
      <c r="V38" s="1434"/>
      <c r="W38" s="1434"/>
      <c r="X38" s="3320" t="s">
        <v>77</v>
      </c>
      <c r="Y38" s="3211"/>
    </row>
    <row r="39" spans="1:87" s="1897" customFormat="1" ht="13.5" customHeight="1">
      <c r="A39" s="3307"/>
      <c r="B39" s="1867" t="s">
        <v>36</v>
      </c>
      <c r="C39" s="3300" t="s">
        <v>203</v>
      </c>
      <c r="D39" s="1868">
        <f>+D40</f>
        <v>4674406</v>
      </c>
      <c r="E39" s="1868">
        <f t="shared" ref="E39:T39" si="60">+E40</f>
        <v>0</v>
      </c>
      <c r="F39" s="1868">
        <f t="shared" si="60"/>
        <v>0</v>
      </c>
      <c r="G39" s="1868">
        <f t="shared" si="60"/>
        <v>0</v>
      </c>
      <c r="H39" s="1868">
        <f t="shared" si="60"/>
        <v>0</v>
      </c>
      <c r="I39" s="1868">
        <f t="shared" si="60"/>
        <v>0</v>
      </c>
      <c r="J39" s="1868">
        <f t="shared" si="60"/>
        <v>0</v>
      </c>
      <c r="K39" s="1868">
        <f t="shared" si="60"/>
        <v>379212</v>
      </c>
      <c r="L39" s="1868">
        <f t="shared" si="60"/>
        <v>1552364</v>
      </c>
      <c r="M39" s="1868">
        <f t="shared" si="60"/>
        <v>2920919</v>
      </c>
      <c r="N39" s="1868">
        <f t="shared" si="60"/>
        <v>989343</v>
      </c>
      <c r="O39" s="1868">
        <f t="shared" si="60"/>
        <v>465209</v>
      </c>
      <c r="P39" s="1868">
        <f t="shared" si="60"/>
        <v>1288278</v>
      </c>
      <c r="Q39" s="1868">
        <f t="shared" si="60"/>
        <v>0</v>
      </c>
      <c r="R39" s="1868">
        <f t="shared" si="60"/>
        <v>0</v>
      </c>
      <c r="S39" s="1868">
        <f t="shared" si="60"/>
        <v>0</v>
      </c>
      <c r="T39" s="1868">
        <f t="shared" si="60"/>
        <v>0</v>
      </c>
      <c r="U39" s="1868"/>
      <c r="V39" s="1868"/>
      <c r="W39" s="1868"/>
      <c r="X39" s="3321"/>
      <c r="Y39" s="3211"/>
    </row>
    <row r="40" spans="1:87" s="1897" customFormat="1" ht="13.5" customHeight="1">
      <c r="A40" s="3307"/>
      <c r="B40" s="1859" t="s">
        <v>174</v>
      </c>
      <c r="C40" s="3301"/>
      <c r="D40" s="1392">
        <f>M40+O40+P40+Q40+R40+S40+T40+U40+V40+W40</f>
        <v>4674406</v>
      </c>
      <c r="E40" s="1860">
        <v>0</v>
      </c>
      <c r="F40" s="1860"/>
      <c r="G40" s="1860"/>
      <c r="H40" s="1860"/>
      <c r="I40" s="1860">
        <v>0</v>
      </c>
      <c r="J40" s="1860">
        <v>0</v>
      </c>
      <c r="K40" s="1860">
        <f>1612862-650514-577547-5589</f>
        <v>379212</v>
      </c>
      <c r="L40" s="1860">
        <f>2719795-556712-20925+153120-742914</f>
        <v>1552364</v>
      </c>
      <c r="M40" s="1374">
        <f>+E40+I40+J40+K40+L40+N40</f>
        <v>2920919</v>
      </c>
      <c r="N40" s="1860">
        <f>0+1214198+604808-147531+742914-978578-773907+327439</f>
        <v>989343</v>
      </c>
      <c r="O40" s="1860">
        <f>0+1467091+750907-327439-1264315-161035</f>
        <v>465209</v>
      </c>
      <c r="P40" s="1860">
        <f>0+1264315+23963</f>
        <v>1288278</v>
      </c>
      <c r="Q40" s="1860">
        <v>0</v>
      </c>
      <c r="R40" s="1860">
        <v>0</v>
      </c>
      <c r="S40" s="1860">
        <v>0</v>
      </c>
      <c r="T40" s="1860">
        <v>0</v>
      </c>
      <c r="U40" s="1860"/>
      <c r="V40" s="1860"/>
      <c r="W40" s="1860"/>
      <c r="X40" s="3321"/>
      <c r="Y40" s="3211"/>
      <c r="AA40" s="2869">
        <f>D40-'[4]Tab. 6F - Kultura'!$D$40</f>
        <v>-137072</v>
      </c>
    </row>
    <row r="41" spans="1:87" s="1451" customFormat="1" ht="13.5" customHeight="1">
      <c r="A41" s="3307"/>
      <c r="B41" s="1861" t="s">
        <v>30</v>
      </c>
      <c r="C41" s="3303" t="s">
        <v>35</v>
      </c>
      <c r="D41" s="1436">
        <f>+D42</f>
        <v>17953137</v>
      </c>
      <c r="E41" s="1436">
        <f>+E42</f>
        <v>0</v>
      </c>
      <c r="F41" s="1436"/>
      <c r="G41" s="1436"/>
      <c r="H41" s="1436"/>
      <c r="I41" s="1436">
        <f t="shared" ref="I41:T41" si="61">+I42</f>
        <v>0</v>
      </c>
      <c r="J41" s="1436">
        <f t="shared" si="61"/>
        <v>0</v>
      </c>
      <c r="K41" s="1436">
        <f t="shared" si="61"/>
        <v>5990801</v>
      </c>
      <c r="L41" s="1436">
        <f t="shared" si="61"/>
        <v>2670274</v>
      </c>
      <c r="M41" s="1862">
        <f t="shared" si="61"/>
        <v>9600906</v>
      </c>
      <c r="N41" s="1436">
        <f t="shared" si="61"/>
        <v>939831</v>
      </c>
      <c r="O41" s="1436">
        <f t="shared" si="61"/>
        <v>5558388</v>
      </c>
      <c r="P41" s="1436">
        <f t="shared" si="61"/>
        <v>2793843</v>
      </c>
      <c r="Q41" s="1436">
        <f t="shared" si="61"/>
        <v>0</v>
      </c>
      <c r="R41" s="1436">
        <f t="shared" si="61"/>
        <v>0</v>
      </c>
      <c r="S41" s="1436">
        <f t="shared" si="61"/>
        <v>0</v>
      </c>
      <c r="T41" s="1436">
        <f t="shared" si="61"/>
        <v>0</v>
      </c>
      <c r="U41" s="1436"/>
      <c r="V41" s="1436"/>
      <c r="W41" s="1436"/>
      <c r="X41" s="3321"/>
      <c r="Y41" s="3211"/>
    </row>
    <row r="42" spans="1:87" s="1451" customFormat="1" ht="13.5" customHeight="1" thickBot="1">
      <c r="A42" s="3310"/>
      <c r="B42" s="1859" t="s">
        <v>48</v>
      </c>
      <c r="C42" s="3304"/>
      <c r="D42" s="1392">
        <f>M42+O42+P42+Q42+R42+S42+T42+U42+V42+W42</f>
        <v>17953137</v>
      </c>
      <c r="E42" s="1869">
        <f>+F42+G42+H42</f>
        <v>0</v>
      </c>
      <c r="F42" s="1869"/>
      <c r="G42" s="1869"/>
      <c r="H42" s="1869"/>
      <c r="I42" s="1869">
        <v>0</v>
      </c>
      <c r="J42" s="1869">
        <f>7290734-7290734</f>
        <v>0</v>
      </c>
      <c r="K42" s="1869">
        <f>3652516+4042558-1104084-766932-1597488+1764231</f>
        <v>5990801</v>
      </c>
      <c r="L42" s="1869">
        <f>10376035-2275067-762048-167205-1579921-2920991-529</f>
        <v>2670274</v>
      </c>
      <c r="M42" s="705">
        <f>+E42+I42+J42+K42+L42+N42</f>
        <v>9600906</v>
      </c>
      <c r="N42" s="1869">
        <f>0+1528980+1764693-184310+2920991+529-1277548-3605490-208014</f>
        <v>939831</v>
      </c>
      <c r="O42" s="1869">
        <f>0+2870524+3530490+208014-1050640</f>
        <v>5558388</v>
      </c>
      <c r="P42" s="1869">
        <v>2793843</v>
      </c>
      <c r="Q42" s="1869">
        <v>0</v>
      </c>
      <c r="R42" s="1869">
        <v>0</v>
      </c>
      <c r="S42" s="1869">
        <v>0</v>
      </c>
      <c r="T42" s="1869">
        <v>0</v>
      </c>
      <c r="U42" s="1869"/>
      <c r="V42" s="1869"/>
      <c r="W42" s="1869"/>
      <c r="X42" s="3322"/>
      <c r="Y42" s="3212"/>
    </row>
    <row r="43" spans="1:87" s="1311" customFormat="1" ht="27" customHeight="1">
      <c r="A43" s="3306" t="s">
        <v>81</v>
      </c>
      <c r="B43" s="1850" t="s">
        <v>464</v>
      </c>
      <c r="C43" s="1851" t="s">
        <v>98</v>
      </c>
      <c r="D43" s="1870"/>
      <c r="E43" s="1871"/>
      <c r="F43" s="1870"/>
      <c r="G43" s="1870"/>
      <c r="H43" s="1870"/>
      <c r="I43" s="1871"/>
      <c r="J43" s="1870"/>
      <c r="K43" s="1870"/>
      <c r="L43" s="1871"/>
      <c r="M43" s="1871"/>
      <c r="N43" s="1871"/>
      <c r="O43" s="1871"/>
      <c r="P43" s="1871"/>
      <c r="Q43" s="1871"/>
      <c r="R43" s="1871"/>
      <c r="S43" s="1872"/>
      <c r="T43" s="1872"/>
      <c r="U43" s="1872"/>
      <c r="V43" s="1872"/>
      <c r="W43" s="1872"/>
      <c r="X43" s="2210"/>
      <c r="Y43" s="3297" t="s">
        <v>204</v>
      </c>
      <c r="CI43" s="1896"/>
    </row>
    <row r="44" spans="1:87" s="1311" customFormat="1" ht="14.25" customHeight="1">
      <c r="A44" s="3307"/>
      <c r="B44" s="1827" t="s">
        <v>22</v>
      </c>
      <c r="C44" s="1853"/>
      <c r="D44" s="1382">
        <f>+D45+D48</f>
        <v>75015522</v>
      </c>
      <c r="E44" s="1382">
        <f t="shared" ref="E44:L44" si="62">+E45+E48</f>
        <v>625947</v>
      </c>
      <c r="F44" s="1382"/>
      <c r="G44" s="1382"/>
      <c r="H44" s="1382"/>
      <c r="I44" s="1382">
        <f t="shared" si="62"/>
        <v>1250000</v>
      </c>
      <c r="J44" s="1382">
        <f t="shared" si="62"/>
        <v>1806740</v>
      </c>
      <c r="K44" s="1382">
        <f t="shared" si="62"/>
        <v>4223669</v>
      </c>
      <c r="L44" s="1382">
        <f t="shared" si="62"/>
        <v>3088525</v>
      </c>
      <c r="M44" s="1382">
        <f t="shared" ref="M44" si="63">+M45+M48</f>
        <v>24525398</v>
      </c>
      <c r="N44" s="1382">
        <f t="shared" ref="N44:T44" si="64">+N45+N48</f>
        <v>13530517</v>
      </c>
      <c r="O44" s="1382">
        <f t="shared" si="64"/>
        <v>45839972</v>
      </c>
      <c r="P44" s="1382">
        <f t="shared" si="64"/>
        <v>4650152</v>
      </c>
      <c r="Q44" s="1382">
        <f t="shared" si="64"/>
        <v>0</v>
      </c>
      <c r="R44" s="1382">
        <f t="shared" si="64"/>
        <v>0</v>
      </c>
      <c r="S44" s="1382">
        <f t="shared" si="64"/>
        <v>0</v>
      </c>
      <c r="T44" s="1382">
        <f t="shared" si="64"/>
        <v>0</v>
      </c>
      <c r="U44" s="1382"/>
      <c r="V44" s="1382"/>
      <c r="W44" s="1382"/>
      <c r="X44" s="1388">
        <f>+X45</f>
        <v>0</v>
      </c>
      <c r="Y44" s="3211"/>
    </row>
    <row r="45" spans="1:87" s="1311" customFormat="1" ht="14.25" customHeight="1">
      <c r="A45" s="3307"/>
      <c r="B45" s="1867" t="s">
        <v>36</v>
      </c>
      <c r="C45" s="3308" t="s">
        <v>205</v>
      </c>
      <c r="D45" s="1384">
        <f>D46+D47</f>
        <v>29101795</v>
      </c>
      <c r="E45" s="1384">
        <f>E46</f>
        <v>625947</v>
      </c>
      <c r="F45" s="1384"/>
      <c r="G45" s="1384"/>
      <c r="H45" s="1384"/>
      <c r="I45" s="1384">
        <f>I46</f>
        <v>1250000</v>
      </c>
      <c r="J45" s="1384">
        <f>J46</f>
        <v>1806740</v>
      </c>
      <c r="K45" s="1384">
        <f>K46</f>
        <v>2417285</v>
      </c>
      <c r="L45" s="1384">
        <f t="shared" ref="L45:R45" si="65">L46+L47</f>
        <v>1179067</v>
      </c>
      <c r="M45" s="1384">
        <f t="shared" ref="M45" si="66">M46+M47</f>
        <v>17898655</v>
      </c>
      <c r="N45" s="1384">
        <f t="shared" si="65"/>
        <v>10619616</v>
      </c>
      <c r="O45" s="1384">
        <f t="shared" si="65"/>
        <v>11141245</v>
      </c>
      <c r="P45" s="1384">
        <f t="shared" si="65"/>
        <v>61895</v>
      </c>
      <c r="Q45" s="1384">
        <f t="shared" si="65"/>
        <v>0</v>
      </c>
      <c r="R45" s="1384">
        <f t="shared" si="65"/>
        <v>0</v>
      </c>
      <c r="S45" s="1384">
        <f t="shared" ref="S45:T45" si="67">S46+S47</f>
        <v>0</v>
      </c>
      <c r="T45" s="1384">
        <f t="shared" si="67"/>
        <v>0</v>
      </c>
      <c r="U45" s="1384"/>
      <c r="V45" s="1384"/>
      <c r="W45" s="1384"/>
      <c r="X45" s="1363">
        <f>+X46</f>
        <v>0</v>
      </c>
      <c r="Y45" s="3211"/>
    </row>
    <row r="46" spans="1:87" s="1311" customFormat="1" ht="14.25" customHeight="1">
      <c r="A46" s="3307"/>
      <c r="B46" s="1859" t="s">
        <v>152</v>
      </c>
      <c r="C46" s="3309"/>
      <c r="D46" s="1392">
        <f>M46+O46+P46+Q46+R46+S46+T46+U46+V46+W46</f>
        <v>28745371</v>
      </c>
      <c r="E46" s="1374">
        <f>524010+101937</f>
        <v>625947</v>
      </c>
      <c r="F46" s="1374"/>
      <c r="G46" s="1374"/>
      <c r="H46" s="1374"/>
      <c r="I46" s="1374">
        <f>1250000</f>
        <v>1250000</v>
      </c>
      <c r="J46" s="1374">
        <v>1806740</v>
      </c>
      <c r="K46" s="1374">
        <f>6626221+3165475-6867368-507043</f>
        <v>2417285</v>
      </c>
      <c r="L46" s="1374">
        <f>10000000+3190347-33690+1111636-9977427-3183343</f>
        <v>1107523</v>
      </c>
      <c r="M46" s="1374">
        <f>+E46+I46+J46+K46+L46+N46</f>
        <v>17674422</v>
      </c>
      <c r="N46" s="1374">
        <f>0+5755732+507043+12753787+3183343-5402276-6330702</f>
        <v>10466927</v>
      </c>
      <c r="O46" s="1374">
        <f>0+5402276+3422971+6330702-4085000</f>
        <v>11070949</v>
      </c>
      <c r="P46" s="1374">
        <v>0</v>
      </c>
      <c r="Q46" s="1374">
        <v>0</v>
      </c>
      <c r="R46" s="1374">
        <v>0</v>
      </c>
      <c r="S46" s="1374">
        <v>0</v>
      </c>
      <c r="T46" s="1374">
        <v>0</v>
      </c>
      <c r="U46" s="1374"/>
      <c r="V46" s="1374"/>
      <c r="W46" s="1374"/>
      <c r="X46" s="1823">
        <f>SUM(P46:T46)</f>
        <v>0</v>
      </c>
      <c r="Y46" s="3211"/>
    </row>
    <row r="47" spans="1:87" s="1311" customFormat="1" ht="14.25" customHeight="1">
      <c r="A47" s="3307"/>
      <c r="B47" s="2211" t="s">
        <v>45</v>
      </c>
      <c r="C47" s="3303" t="s">
        <v>35</v>
      </c>
      <c r="D47" s="1392">
        <f>M47+O47+P47+Q47+R47+S47+T47+U47+V47+W47</f>
        <v>356424</v>
      </c>
      <c r="E47" s="2212">
        <v>0</v>
      </c>
      <c r="F47" s="2212"/>
      <c r="G47" s="2212"/>
      <c r="H47" s="2212"/>
      <c r="I47" s="2212">
        <v>0</v>
      </c>
      <c r="J47" s="2212">
        <v>0</v>
      </c>
      <c r="K47" s="2212">
        <v>0</v>
      </c>
      <c r="L47" s="2212">
        <v>71544</v>
      </c>
      <c r="M47" s="1374">
        <f>+E47+I47+J47+K47+L47+N47</f>
        <v>224233</v>
      </c>
      <c r="N47" s="2212">
        <f>220000-67311</f>
        <v>152689</v>
      </c>
      <c r="O47" s="2212">
        <f>0+67311+2985</f>
        <v>70296</v>
      </c>
      <c r="P47" s="2212">
        <v>61895</v>
      </c>
      <c r="Q47" s="2212">
        <v>0</v>
      </c>
      <c r="R47" s="2212">
        <v>0</v>
      </c>
      <c r="S47" s="2212">
        <v>0</v>
      </c>
      <c r="T47" s="2212">
        <v>0</v>
      </c>
      <c r="U47" s="2212"/>
      <c r="V47" s="2212"/>
      <c r="W47" s="2212"/>
      <c r="X47" s="2213" t="s">
        <v>77</v>
      </c>
      <c r="Y47" s="3211"/>
    </row>
    <row r="48" spans="1:87" s="1311" customFormat="1" ht="14.25" customHeight="1">
      <c r="A48" s="3307"/>
      <c r="B48" s="2214" t="s">
        <v>30</v>
      </c>
      <c r="C48" s="3311"/>
      <c r="D48" s="1842">
        <f>+D49</f>
        <v>45913727</v>
      </c>
      <c r="E48" s="1842">
        <f>+E49</f>
        <v>0</v>
      </c>
      <c r="F48" s="1842"/>
      <c r="G48" s="1842"/>
      <c r="H48" s="1842"/>
      <c r="I48" s="1842">
        <f t="shared" ref="I48:X48" si="68">+I49</f>
        <v>0</v>
      </c>
      <c r="J48" s="1842">
        <f t="shared" si="68"/>
        <v>0</v>
      </c>
      <c r="K48" s="1842">
        <f t="shared" si="68"/>
        <v>1806384</v>
      </c>
      <c r="L48" s="1842">
        <f t="shared" si="68"/>
        <v>1909458</v>
      </c>
      <c r="M48" s="1842">
        <f t="shared" si="68"/>
        <v>6626743</v>
      </c>
      <c r="N48" s="1842">
        <f t="shared" si="68"/>
        <v>2910901</v>
      </c>
      <c r="O48" s="1842">
        <f t="shared" si="68"/>
        <v>34698727</v>
      </c>
      <c r="P48" s="1842">
        <f t="shared" si="68"/>
        <v>4588257</v>
      </c>
      <c r="Q48" s="1842">
        <f t="shared" si="68"/>
        <v>0</v>
      </c>
      <c r="R48" s="1842">
        <f t="shared" si="68"/>
        <v>0</v>
      </c>
      <c r="S48" s="1842">
        <f t="shared" si="68"/>
        <v>0</v>
      </c>
      <c r="T48" s="1842">
        <f t="shared" si="68"/>
        <v>0</v>
      </c>
      <c r="U48" s="1842"/>
      <c r="V48" s="1842"/>
      <c r="W48" s="1842"/>
      <c r="X48" s="1858" t="str">
        <f t="shared" si="68"/>
        <v>x</v>
      </c>
      <c r="Y48" s="3211"/>
    </row>
    <row r="49" spans="1:87" s="1311" customFormat="1" ht="14.25" customHeight="1">
      <c r="A49" s="3307"/>
      <c r="B49" s="2211" t="s">
        <v>48</v>
      </c>
      <c r="C49" s="3304"/>
      <c r="D49" s="1392">
        <f>M49+O49+P49+Q49+R49+S49+T49+U49+V49+W49</f>
        <v>45913727</v>
      </c>
      <c r="E49" s="1374">
        <f>+F49+G49+H49</f>
        <v>0</v>
      </c>
      <c r="F49" s="1374"/>
      <c r="G49" s="1374"/>
      <c r="H49" s="1374"/>
      <c r="I49" s="1374">
        <v>0</v>
      </c>
      <c r="J49" s="1374">
        <v>0</v>
      </c>
      <c r="K49" s="1374">
        <f>20555625-18749241</f>
        <v>1806384</v>
      </c>
      <c r="L49" s="1374">
        <f>21180830-449123-18531707-290542</f>
        <v>1909458</v>
      </c>
      <c r="M49" s="1374">
        <f>+E49+I49+J49+K49+L49+N49</f>
        <v>6626743</v>
      </c>
      <c r="N49" s="1374">
        <f>0+18372065+18531707+290542-16928889-17354524</f>
        <v>2910901</v>
      </c>
      <c r="O49" s="1374">
        <f>0+16928889+5405892+17330134-3860802-1105386</f>
        <v>34698727</v>
      </c>
      <c r="P49" s="1374">
        <f>865936+385389+3336932</f>
        <v>4588257</v>
      </c>
      <c r="Q49" s="1374">
        <v>0</v>
      </c>
      <c r="R49" s="1374">
        <v>0</v>
      </c>
      <c r="S49" s="1374">
        <v>0</v>
      </c>
      <c r="T49" s="1374">
        <v>0</v>
      </c>
      <c r="U49" s="1374"/>
      <c r="V49" s="1374"/>
      <c r="W49" s="1374"/>
      <c r="X49" s="1873" t="s">
        <v>77</v>
      </c>
      <c r="Y49" s="3211"/>
    </row>
    <row r="50" spans="1:87" s="1896" customFormat="1" ht="14.25" customHeight="1">
      <c r="A50" s="3307"/>
      <c r="B50" s="1827" t="s">
        <v>34</v>
      </c>
      <c r="C50" s="1853"/>
      <c r="D50" s="1382">
        <f>D53+D51</f>
        <v>59439485</v>
      </c>
      <c r="E50" s="1382">
        <f t="shared" ref="E50:P50" si="69">E53+E51</f>
        <v>0</v>
      </c>
      <c r="F50" s="1382">
        <f t="shared" si="69"/>
        <v>0</v>
      </c>
      <c r="G50" s="1382">
        <f t="shared" si="69"/>
        <v>0</v>
      </c>
      <c r="H50" s="1382">
        <f t="shared" si="69"/>
        <v>0</v>
      </c>
      <c r="I50" s="1382">
        <f t="shared" si="69"/>
        <v>101937</v>
      </c>
      <c r="J50" s="1382">
        <f t="shared" si="69"/>
        <v>220330</v>
      </c>
      <c r="K50" s="1382">
        <f t="shared" si="69"/>
        <v>2712892</v>
      </c>
      <c r="L50" s="1382">
        <f t="shared" si="69"/>
        <v>2180016</v>
      </c>
      <c r="M50" s="1382">
        <f t="shared" ref="M50" si="70">M53+M51</f>
        <v>9730917</v>
      </c>
      <c r="N50" s="1382">
        <f t="shared" si="69"/>
        <v>4515742</v>
      </c>
      <c r="O50" s="1382">
        <f t="shared" si="69"/>
        <v>43211542</v>
      </c>
      <c r="P50" s="1382">
        <f t="shared" si="69"/>
        <v>6497026</v>
      </c>
      <c r="Q50" s="1382">
        <f>Q53+Q51</f>
        <v>0</v>
      </c>
      <c r="R50" s="1382">
        <f>R53+R51</f>
        <v>0</v>
      </c>
      <c r="S50" s="1382">
        <f>S53+S51</f>
        <v>0</v>
      </c>
      <c r="T50" s="1382">
        <f>T53+T51</f>
        <v>0</v>
      </c>
      <c r="U50" s="1382"/>
      <c r="V50" s="1382"/>
      <c r="W50" s="1382"/>
      <c r="X50" s="3312" t="s">
        <v>77</v>
      </c>
      <c r="Y50" s="3211"/>
    </row>
    <row r="51" spans="1:87" s="1896" customFormat="1" ht="14.25" customHeight="1">
      <c r="A51" s="3307"/>
      <c r="B51" s="1867" t="s">
        <v>36</v>
      </c>
      <c r="C51" s="3308" t="s">
        <v>205</v>
      </c>
      <c r="D51" s="1874">
        <f t="shared" ref="D51:T51" si="71">+D52</f>
        <v>13525758</v>
      </c>
      <c r="E51" s="1874">
        <f t="shared" si="71"/>
        <v>0</v>
      </c>
      <c r="F51" s="1874">
        <f t="shared" si="71"/>
        <v>0</v>
      </c>
      <c r="G51" s="1874">
        <f t="shared" si="71"/>
        <v>0</v>
      </c>
      <c r="H51" s="1874">
        <f t="shared" si="71"/>
        <v>0</v>
      </c>
      <c r="I51" s="1874">
        <f t="shared" si="71"/>
        <v>101937</v>
      </c>
      <c r="J51" s="1874">
        <f t="shared" si="71"/>
        <v>220330</v>
      </c>
      <c r="K51" s="1874">
        <f t="shared" si="71"/>
        <v>906508</v>
      </c>
      <c r="L51" s="1874">
        <f t="shared" si="71"/>
        <v>270558</v>
      </c>
      <c r="M51" s="1874">
        <f t="shared" si="71"/>
        <v>3104174</v>
      </c>
      <c r="N51" s="1874">
        <f t="shared" si="71"/>
        <v>1604841</v>
      </c>
      <c r="O51" s="1874">
        <f t="shared" si="71"/>
        <v>8512815</v>
      </c>
      <c r="P51" s="1874">
        <f t="shared" si="71"/>
        <v>1908769</v>
      </c>
      <c r="Q51" s="1874">
        <f t="shared" si="71"/>
        <v>0</v>
      </c>
      <c r="R51" s="1874">
        <f t="shared" si="71"/>
        <v>0</v>
      </c>
      <c r="S51" s="1874">
        <f t="shared" si="71"/>
        <v>0</v>
      </c>
      <c r="T51" s="1874">
        <f t="shared" si="71"/>
        <v>0</v>
      </c>
      <c r="U51" s="1874"/>
      <c r="V51" s="1874"/>
      <c r="W51" s="1874"/>
      <c r="X51" s="3313"/>
      <c r="Y51" s="3211"/>
    </row>
    <row r="52" spans="1:87" s="1896" customFormat="1" ht="14.25" customHeight="1">
      <c r="A52" s="3307"/>
      <c r="B52" s="2211" t="s">
        <v>174</v>
      </c>
      <c r="C52" s="3309"/>
      <c r="D52" s="1392">
        <f>M52+O52+P52+Q52+R52+S52+T52+U52+V52+W52</f>
        <v>13525758</v>
      </c>
      <c r="E52" s="1374">
        <v>0</v>
      </c>
      <c r="F52" s="1374"/>
      <c r="G52" s="1374"/>
      <c r="H52" s="1374"/>
      <c r="I52" s="1374">
        <v>101937</v>
      </c>
      <c r="J52" s="1374">
        <v>220330</v>
      </c>
      <c r="K52" s="1374">
        <f>337846+568662</f>
        <v>906508</v>
      </c>
      <c r="L52" s="1374">
        <f>5898044-2464898-3112529-50059</f>
        <v>270558</v>
      </c>
      <c r="M52" s="1374">
        <f>+E52+I52+J52+K52+L52+N52</f>
        <v>3104174</v>
      </c>
      <c r="N52" s="1374">
        <f>6167169+1616891+3622336+50059-7140695-2710919</f>
        <v>1604841</v>
      </c>
      <c r="O52" s="1374">
        <f>0+7140695+1621007+2710919-2960000+194</f>
        <v>8512815</v>
      </c>
      <c r="P52" s="1374">
        <f>2213313-304544</f>
        <v>1908769</v>
      </c>
      <c r="Q52" s="1374">
        <v>0</v>
      </c>
      <c r="R52" s="1374">
        <v>0</v>
      </c>
      <c r="S52" s="1374">
        <v>0</v>
      </c>
      <c r="T52" s="1374">
        <v>0</v>
      </c>
      <c r="U52" s="1374"/>
      <c r="V52" s="1374"/>
      <c r="W52" s="1374"/>
      <c r="X52" s="3313"/>
      <c r="Y52" s="3211"/>
      <c r="AA52" s="1898">
        <f>D52-'[4]Tab. 6F - Kultura'!$D$52</f>
        <v>0</v>
      </c>
    </row>
    <row r="53" spans="1:87" s="1311" customFormat="1" ht="14.25" customHeight="1">
      <c r="A53" s="3307"/>
      <c r="B53" s="2214" t="s">
        <v>30</v>
      </c>
      <c r="C53" s="3303" t="s">
        <v>35</v>
      </c>
      <c r="D53" s="1384">
        <f>+D54</f>
        <v>45913727</v>
      </c>
      <c r="E53" s="1384">
        <f t="shared" ref="E53:M53" si="72">+E54</f>
        <v>0</v>
      </c>
      <c r="F53" s="1384"/>
      <c r="G53" s="1384"/>
      <c r="H53" s="1384"/>
      <c r="I53" s="1384">
        <f t="shared" si="72"/>
        <v>0</v>
      </c>
      <c r="J53" s="1384">
        <f t="shared" si="72"/>
        <v>0</v>
      </c>
      <c r="K53" s="1384">
        <f t="shared" si="72"/>
        <v>1806384</v>
      </c>
      <c r="L53" s="1384">
        <f t="shared" si="72"/>
        <v>1909458</v>
      </c>
      <c r="M53" s="1384">
        <f t="shared" si="72"/>
        <v>6626743</v>
      </c>
      <c r="N53" s="1384">
        <f t="shared" ref="N53:T53" si="73">+N54</f>
        <v>2910901</v>
      </c>
      <c r="O53" s="1384">
        <f t="shared" si="73"/>
        <v>34698727</v>
      </c>
      <c r="P53" s="1384">
        <f t="shared" si="73"/>
        <v>4588257</v>
      </c>
      <c r="Q53" s="1384">
        <f t="shared" si="73"/>
        <v>0</v>
      </c>
      <c r="R53" s="1384">
        <f t="shared" si="73"/>
        <v>0</v>
      </c>
      <c r="S53" s="1384">
        <f t="shared" si="73"/>
        <v>0</v>
      </c>
      <c r="T53" s="1384">
        <f t="shared" si="73"/>
        <v>0</v>
      </c>
      <c r="U53" s="1384"/>
      <c r="V53" s="1384"/>
      <c r="W53" s="1384"/>
      <c r="X53" s="3313"/>
      <c r="Y53" s="3211"/>
    </row>
    <row r="54" spans="1:87" s="1311" customFormat="1" ht="14.25" customHeight="1" thickBot="1">
      <c r="A54" s="3310"/>
      <c r="B54" s="2215" t="s">
        <v>48</v>
      </c>
      <c r="C54" s="3305"/>
      <c r="D54" s="1869">
        <f>M54+O54+P54+Q54+R54+S54+T54+U54+V54+W54</f>
        <v>45913727</v>
      </c>
      <c r="E54" s="705">
        <f>+F54+G54+H54</f>
        <v>0</v>
      </c>
      <c r="F54" s="705"/>
      <c r="G54" s="705"/>
      <c r="H54" s="705"/>
      <c r="I54" s="705">
        <v>0</v>
      </c>
      <c r="J54" s="705">
        <v>0</v>
      </c>
      <c r="K54" s="705">
        <f>20555625-18749241</f>
        <v>1806384</v>
      </c>
      <c r="L54" s="705">
        <f>21180830-449123-18531707-290542</f>
        <v>1909458</v>
      </c>
      <c r="M54" s="705">
        <f>+E54+I54+J54+K54+L54+N54</f>
        <v>6626743</v>
      </c>
      <c r="N54" s="705">
        <f>18372065+18531707+290542-16928889-17354524</f>
        <v>2910901</v>
      </c>
      <c r="O54" s="705">
        <f>0+16928889+5405892+17330134-3860802-1105386</f>
        <v>34698727</v>
      </c>
      <c r="P54" s="705">
        <f>865936+385389+3336932</f>
        <v>4588257</v>
      </c>
      <c r="Q54" s="705">
        <v>0</v>
      </c>
      <c r="R54" s="705">
        <v>0</v>
      </c>
      <c r="S54" s="705">
        <v>0</v>
      </c>
      <c r="T54" s="705">
        <v>0</v>
      </c>
      <c r="U54" s="705"/>
      <c r="V54" s="705"/>
      <c r="W54" s="705"/>
      <c r="X54" s="3314"/>
      <c r="Y54" s="3212"/>
    </row>
    <row r="55" spans="1:87" s="1311" customFormat="1" ht="39" hidden="1" customHeight="1">
      <c r="A55" s="3306" t="s">
        <v>82</v>
      </c>
      <c r="B55" s="1850"/>
      <c r="C55" s="1851" t="s">
        <v>98</v>
      </c>
      <c r="D55" s="1870"/>
      <c r="E55" s="1870"/>
      <c r="F55" s="1870"/>
      <c r="G55" s="1870"/>
      <c r="H55" s="1870"/>
      <c r="I55" s="1870"/>
      <c r="J55" s="1870"/>
      <c r="K55" s="1870"/>
      <c r="L55" s="1871"/>
      <c r="M55" s="1871"/>
      <c r="N55" s="1871"/>
      <c r="O55" s="1871"/>
      <c r="P55" s="1871"/>
      <c r="Q55" s="1871"/>
      <c r="R55" s="1871"/>
      <c r="S55" s="1872"/>
      <c r="T55" s="1872"/>
      <c r="U55" s="1872"/>
      <c r="V55" s="1872"/>
      <c r="W55" s="1872"/>
      <c r="X55" s="1875"/>
      <c r="Y55" s="3297" t="s">
        <v>206</v>
      </c>
      <c r="CI55" s="1896"/>
    </row>
    <row r="56" spans="1:87" s="1311" customFormat="1" ht="13.5" hidden="1" customHeight="1">
      <c r="A56" s="3307"/>
      <c r="B56" s="1827" t="s">
        <v>22</v>
      </c>
      <c r="C56" s="1853"/>
      <c r="D56" s="1382">
        <f>+D57+D60</f>
        <v>0</v>
      </c>
      <c r="E56" s="1382">
        <f t="shared" ref="E56:L56" si="74">+E57+E60</f>
        <v>0</v>
      </c>
      <c r="F56" s="1382">
        <f t="shared" si="74"/>
        <v>0</v>
      </c>
      <c r="G56" s="1382">
        <f t="shared" si="74"/>
        <v>0</v>
      </c>
      <c r="H56" s="1382">
        <f t="shared" si="74"/>
        <v>0</v>
      </c>
      <c r="I56" s="1382">
        <f t="shared" si="74"/>
        <v>0</v>
      </c>
      <c r="J56" s="1382">
        <f t="shared" si="74"/>
        <v>0</v>
      </c>
      <c r="K56" s="1382">
        <f t="shared" si="74"/>
        <v>0</v>
      </c>
      <c r="L56" s="1382">
        <f t="shared" si="74"/>
        <v>0</v>
      </c>
      <c r="M56" s="1382">
        <f t="shared" ref="M56" si="75">+M57+M60</f>
        <v>0</v>
      </c>
      <c r="N56" s="1382">
        <f t="shared" ref="N56:T56" si="76">+N57+N60</f>
        <v>0</v>
      </c>
      <c r="O56" s="1382">
        <f t="shared" si="76"/>
        <v>0</v>
      </c>
      <c r="P56" s="1382">
        <f t="shared" si="76"/>
        <v>0</v>
      </c>
      <c r="Q56" s="1382">
        <f t="shared" si="76"/>
        <v>0</v>
      </c>
      <c r="R56" s="1382">
        <f t="shared" si="76"/>
        <v>0</v>
      </c>
      <c r="S56" s="1382">
        <f t="shared" si="76"/>
        <v>0</v>
      </c>
      <c r="T56" s="1382">
        <f t="shared" si="76"/>
        <v>0</v>
      </c>
      <c r="U56" s="1382"/>
      <c r="V56" s="1382"/>
      <c r="W56" s="1382"/>
      <c r="X56" s="1388">
        <f>+X57</f>
        <v>0</v>
      </c>
      <c r="Y56" s="3211"/>
    </row>
    <row r="57" spans="1:87" s="1311" customFormat="1" ht="13.5" hidden="1" customHeight="1">
      <c r="A57" s="3307"/>
      <c r="B57" s="1838" t="s">
        <v>36</v>
      </c>
      <c r="C57" s="3308" t="s">
        <v>477</v>
      </c>
      <c r="D57" s="1384">
        <f>+D58+D59</f>
        <v>0</v>
      </c>
      <c r="E57" s="1384">
        <f t="shared" ref="E57:R57" si="77">+E58+E59</f>
        <v>0</v>
      </c>
      <c r="F57" s="1384">
        <f t="shared" si="77"/>
        <v>0</v>
      </c>
      <c r="G57" s="1384">
        <f t="shared" si="77"/>
        <v>0</v>
      </c>
      <c r="H57" s="1384">
        <f t="shared" si="77"/>
        <v>0</v>
      </c>
      <c r="I57" s="1384">
        <f t="shared" si="77"/>
        <v>0</v>
      </c>
      <c r="J57" s="1384">
        <f t="shared" si="77"/>
        <v>0</v>
      </c>
      <c r="K57" s="1384">
        <f t="shared" si="77"/>
        <v>0</v>
      </c>
      <c r="L57" s="1384">
        <f t="shared" si="77"/>
        <v>0</v>
      </c>
      <c r="M57" s="1384">
        <f t="shared" ref="M57" si="78">+M58+M59</f>
        <v>0</v>
      </c>
      <c r="N57" s="1384">
        <f t="shared" si="77"/>
        <v>0</v>
      </c>
      <c r="O57" s="1384">
        <f t="shared" si="77"/>
        <v>0</v>
      </c>
      <c r="P57" s="1384">
        <f t="shared" si="77"/>
        <v>0</v>
      </c>
      <c r="Q57" s="1384">
        <f t="shared" si="77"/>
        <v>0</v>
      </c>
      <c r="R57" s="1384">
        <f t="shared" si="77"/>
        <v>0</v>
      </c>
      <c r="S57" s="1384">
        <f t="shared" ref="S57:T57" si="79">+S58+S59</f>
        <v>0</v>
      </c>
      <c r="T57" s="1384">
        <f t="shared" si="79"/>
        <v>0</v>
      </c>
      <c r="U57" s="1384"/>
      <c r="V57" s="1384"/>
      <c r="W57" s="1384"/>
      <c r="X57" s="1389">
        <f>+X58</f>
        <v>0</v>
      </c>
      <c r="Y57" s="3211"/>
    </row>
    <row r="58" spans="1:87" s="1311" customFormat="1" ht="13.5" hidden="1" customHeight="1">
      <c r="A58" s="3307"/>
      <c r="B58" s="1876" t="s">
        <v>152</v>
      </c>
      <c r="C58" s="3309"/>
      <c r="D58" s="1392">
        <f t="shared" ref="D58:D59" si="80">M58+O58+P58+Q58+R58+S58+T58+U58+V58+W58</f>
        <v>0</v>
      </c>
      <c r="E58" s="1374">
        <v>0</v>
      </c>
      <c r="F58" s="1374"/>
      <c r="G58" s="1374"/>
      <c r="H58" s="1374"/>
      <c r="I58" s="1374">
        <v>0</v>
      </c>
      <c r="J58" s="1374"/>
      <c r="K58" s="1374"/>
      <c r="L58" s="1374"/>
      <c r="M58" s="1374"/>
      <c r="N58" s="1374"/>
      <c r="O58" s="1374"/>
      <c r="P58" s="1374"/>
      <c r="Q58" s="1374">
        <v>0</v>
      </c>
      <c r="R58" s="1374">
        <v>0</v>
      </c>
      <c r="S58" s="1374">
        <v>0</v>
      </c>
      <c r="T58" s="1374">
        <v>0</v>
      </c>
      <c r="U58" s="1374"/>
      <c r="V58" s="1374"/>
      <c r="W58" s="1374"/>
      <c r="X58" s="1823">
        <f>SUM(P58:T58)</f>
        <v>0</v>
      </c>
      <c r="Y58" s="3211"/>
    </row>
    <row r="59" spans="1:87" s="1311" customFormat="1" ht="13.5" hidden="1" customHeight="1">
      <c r="A59" s="3307"/>
      <c r="B59" s="1855" t="s">
        <v>45</v>
      </c>
      <c r="C59" s="2673"/>
      <c r="D59" s="1392">
        <f t="shared" si="80"/>
        <v>0</v>
      </c>
      <c r="E59" s="1374">
        <v>0</v>
      </c>
      <c r="F59" s="1374"/>
      <c r="G59" s="1374"/>
      <c r="H59" s="1374"/>
      <c r="I59" s="1374">
        <v>0</v>
      </c>
      <c r="J59" s="1374"/>
      <c r="K59" s="1374"/>
      <c r="L59" s="1374"/>
      <c r="M59" s="1374"/>
      <c r="N59" s="1374"/>
      <c r="O59" s="1374"/>
      <c r="P59" s="1374"/>
      <c r="Q59" s="1374"/>
      <c r="R59" s="1374"/>
      <c r="S59" s="1374"/>
      <c r="T59" s="1374"/>
      <c r="U59" s="1374"/>
      <c r="V59" s="1374"/>
      <c r="W59" s="1374"/>
      <c r="X59" s="1826" t="s">
        <v>77</v>
      </c>
      <c r="Y59" s="3211"/>
    </row>
    <row r="60" spans="1:87" s="1311" customFormat="1" ht="13.5" hidden="1" customHeight="1">
      <c r="A60" s="3307"/>
      <c r="B60" s="1841" t="s">
        <v>30</v>
      </c>
      <c r="C60" s="3303" t="s">
        <v>35</v>
      </c>
      <c r="D60" s="1874">
        <f>+D61</f>
        <v>0</v>
      </c>
      <c r="E60" s="1874">
        <f t="shared" ref="E60:X60" si="81">+E61</f>
        <v>0</v>
      </c>
      <c r="F60" s="1874">
        <f t="shared" si="81"/>
        <v>0</v>
      </c>
      <c r="G60" s="1874">
        <f t="shared" si="81"/>
        <v>0</v>
      </c>
      <c r="H60" s="1874">
        <f t="shared" si="81"/>
        <v>0</v>
      </c>
      <c r="I60" s="1874">
        <f t="shared" si="81"/>
        <v>0</v>
      </c>
      <c r="J60" s="1874">
        <f t="shared" si="81"/>
        <v>0</v>
      </c>
      <c r="K60" s="1874">
        <f t="shared" si="81"/>
        <v>0</v>
      </c>
      <c r="L60" s="1874">
        <f t="shared" si="81"/>
        <v>0</v>
      </c>
      <c r="M60" s="1874">
        <f t="shared" si="81"/>
        <v>0</v>
      </c>
      <c r="N60" s="1874">
        <f t="shared" si="81"/>
        <v>0</v>
      </c>
      <c r="O60" s="1874">
        <f t="shared" si="81"/>
        <v>0</v>
      </c>
      <c r="P60" s="1874">
        <f t="shared" si="81"/>
        <v>0</v>
      </c>
      <c r="Q60" s="1874">
        <f t="shared" si="81"/>
        <v>0</v>
      </c>
      <c r="R60" s="1874">
        <f t="shared" si="81"/>
        <v>0</v>
      </c>
      <c r="S60" s="1874">
        <f t="shared" si="81"/>
        <v>0</v>
      </c>
      <c r="T60" s="1874">
        <f t="shared" si="81"/>
        <v>0</v>
      </c>
      <c r="U60" s="1877"/>
      <c r="V60" s="1877"/>
      <c r="W60" s="1877"/>
      <c r="X60" s="1858" t="str">
        <f t="shared" si="81"/>
        <v>x</v>
      </c>
      <c r="Y60" s="3211"/>
    </row>
    <row r="61" spans="1:87" s="1311" customFormat="1" ht="13.5" hidden="1" customHeight="1">
      <c r="A61" s="3307"/>
      <c r="B61" s="1878" t="s">
        <v>48</v>
      </c>
      <c r="C61" s="3304"/>
      <c r="D61" s="1392">
        <f>M61+O61+P61+Q61+R61+S61+T61+U61+V61+W61</f>
        <v>0</v>
      </c>
      <c r="E61" s="1374">
        <v>0</v>
      </c>
      <c r="F61" s="1374"/>
      <c r="G61" s="1374"/>
      <c r="H61" s="1374"/>
      <c r="I61" s="1374">
        <v>0</v>
      </c>
      <c r="J61" s="1374">
        <v>0</v>
      </c>
      <c r="K61" s="1374">
        <v>0</v>
      </c>
      <c r="L61" s="1374">
        <v>0</v>
      </c>
      <c r="M61" s="1374"/>
      <c r="N61" s="1374"/>
      <c r="O61" s="1374"/>
      <c r="P61" s="1374">
        <v>0</v>
      </c>
      <c r="Q61" s="1374">
        <v>0</v>
      </c>
      <c r="R61" s="1374">
        <v>0</v>
      </c>
      <c r="S61" s="1374">
        <v>0</v>
      </c>
      <c r="T61" s="1374">
        <v>0</v>
      </c>
      <c r="U61" s="1374"/>
      <c r="V61" s="1374"/>
      <c r="W61" s="1374"/>
      <c r="X61" s="1873" t="s">
        <v>77</v>
      </c>
      <c r="Y61" s="3211"/>
    </row>
    <row r="62" spans="1:87" s="1311" customFormat="1" ht="13.5" hidden="1" customHeight="1">
      <c r="A62" s="3307"/>
      <c r="B62" s="1827" t="s">
        <v>34</v>
      </c>
      <c r="C62" s="1879"/>
      <c r="D62" s="1382">
        <f>+D63+D65</f>
        <v>0</v>
      </c>
      <c r="E62" s="1382">
        <f t="shared" ref="E62:R62" si="82">+E63+E65</f>
        <v>0</v>
      </c>
      <c r="F62" s="1382">
        <f t="shared" si="82"/>
        <v>0</v>
      </c>
      <c r="G62" s="1382">
        <f t="shared" si="82"/>
        <v>0</v>
      </c>
      <c r="H62" s="1382">
        <f t="shared" si="82"/>
        <v>0</v>
      </c>
      <c r="I62" s="1382">
        <f t="shared" si="82"/>
        <v>0</v>
      </c>
      <c r="J62" s="1382">
        <f t="shared" si="82"/>
        <v>0</v>
      </c>
      <c r="K62" s="1382">
        <f t="shared" si="82"/>
        <v>0</v>
      </c>
      <c r="L62" s="1382">
        <f t="shared" si="82"/>
        <v>0</v>
      </c>
      <c r="M62" s="1382">
        <f t="shared" ref="M62" si="83">+M63+M65</f>
        <v>0</v>
      </c>
      <c r="N62" s="1382">
        <f>+N63+N65</f>
        <v>0</v>
      </c>
      <c r="O62" s="1382">
        <f t="shared" si="82"/>
        <v>0</v>
      </c>
      <c r="P62" s="1382">
        <f t="shared" si="82"/>
        <v>0</v>
      </c>
      <c r="Q62" s="1382">
        <f t="shared" si="82"/>
        <v>0</v>
      </c>
      <c r="R62" s="1382">
        <f t="shared" si="82"/>
        <v>0</v>
      </c>
      <c r="S62" s="1382">
        <f t="shared" ref="S62:T62" si="84">+S63+S65</f>
        <v>0</v>
      </c>
      <c r="T62" s="1382">
        <f t="shared" si="84"/>
        <v>0</v>
      </c>
      <c r="U62" s="1382"/>
      <c r="V62" s="1382"/>
      <c r="W62" s="1382"/>
      <c r="X62" s="3239" t="s">
        <v>77</v>
      </c>
      <c r="Y62" s="3211"/>
    </row>
    <row r="63" spans="1:87" s="1311" customFormat="1" ht="13.5" hidden="1" customHeight="1">
      <c r="A63" s="3307"/>
      <c r="B63" s="1838" t="s">
        <v>36</v>
      </c>
      <c r="C63" s="3308" t="s">
        <v>477</v>
      </c>
      <c r="D63" s="1874">
        <f>+D64</f>
        <v>0</v>
      </c>
      <c r="E63" s="1384">
        <v>0</v>
      </c>
      <c r="F63" s="1384"/>
      <c r="G63" s="1384"/>
      <c r="H63" s="1384"/>
      <c r="I63" s="1384">
        <v>0</v>
      </c>
      <c r="J63" s="1384">
        <f>J64</f>
        <v>0</v>
      </c>
      <c r="K63" s="1384">
        <f>K64</f>
        <v>0</v>
      </c>
      <c r="L63" s="1384">
        <f>L64</f>
        <v>0</v>
      </c>
      <c r="M63" s="1384">
        <f>M64</f>
        <v>0</v>
      </c>
      <c r="N63" s="1384">
        <f t="shared" ref="N63:T63" si="85">+N64</f>
        <v>0</v>
      </c>
      <c r="O63" s="1384">
        <f t="shared" si="85"/>
        <v>0</v>
      </c>
      <c r="P63" s="1384">
        <f t="shared" si="85"/>
        <v>0</v>
      </c>
      <c r="Q63" s="1384">
        <f t="shared" si="85"/>
        <v>0</v>
      </c>
      <c r="R63" s="1384">
        <f t="shared" si="85"/>
        <v>0</v>
      </c>
      <c r="S63" s="1384">
        <f t="shared" si="85"/>
        <v>0</v>
      </c>
      <c r="T63" s="1384">
        <f t="shared" si="85"/>
        <v>0</v>
      </c>
      <c r="U63" s="1384"/>
      <c r="V63" s="1384"/>
      <c r="W63" s="1384"/>
      <c r="X63" s="3214"/>
      <c r="Y63" s="3211"/>
    </row>
    <row r="64" spans="1:87" s="1311" customFormat="1" ht="13.5" hidden="1" customHeight="1">
      <c r="A64" s="3307"/>
      <c r="B64" s="1878" t="s">
        <v>174</v>
      </c>
      <c r="C64" s="3309"/>
      <c r="D64" s="1392">
        <f>M64+O64+P64+Q64+R64+S64+T64+U64+V64+W64</f>
        <v>0</v>
      </c>
      <c r="E64" s="1374">
        <v>0</v>
      </c>
      <c r="F64" s="1374"/>
      <c r="G64" s="1374"/>
      <c r="H64" s="1374"/>
      <c r="I64" s="1374">
        <v>0</v>
      </c>
      <c r="J64" s="1374">
        <v>0</v>
      </c>
      <c r="K64" s="1374"/>
      <c r="L64" s="1374"/>
      <c r="M64" s="1374"/>
      <c r="N64" s="1374"/>
      <c r="O64" s="1374"/>
      <c r="P64" s="1374"/>
      <c r="Q64" s="1374">
        <v>0</v>
      </c>
      <c r="R64" s="1374">
        <v>0</v>
      </c>
      <c r="S64" s="1374">
        <v>0</v>
      </c>
      <c r="T64" s="1374">
        <v>0</v>
      </c>
      <c r="U64" s="1374"/>
      <c r="V64" s="1374"/>
      <c r="W64" s="1374"/>
      <c r="X64" s="3214"/>
      <c r="Y64" s="3211"/>
    </row>
    <row r="65" spans="1:27" s="1311" customFormat="1" ht="13.5" hidden="1" customHeight="1">
      <c r="A65" s="3307"/>
      <c r="B65" s="1880" t="s">
        <v>30</v>
      </c>
      <c r="C65" s="3303" t="s">
        <v>35</v>
      </c>
      <c r="D65" s="1874">
        <f>+D66</f>
        <v>0</v>
      </c>
      <c r="E65" s="1874">
        <f>+E66</f>
        <v>0</v>
      </c>
      <c r="F65" s="1874">
        <f t="shared" ref="F65:T65" si="86">+F66</f>
        <v>0</v>
      </c>
      <c r="G65" s="1874">
        <f t="shared" si="86"/>
        <v>0</v>
      </c>
      <c r="H65" s="1874">
        <f t="shared" si="86"/>
        <v>0</v>
      </c>
      <c r="I65" s="1874">
        <f t="shared" si="86"/>
        <v>0</v>
      </c>
      <c r="J65" s="1874">
        <f t="shared" si="86"/>
        <v>0</v>
      </c>
      <c r="K65" s="1874">
        <f t="shared" si="86"/>
        <v>0</v>
      </c>
      <c r="L65" s="1874">
        <f t="shared" si="86"/>
        <v>0</v>
      </c>
      <c r="M65" s="1874">
        <f t="shared" si="86"/>
        <v>0</v>
      </c>
      <c r="N65" s="1874">
        <f t="shared" si="86"/>
        <v>0</v>
      </c>
      <c r="O65" s="1874">
        <f t="shared" si="86"/>
        <v>0</v>
      </c>
      <c r="P65" s="1874">
        <f t="shared" si="86"/>
        <v>0</v>
      </c>
      <c r="Q65" s="1874">
        <f t="shared" si="86"/>
        <v>0</v>
      </c>
      <c r="R65" s="1874">
        <f t="shared" si="86"/>
        <v>0</v>
      </c>
      <c r="S65" s="1874">
        <f t="shared" si="86"/>
        <v>0</v>
      </c>
      <c r="T65" s="1874">
        <f t="shared" si="86"/>
        <v>0</v>
      </c>
      <c r="U65" s="1874"/>
      <c r="V65" s="1874"/>
      <c r="W65" s="1874"/>
      <c r="X65" s="3214"/>
      <c r="Y65" s="3211"/>
    </row>
    <row r="66" spans="1:27" s="1311" customFormat="1" ht="13.5" hidden="1" customHeight="1" thickBot="1">
      <c r="A66" s="3310"/>
      <c r="B66" s="1881" t="s">
        <v>48</v>
      </c>
      <c r="C66" s="3304"/>
      <c r="D66" s="1392">
        <f>M66+O66+P66+Q66+R66+S66+T66+U66+V66+W66</f>
        <v>0</v>
      </c>
      <c r="E66" s="1882">
        <v>0</v>
      </c>
      <c r="F66" s="1882"/>
      <c r="G66" s="1882"/>
      <c r="H66" s="1882"/>
      <c r="I66" s="1882">
        <v>0</v>
      </c>
      <c r="J66" s="1882">
        <v>0</v>
      </c>
      <c r="K66" s="1882">
        <v>0</v>
      </c>
      <c r="L66" s="1882">
        <v>0</v>
      </c>
      <c r="M66" s="1374"/>
      <c r="N66" s="1882"/>
      <c r="O66" s="1882"/>
      <c r="P66" s="1882"/>
      <c r="Q66" s="1882">
        <v>0</v>
      </c>
      <c r="R66" s="1882">
        <v>0</v>
      </c>
      <c r="S66" s="1882">
        <v>0</v>
      </c>
      <c r="T66" s="1882">
        <v>0</v>
      </c>
      <c r="U66" s="1882"/>
      <c r="V66" s="1882"/>
      <c r="W66" s="1882"/>
      <c r="X66" s="3215"/>
      <c r="Y66" s="3212"/>
    </row>
    <row r="67" spans="1:27" s="1311" customFormat="1" ht="27.75" customHeight="1">
      <c r="A67" s="3306" t="s">
        <v>82</v>
      </c>
      <c r="B67" s="1850" t="s">
        <v>407</v>
      </c>
      <c r="C67" s="1851" t="s">
        <v>98</v>
      </c>
      <c r="D67" s="1870"/>
      <c r="E67" s="1870"/>
      <c r="F67" s="1870"/>
      <c r="G67" s="1870"/>
      <c r="H67" s="1870"/>
      <c r="I67" s="1870"/>
      <c r="J67" s="1870"/>
      <c r="K67" s="1870"/>
      <c r="L67" s="1871"/>
      <c r="M67" s="1871"/>
      <c r="N67" s="1871"/>
      <c r="O67" s="1871"/>
      <c r="P67" s="1871"/>
      <c r="Q67" s="1871"/>
      <c r="R67" s="1871"/>
      <c r="S67" s="1872"/>
      <c r="T67" s="1872"/>
      <c r="U67" s="1872"/>
      <c r="V67" s="1872"/>
      <c r="W67" s="1872"/>
      <c r="X67" s="1875"/>
      <c r="Y67" s="3297" t="s">
        <v>202</v>
      </c>
    </row>
    <row r="68" spans="1:27" s="1311" customFormat="1" ht="13.5" customHeight="1">
      <c r="A68" s="3307"/>
      <c r="B68" s="1827" t="s">
        <v>22</v>
      </c>
      <c r="C68" s="1879"/>
      <c r="D68" s="1382">
        <f>+D69+D72</f>
        <v>8007859</v>
      </c>
      <c r="E68" s="1382">
        <f>+E69+E72</f>
        <v>0</v>
      </c>
      <c r="F68" s="1382"/>
      <c r="G68" s="1382"/>
      <c r="H68" s="1382"/>
      <c r="I68" s="1382">
        <f t="shared" ref="I68:O68" si="87">+I69+I72</f>
        <v>0</v>
      </c>
      <c r="J68" s="1382">
        <f t="shared" si="87"/>
        <v>0</v>
      </c>
      <c r="K68" s="1382">
        <f t="shared" si="87"/>
        <v>0</v>
      </c>
      <c r="L68" s="1382">
        <f t="shared" si="87"/>
        <v>0</v>
      </c>
      <c r="M68" s="1382">
        <f t="shared" ref="M68" si="88">+M69+M72</f>
        <v>59913</v>
      </c>
      <c r="N68" s="1382">
        <f t="shared" si="87"/>
        <v>0</v>
      </c>
      <c r="O68" s="1382">
        <f t="shared" si="87"/>
        <v>7947946</v>
      </c>
      <c r="P68" s="1382">
        <f>+P69+P72</f>
        <v>0</v>
      </c>
      <c r="Q68" s="1382">
        <f>+Q69+Q72</f>
        <v>0</v>
      </c>
      <c r="R68" s="1382">
        <f>+R69+R72</f>
        <v>0</v>
      </c>
      <c r="S68" s="1382">
        <f>+S69+S72</f>
        <v>0</v>
      </c>
      <c r="T68" s="1382">
        <f>+T69+T72</f>
        <v>0</v>
      </c>
      <c r="U68" s="1382"/>
      <c r="V68" s="1382"/>
      <c r="W68" s="1382"/>
      <c r="X68" s="1388">
        <f>+X69</f>
        <v>0</v>
      </c>
      <c r="Y68" s="3211"/>
      <c r="AA68" s="710"/>
    </row>
    <row r="69" spans="1:27" s="1311" customFormat="1" ht="13.5" customHeight="1">
      <c r="A69" s="3307"/>
      <c r="B69" s="1838" t="s">
        <v>36</v>
      </c>
      <c r="C69" s="3303" t="s">
        <v>35</v>
      </c>
      <c r="D69" s="1384">
        <f>D71+D70</f>
        <v>2495615</v>
      </c>
      <c r="E69" s="1384">
        <f>E71+E70</f>
        <v>0</v>
      </c>
      <c r="F69" s="1384">
        <f t="shared" ref="F69:O69" si="89">F71+F70</f>
        <v>0</v>
      </c>
      <c r="G69" s="1384">
        <f t="shared" si="89"/>
        <v>0</v>
      </c>
      <c r="H69" s="1384">
        <f t="shared" si="89"/>
        <v>0</v>
      </c>
      <c r="I69" s="1384">
        <f>I71+I70</f>
        <v>0</v>
      </c>
      <c r="J69" s="1384">
        <f t="shared" si="89"/>
        <v>0</v>
      </c>
      <c r="K69" s="1384">
        <f t="shared" si="89"/>
        <v>0</v>
      </c>
      <c r="L69" s="1384">
        <f t="shared" si="89"/>
        <v>0</v>
      </c>
      <c r="M69" s="1384">
        <f t="shared" ref="M69" si="90">M71+M70</f>
        <v>59913</v>
      </c>
      <c r="N69" s="1384">
        <f t="shared" si="89"/>
        <v>0</v>
      </c>
      <c r="O69" s="1384">
        <f t="shared" si="89"/>
        <v>2435702</v>
      </c>
      <c r="P69" s="1384">
        <f>P71+P70</f>
        <v>0</v>
      </c>
      <c r="Q69" s="1384">
        <f>Q71+Q70</f>
        <v>0</v>
      </c>
      <c r="R69" s="1384">
        <f>R71+R70</f>
        <v>0</v>
      </c>
      <c r="S69" s="1384">
        <f>S71+S70</f>
        <v>0</v>
      </c>
      <c r="T69" s="1384">
        <f>T71+T70</f>
        <v>0</v>
      </c>
      <c r="U69" s="1384"/>
      <c r="V69" s="1384"/>
      <c r="W69" s="1384"/>
      <c r="X69" s="1363">
        <f>+X71</f>
        <v>0</v>
      </c>
      <c r="Y69" s="3211"/>
    </row>
    <row r="70" spans="1:27" s="1311" customFormat="1" ht="13.5" customHeight="1">
      <c r="A70" s="3307"/>
      <c r="B70" s="1876" t="s">
        <v>45</v>
      </c>
      <c r="C70" s="3304"/>
      <c r="D70" s="1392">
        <f t="shared" ref="D70:D71" si="91">M70+O70+P70+Q70+R70+S70+T70+U70+V70+W70</f>
        <v>60902</v>
      </c>
      <c r="E70" s="1856">
        <v>0</v>
      </c>
      <c r="F70" s="1856"/>
      <c r="G70" s="1856"/>
      <c r="H70" s="1856"/>
      <c r="I70" s="1856">
        <v>0</v>
      </c>
      <c r="J70" s="1856">
        <v>0</v>
      </c>
      <c r="K70" s="1856">
        <v>0</v>
      </c>
      <c r="L70" s="1856">
        <f>49200-49200</f>
        <v>0</v>
      </c>
      <c r="M70" s="1374">
        <f>64998-5085</f>
        <v>59913</v>
      </c>
      <c r="N70" s="1856">
        <v>0</v>
      </c>
      <c r="O70" s="1856">
        <v>989</v>
      </c>
      <c r="P70" s="1856">
        <v>0</v>
      </c>
      <c r="Q70" s="1856">
        <v>0</v>
      </c>
      <c r="R70" s="1856">
        <v>0</v>
      </c>
      <c r="S70" s="1856">
        <v>0</v>
      </c>
      <c r="T70" s="1856">
        <v>0</v>
      </c>
      <c r="U70" s="1856"/>
      <c r="V70" s="1856"/>
      <c r="W70" s="1856"/>
      <c r="X70" s="1873" t="s">
        <v>77</v>
      </c>
      <c r="Y70" s="3211"/>
    </row>
    <row r="71" spans="1:27" s="1311" customFormat="1" ht="22.5" customHeight="1">
      <c r="A71" s="3307"/>
      <c r="B71" s="1883" t="s">
        <v>152</v>
      </c>
      <c r="C71" s="1884" t="s">
        <v>203</v>
      </c>
      <c r="D71" s="1392">
        <f t="shared" si="91"/>
        <v>2434713</v>
      </c>
      <c r="E71" s="1856">
        <v>0</v>
      </c>
      <c r="F71" s="1856"/>
      <c r="G71" s="1856"/>
      <c r="H71" s="1856"/>
      <c r="I71" s="1856">
        <v>0</v>
      </c>
      <c r="J71" s="1856">
        <v>0</v>
      </c>
      <c r="K71" s="1856">
        <v>0</v>
      </c>
      <c r="L71" s="1856">
        <v>0</v>
      </c>
      <c r="M71" s="1392">
        <f>+E71+I71+J71+K71+L71+N71</f>
        <v>0</v>
      </c>
      <c r="N71" s="2599">
        <f>1600026-1600026</f>
        <v>0</v>
      </c>
      <c r="O71" s="1860">
        <f>1663072+1600026-149562-678823</f>
        <v>2434713</v>
      </c>
      <c r="P71" s="1860">
        <v>0</v>
      </c>
      <c r="Q71" s="1860">
        <v>0</v>
      </c>
      <c r="R71" s="1860">
        <v>0</v>
      </c>
      <c r="S71" s="1860">
        <v>0</v>
      </c>
      <c r="T71" s="1860">
        <v>0</v>
      </c>
      <c r="U71" s="1860"/>
      <c r="V71" s="1860"/>
      <c r="W71" s="1860"/>
      <c r="X71" s="1437">
        <f>SUM(P71:T71)</f>
        <v>0</v>
      </c>
      <c r="Y71" s="3211"/>
    </row>
    <row r="72" spans="1:27" s="1311" customFormat="1" ht="13.5" customHeight="1">
      <c r="A72" s="3307"/>
      <c r="B72" s="1885" t="s">
        <v>30</v>
      </c>
      <c r="C72" s="3303" t="s">
        <v>35</v>
      </c>
      <c r="D72" s="1384">
        <f>+D73</f>
        <v>5512244</v>
      </c>
      <c r="E72" s="1384">
        <f>+E73</f>
        <v>0</v>
      </c>
      <c r="F72" s="1384"/>
      <c r="G72" s="1384"/>
      <c r="H72" s="1384"/>
      <c r="I72" s="1384">
        <f t="shared" ref="I72:X72" si="92">+I73</f>
        <v>0</v>
      </c>
      <c r="J72" s="1384">
        <f t="shared" si="92"/>
        <v>0</v>
      </c>
      <c r="K72" s="1384">
        <f t="shared" si="92"/>
        <v>0</v>
      </c>
      <c r="L72" s="1384">
        <f t="shared" si="92"/>
        <v>0</v>
      </c>
      <c r="M72" s="1384">
        <f t="shared" si="92"/>
        <v>0</v>
      </c>
      <c r="N72" s="1384">
        <f t="shared" si="92"/>
        <v>0</v>
      </c>
      <c r="O72" s="1384">
        <f t="shared" si="92"/>
        <v>5512244</v>
      </c>
      <c r="P72" s="1384">
        <f t="shared" si="92"/>
        <v>0</v>
      </c>
      <c r="Q72" s="1384">
        <f t="shared" si="92"/>
        <v>0</v>
      </c>
      <c r="R72" s="1384">
        <f t="shared" si="92"/>
        <v>0</v>
      </c>
      <c r="S72" s="1384">
        <f t="shared" si="92"/>
        <v>0</v>
      </c>
      <c r="T72" s="1384">
        <f t="shared" si="92"/>
        <v>0</v>
      </c>
      <c r="U72" s="1842"/>
      <c r="V72" s="1842"/>
      <c r="W72" s="1842"/>
      <c r="X72" s="1858" t="str">
        <f t="shared" si="92"/>
        <v>x</v>
      </c>
      <c r="Y72" s="3211"/>
    </row>
    <row r="73" spans="1:27" s="1311" customFormat="1" ht="12">
      <c r="A73" s="3307"/>
      <c r="B73" s="1876" t="s">
        <v>48</v>
      </c>
      <c r="C73" s="3304"/>
      <c r="D73" s="1392">
        <f>M73+O73+P73+Q73+R73+S73+T73+U73+V73+W73</f>
        <v>5512244</v>
      </c>
      <c r="E73" s="1856">
        <v>0</v>
      </c>
      <c r="F73" s="1856"/>
      <c r="G73" s="1856"/>
      <c r="H73" s="1856"/>
      <c r="I73" s="1856">
        <v>0</v>
      </c>
      <c r="J73" s="1856">
        <v>0</v>
      </c>
      <c r="K73" s="1856">
        <v>0</v>
      </c>
      <c r="L73" s="1856">
        <v>0</v>
      </c>
      <c r="M73" s="1374">
        <f>+E73+I73+J73+K73+L73+N73</f>
        <v>0</v>
      </c>
      <c r="N73" s="1856">
        <f>2462025-2462025</f>
        <v>0</v>
      </c>
      <c r="O73" s="1856">
        <f>2682612+2462025-230327+597934</f>
        <v>5512244</v>
      </c>
      <c r="P73" s="1856">
        <v>0</v>
      </c>
      <c r="Q73" s="1856">
        <v>0</v>
      </c>
      <c r="R73" s="1856">
        <v>0</v>
      </c>
      <c r="S73" s="1856">
        <v>0</v>
      </c>
      <c r="T73" s="1856">
        <v>0</v>
      </c>
      <c r="U73" s="1856"/>
      <c r="V73" s="1856"/>
      <c r="W73" s="1856"/>
      <c r="X73" s="1873" t="s">
        <v>77</v>
      </c>
      <c r="Y73" s="3211"/>
    </row>
    <row r="74" spans="1:27" s="1311" customFormat="1" ht="13.5" customHeight="1">
      <c r="A74" s="3307"/>
      <c r="B74" s="1827" t="s">
        <v>34</v>
      </c>
      <c r="C74" s="1879"/>
      <c r="D74" s="1382">
        <f>D77+D75</f>
        <v>6981836</v>
      </c>
      <c r="E74" s="1382">
        <f t="shared" ref="E74:P74" si="93">E77+E75</f>
        <v>0</v>
      </c>
      <c r="F74" s="1382">
        <f t="shared" si="93"/>
        <v>0</v>
      </c>
      <c r="G74" s="1382">
        <f t="shared" si="93"/>
        <v>0</v>
      </c>
      <c r="H74" s="1382">
        <f t="shared" si="93"/>
        <v>0</v>
      </c>
      <c r="I74" s="1382">
        <f t="shared" si="93"/>
        <v>0</v>
      </c>
      <c r="J74" s="1382">
        <f t="shared" si="93"/>
        <v>0</v>
      </c>
      <c r="K74" s="1382">
        <f t="shared" si="93"/>
        <v>0</v>
      </c>
      <c r="L74" s="1382">
        <f t="shared" si="93"/>
        <v>0</v>
      </c>
      <c r="M74" s="1382">
        <f t="shared" ref="M74" si="94">M77+M75</f>
        <v>0</v>
      </c>
      <c r="N74" s="1382">
        <f t="shared" si="93"/>
        <v>0</v>
      </c>
      <c r="O74" s="1382">
        <f t="shared" si="93"/>
        <v>4950277</v>
      </c>
      <c r="P74" s="1382">
        <f t="shared" si="93"/>
        <v>2031559</v>
      </c>
      <c r="Q74" s="1382">
        <f>+Q75+Q77</f>
        <v>0</v>
      </c>
      <c r="R74" s="1382">
        <f>+R75+R77</f>
        <v>0</v>
      </c>
      <c r="S74" s="1382">
        <f>+S75+S77</f>
        <v>0</v>
      </c>
      <c r="T74" s="1382">
        <f>+T75+T77</f>
        <v>0</v>
      </c>
      <c r="U74" s="1382"/>
      <c r="V74" s="1382"/>
      <c r="W74" s="1382"/>
      <c r="X74" s="3239" t="s">
        <v>77</v>
      </c>
      <c r="Y74" s="3211"/>
    </row>
    <row r="75" spans="1:27" s="1311" customFormat="1" ht="13.5" customHeight="1">
      <c r="A75" s="3307"/>
      <c r="B75" s="1838" t="s">
        <v>36</v>
      </c>
      <c r="C75" s="3308" t="s">
        <v>203</v>
      </c>
      <c r="D75" s="1886">
        <f>+D76</f>
        <v>1469592</v>
      </c>
      <c r="E75" s="1886">
        <f>+E76</f>
        <v>0</v>
      </c>
      <c r="F75" s="1886"/>
      <c r="G75" s="1886"/>
      <c r="H75" s="1886"/>
      <c r="I75" s="1886">
        <f t="shared" ref="I75:T75" si="95">+I76</f>
        <v>0</v>
      </c>
      <c r="J75" s="1886">
        <f t="shared" si="95"/>
        <v>0</v>
      </c>
      <c r="K75" s="1886">
        <f t="shared" si="95"/>
        <v>0</v>
      </c>
      <c r="L75" s="1886">
        <f t="shared" si="95"/>
        <v>0</v>
      </c>
      <c r="M75" s="1886">
        <f t="shared" si="95"/>
        <v>0</v>
      </c>
      <c r="N75" s="1886">
        <f t="shared" si="95"/>
        <v>0</v>
      </c>
      <c r="O75" s="1886">
        <f t="shared" si="95"/>
        <v>346672</v>
      </c>
      <c r="P75" s="1886">
        <f t="shared" si="95"/>
        <v>1122920</v>
      </c>
      <c r="Q75" s="1886">
        <f t="shared" si="95"/>
        <v>0</v>
      </c>
      <c r="R75" s="1886">
        <f t="shared" si="95"/>
        <v>0</v>
      </c>
      <c r="S75" s="1886">
        <f t="shared" si="95"/>
        <v>0</v>
      </c>
      <c r="T75" s="1886">
        <f t="shared" si="95"/>
        <v>0</v>
      </c>
      <c r="U75" s="1886"/>
      <c r="V75" s="1886"/>
      <c r="W75" s="1886"/>
      <c r="X75" s="3214"/>
      <c r="Y75" s="3298"/>
    </row>
    <row r="76" spans="1:27" s="1311" customFormat="1" ht="13.5" customHeight="1">
      <c r="A76" s="3307"/>
      <c r="B76" s="1876" t="s">
        <v>174</v>
      </c>
      <c r="C76" s="3309"/>
      <c r="D76" s="1392">
        <f>M76+O76+P76+Q76+R76+S76+T76+U76+V76+W76</f>
        <v>1469592</v>
      </c>
      <c r="E76" s="1856">
        <v>0</v>
      </c>
      <c r="F76" s="1856"/>
      <c r="G76" s="1856"/>
      <c r="H76" s="1856"/>
      <c r="I76" s="1856">
        <v>0</v>
      </c>
      <c r="J76" s="1856">
        <v>0</v>
      </c>
      <c r="K76" s="1856">
        <v>0</v>
      </c>
      <c r="L76" s="1856">
        <v>0</v>
      </c>
      <c r="M76" s="1374">
        <f>+E76+I76+J76+K76+L76+N76</f>
        <v>0</v>
      </c>
      <c r="N76" s="1856">
        <f>748351-748351</f>
        <v>0</v>
      </c>
      <c r="O76" s="1856">
        <f>808868+748351-882477-328070</f>
        <v>346672</v>
      </c>
      <c r="P76" s="1856">
        <f>813403+309517</f>
        <v>1122920</v>
      </c>
      <c r="Q76" s="1856">
        <v>0</v>
      </c>
      <c r="R76" s="1856">
        <v>0</v>
      </c>
      <c r="S76" s="1856">
        <v>0</v>
      </c>
      <c r="T76" s="1856">
        <v>0</v>
      </c>
      <c r="U76" s="1856"/>
      <c r="V76" s="1856"/>
      <c r="W76" s="1856"/>
      <c r="X76" s="3214"/>
      <c r="Y76" s="3298"/>
      <c r="AA76" s="710">
        <f>D76-'[4]Tab. 6F - Kultura'!$D$76</f>
        <v>-18553</v>
      </c>
    </row>
    <row r="77" spans="1:27" s="1311" customFormat="1" ht="13.5" customHeight="1">
      <c r="A77" s="3307"/>
      <c r="B77" s="1876" t="s">
        <v>30</v>
      </c>
      <c r="C77" s="3303" t="s">
        <v>35</v>
      </c>
      <c r="D77" s="1384">
        <f>+D78</f>
        <v>5512244</v>
      </c>
      <c r="E77" s="1384">
        <f>+E78</f>
        <v>0</v>
      </c>
      <c r="F77" s="1384"/>
      <c r="G77" s="1384"/>
      <c r="H77" s="1384"/>
      <c r="I77" s="1384">
        <f t="shared" ref="I77:T77" si="96">+I78</f>
        <v>0</v>
      </c>
      <c r="J77" s="1384">
        <f t="shared" si="96"/>
        <v>0</v>
      </c>
      <c r="K77" s="1384">
        <f t="shared" si="96"/>
        <v>0</v>
      </c>
      <c r="L77" s="1384">
        <f t="shared" si="96"/>
        <v>0</v>
      </c>
      <c r="M77" s="1384">
        <f t="shared" si="96"/>
        <v>0</v>
      </c>
      <c r="N77" s="1384">
        <f t="shared" si="96"/>
        <v>0</v>
      </c>
      <c r="O77" s="1384">
        <f t="shared" si="96"/>
        <v>4603605</v>
      </c>
      <c r="P77" s="1384">
        <f t="shared" si="96"/>
        <v>908639</v>
      </c>
      <c r="Q77" s="1384">
        <f t="shared" si="96"/>
        <v>0</v>
      </c>
      <c r="R77" s="1384">
        <f t="shared" si="96"/>
        <v>0</v>
      </c>
      <c r="S77" s="1384">
        <f t="shared" si="96"/>
        <v>0</v>
      </c>
      <c r="T77" s="1384">
        <f t="shared" si="96"/>
        <v>0</v>
      </c>
      <c r="U77" s="1384"/>
      <c r="V77" s="1384"/>
      <c r="W77" s="1384"/>
      <c r="X77" s="3214"/>
      <c r="Y77" s="3298"/>
    </row>
    <row r="78" spans="1:27" s="1311" customFormat="1" ht="13.5" customHeight="1" thickBot="1">
      <c r="A78" s="3192"/>
      <c r="B78" s="1844" t="s">
        <v>48</v>
      </c>
      <c r="C78" s="3304"/>
      <c r="D78" s="1392">
        <f>M78+O78+P78+Q78+R78+S78+T78+U78+V78+W78</f>
        <v>5512244</v>
      </c>
      <c r="E78" s="705">
        <v>0</v>
      </c>
      <c r="F78" s="705"/>
      <c r="G78" s="705"/>
      <c r="H78" s="705"/>
      <c r="I78" s="705">
        <v>0</v>
      </c>
      <c r="J78" s="705">
        <v>0</v>
      </c>
      <c r="K78" s="705">
        <v>0</v>
      </c>
      <c r="L78" s="705">
        <v>0</v>
      </c>
      <c r="M78" s="1374">
        <f>+E78+I78+J78+K78+L78+N78</f>
        <v>0</v>
      </c>
      <c r="N78" s="705">
        <f>2492025-2492025</f>
        <v>0</v>
      </c>
      <c r="O78" s="705">
        <f>2652612+2492025-230327-310705</f>
        <v>4603605</v>
      </c>
      <c r="P78" s="705">
        <v>908639</v>
      </c>
      <c r="Q78" s="705">
        <v>0</v>
      </c>
      <c r="R78" s="705">
        <v>0</v>
      </c>
      <c r="S78" s="705">
        <v>0</v>
      </c>
      <c r="T78" s="705">
        <v>0</v>
      </c>
      <c r="U78" s="705"/>
      <c r="V78" s="705"/>
      <c r="W78" s="705"/>
      <c r="X78" s="3215"/>
      <c r="Y78" s="3299"/>
    </row>
    <row r="79" spans="1:27" s="1311" customFormat="1" ht="39" customHeight="1">
      <c r="A79" s="3294" t="s">
        <v>83</v>
      </c>
      <c r="B79" s="1850" t="s">
        <v>465</v>
      </c>
      <c r="C79" s="1851" t="s">
        <v>98</v>
      </c>
      <c r="D79" s="1870"/>
      <c r="E79" s="1870"/>
      <c r="F79" s="1871"/>
      <c r="G79" s="1871"/>
      <c r="H79" s="1871"/>
      <c r="I79" s="1871"/>
      <c r="J79" s="1871"/>
      <c r="K79" s="1871"/>
      <c r="L79" s="1871"/>
      <c r="M79" s="1871"/>
      <c r="N79" s="1871"/>
      <c r="O79" s="1871"/>
      <c r="P79" s="1871"/>
      <c r="Q79" s="1871"/>
      <c r="R79" s="1871"/>
      <c r="S79" s="1872"/>
      <c r="T79" s="1872"/>
      <c r="U79" s="1872"/>
      <c r="V79" s="1872"/>
      <c r="W79" s="1872"/>
      <c r="X79" s="1875"/>
      <c r="Y79" s="3297" t="s">
        <v>207</v>
      </c>
    </row>
    <row r="80" spans="1:27" s="1451" customFormat="1" ht="16.5" customHeight="1">
      <c r="A80" s="3295"/>
      <c r="B80" s="1827" t="s">
        <v>22</v>
      </c>
      <c r="C80" s="1879"/>
      <c r="D80" s="1434">
        <f>+D81+D84</f>
        <v>27212815</v>
      </c>
      <c r="E80" s="1434">
        <f>+E81+E84</f>
        <v>0</v>
      </c>
      <c r="F80" s="1434"/>
      <c r="G80" s="1434"/>
      <c r="H80" s="1434"/>
      <c r="I80" s="1434">
        <f>I81</f>
        <v>0</v>
      </c>
      <c r="J80" s="1434">
        <f t="shared" ref="J80:R80" si="97">+J81+J84</f>
        <v>37202</v>
      </c>
      <c r="K80" s="1434">
        <f t="shared" si="97"/>
        <v>145091</v>
      </c>
      <c r="L80" s="1434">
        <f t="shared" si="97"/>
        <v>394112</v>
      </c>
      <c r="M80" s="1434">
        <f t="shared" ref="M80" si="98">+M81+M84</f>
        <v>4178245</v>
      </c>
      <c r="N80" s="1434">
        <f t="shared" si="97"/>
        <v>3601840</v>
      </c>
      <c r="O80" s="1434">
        <f t="shared" si="97"/>
        <v>23034570</v>
      </c>
      <c r="P80" s="1434">
        <f t="shared" si="97"/>
        <v>0</v>
      </c>
      <c r="Q80" s="1434">
        <f t="shared" si="97"/>
        <v>0</v>
      </c>
      <c r="R80" s="1434">
        <f t="shared" si="97"/>
        <v>0</v>
      </c>
      <c r="S80" s="1434">
        <f t="shared" ref="S80:T80" si="99">+S81+S84</f>
        <v>0</v>
      </c>
      <c r="T80" s="1434">
        <f t="shared" si="99"/>
        <v>0</v>
      </c>
      <c r="U80" s="1434"/>
      <c r="V80" s="1434"/>
      <c r="W80" s="1434"/>
      <c r="X80" s="1413">
        <f>+X81</f>
        <v>0</v>
      </c>
      <c r="Y80" s="3211"/>
    </row>
    <row r="81" spans="1:86" s="1311" customFormat="1" ht="13.5" customHeight="1">
      <c r="A81" s="3295"/>
      <c r="B81" s="1838" t="s">
        <v>36</v>
      </c>
      <c r="C81" s="3300" t="s">
        <v>208</v>
      </c>
      <c r="D81" s="1384">
        <f>+D83+D82</f>
        <v>8378346</v>
      </c>
      <c r="E81" s="1384">
        <f t="shared" ref="E81:L81" si="100">E83</f>
        <v>0</v>
      </c>
      <c r="F81" s="1384"/>
      <c r="G81" s="1384"/>
      <c r="H81" s="1384"/>
      <c r="I81" s="1384">
        <f t="shared" si="100"/>
        <v>0</v>
      </c>
      <c r="J81" s="1384">
        <f>J82</f>
        <v>5580</v>
      </c>
      <c r="K81" s="1384">
        <f>K83</f>
        <v>145091</v>
      </c>
      <c r="L81" s="1384">
        <f t="shared" si="100"/>
        <v>73696</v>
      </c>
      <c r="M81" s="1384">
        <f>M83+M82</f>
        <v>1621597</v>
      </c>
      <c r="N81" s="1384">
        <f t="shared" ref="N81:T81" si="101">N83</f>
        <v>1397230</v>
      </c>
      <c r="O81" s="1384">
        <f>O83+O82</f>
        <v>6756749</v>
      </c>
      <c r="P81" s="1384">
        <f t="shared" si="101"/>
        <v>0</v>
      </c>
      <c r="Q81" s="1384">
        <f t="shared" si="101"/>
        <v>0</v>
      </c>
      <c r="R81" s="1384">
        <f t="shared" si="101"/>
        <v>0</v>
      </c>
      <c r="S81" s="1384">
        <f t="shared" si="101"/>
        <v>0</v>
      </c>
      <c r="T81" s="1384">
        <f t="shared" si="101"/>
        <v>0</v>
      </c>
      <c r="U81" s="1384"/>
      <c r="V81" s="1384"/>
      <c r="W81" s="1384"/>
      <c r="X81" s="1363">
        <f>+X83</f>
        <v>0</v>
      </c>
      <c r="Y81" s="3211"/>
    </row>
    <row r="82" spans="1:86" s="1311" customFormat="1" ht="13.5" customHeight="1">
      <c r="A82" s="3295"/>
      <c r="B82" s="2211" t="s">
        <v>45</v>
      </c>
      <c r="C82" s="3301"/>
      <c r="D82" s="1392">
        <f>M82+O82+P82+Q82+R82+S82+T82+U82+V82+W82</f>
        <v>13719</v>
      </c>
      <c r="E82" s="1384"/>
      <c r="F82" s="1384"/>
      <c r="G82" s="1384"/>
      <c r="H82" s="1384"/>
      <c r="I82" s="1384"/>
      <c r="J82" s="1374">
        <v>5580</v>
      </c>
      <c r="K82" s="1384"/>
      <c r="L82" s="1384"/>
      <c r="M82" s="1374">
        <f>+E82+I82+J82+K82+L82+N82</f>
        <v>5580</v>
      </c>
      <c r="N82" s="1384"/>
      <c r="O82" s="1374">
        <v>8139</v>
      </c>
      <c r="P82" s="1384"/>
      <c r="Q82" s="1384"/>
      <c r="R82" s="1384"/>
      <c r="S82" s="1384"/>
      <c r="T82" s="1384"/>
      <c r="U82" s="1384"/>
      <c r="V82" s="1384"/>
      <c r="W82" s="1384"/>
      <c r="X82" s="1363">
        <v>0</v>
      </c>
      <c r="Y82" s="3211"/>
    </row>
    <row r="83" spans="1:86" s="1311" customFormat="1" ht="13.5" customHeight="1">
      <c r="A83" s="3295"/>
      <c r="B83" s="1876" t="s">
        <v>152</v>
      </c>
      <c r="C83" s="3302"/>
      <c r="D83" s="1392">
        <f>M83+O83+P83+Q83+R83+S83+T83+U83+V83+W83</f>
        <v>8364627</v>
      </c>
      <c r="E83" s="1374">
        <v>0</v>
      </c>
      <c r="F83" s="1374"/>
      <c r="G83" s="1374"/>
      <c r="H83" s="1374"/>
      <c r="I83" s="1374">
        <v>0</v>
      </c>
      <c r="J83" s="1374">
        <v>0</v>
      </c>
      <c r="K83" s="1374">
        <f>306585-161494</f>
        <v>145091</v>
      </c>
      <c r="L83" s="1374">
        <f>1762866+1748664-3437834</f>
        <v>73696</v>
      </c>
      <c r="M83" s="1374">
        <f>+E83+I83+J83+K83+L83+N83</f>
        <v>1616017</v>
      </c>
      <c r="N83" s="1374">
        <f>1762866+515476+3795972+3437834-8114918</f>
        <v>1397230</v>
      </c>
      <c r="O83" s="1374">
        <f>0+8114918+950400+96652-2413360</f>
        <v>6748610</v>
      </c>
      <c r="P83" s="1374">
        <v>0</v>
      </c>
      <c r="Q83" s="1374">
        <v>0</v>
      </c>
      <c r="R83" s="1374">
        <v>0</v>
      </c>
      <c r="S83" s="1374">
        <v>0</v>
      </c>
      <c r="T83" s="1374">
        <v>0</v>
      </c>
      <c r="U83" s="1374"/>
      <c r="V83" s="1374"/>
      <c r="W83" s="1374"/>
      <c r="X83" s="1823">
        <f>SUM(P83:T83)</f>
        <v>0</v>
      </c>
      <c r="Y83" s="3211"/>
    </row>
    <row r="84" spans="1:86" s="1311" customFormat="1" ht="13.5" customHeight="1">
      <c r="A84" s="3295"/>
      <c r="B84" s="1885" t="s">
        <v>30</v>
      </c>
      <c r="C84" s="3303" t="s">
        <v>35</v>
      </c>
      <c r="D84" s="1384">
        <f>+D85</f>
        <v>18834469</v>
      </c>
      <c r="E84" s="1384">
        <f>+E85</f>
        <v>0</v>
      </c>
      <c r="F84" s="1384"/>
      <c r="G84" s="1384"/>
      <c r="H84" s="1384"/>
      <c r="I84" s="1384">
        <f t="shared" ref="I84:X84" si="102">+I85</f>
        <v>0</v>
      </c>
      <c r="J84" s="1384">
        <f t="shared" si="102"/>
        <v>31622</v>
      </c>
      <c r="K84" s="1384">
        <f t="shared" si="102"/>
        <v>0</v>
      </c>
      <c r="L84" s="1384">
        <f t="shared" si="102"/>
        <v>320416</v>
      </c>
      <c r="M84" s="1384">
        <f t="shared" si="102"/>
        <v>2556648</v>
      </c>
      <c r="N84" s="1384">
        <f t="shared" si="102"/>
        <v>2204610</v>
      </c>
      <c r="O84" s="1384">
        <f t="shared" si="102"/>
        <v>16277821</v>
      </c>
      <c r="P84" s="1384">
        <f t="shared" si="102"/>
        <v>0</v>
      </c>
      <c r="Q84" s="1384">
        <f t="shared" si="102"/>
        <v>0</v>
      </c>
      <c r="R84" s="1384">
        <f t="shared" si="102"/>
        <v>0</v>
      </c>
      <c r="S84" s="1384">
        <f t="shared" si="102"/>
        <v>0</v>
      </c>
      <c r="T84" s="1384">
        <f t="shared" si="102"/>
        <v>0</v>
      </c>
      <c r="U84" s="1842"/>
      <c r="V84" s="1842"/>
      <c r="W84" s="1842"/>
      <c r="X84" s="1858" t="str">
        <f t="shared" si="102"/>
        <v>x</v>
      </c>
      <c r="Y84" s="3211"/>
    </row>
    <row r="85" spans="1:86" s="1311" customFormat="1" ht="13.5" customHeight="1">
      <c r="A85" s="3295"/>
      <c r="B85" s="1876" t="s">
        <v>48</v>
      </c>
      <c r="C85" s="3304"/>
      <c r="D85" s="1392">
        <f>M85+O85+P85+Q85+R85+S85+T85+U85+V85+W85</f>
        <v>18834469</v>
      </c>
      <c r="E85" s="1374">
        <v>0</v>
      </c>
      <c r="F85" s="1374"/>
      <c r="G85" s="1374"/>
      <c r="H85" s="1374"/>
      <c r="I85" s="1374">
        <v>0</v>
      </c>
      <c r="J85" s="1374">
        <v>31622</v>
      </c>
      <c r="K85" s="1374">
        <f>493415-493415</f>
        <v>0</v>
      </c>
      <c r="L85" s="1374">
        <f>2837134+2876336-5393054</f>
        <v>320416</v>
      </c>
      <c r="M85" s="1374">
        <f>+E85+I85+J85+K85+L85+N85</f>
        <v>2556648</v>
      </c>
      <c r="N85" s="1374">
        <f>2837134+722775+5931206+5393054-12679559</f>
        <v>2204610</v>
      </c>
      <c r="O85" s="1374">
        <f>0+12679559+1485000+163848+1957553-8139</f>
        <v>16277821</v>
      </c>
      <c r="P85" s="1374">
        <v>0</v>
      </c>
      <c r="Q85" s="1374">
        <v>0</v>
      </c>
      <c r="R85" s="1374">
        <v>0</v>
      </c>
      <c r="S85" s="1374">
        <v>0</v>
      </c>
      <c r="T85" s="1374">
        <v>0</v>
      </c>
      <c r="U85" s="2212"/>
      <c r="V85" s="2212"/>
      <c r="W85" s="2212"/>
      <c r="X85" s="1858" t="s">
        <v>77</v>
      </c>
      <c r="Y85" s="3211"/>
    </row>
    <row r="86" spans="1:86" s="1451" customFormat="1" ht="16.5" customHeight="1">
      <c r="A86" s="3295"/>
      <c r="B86" s="1827" t="s">
        <v>34</v>
      </c>
      <c r="C86" s="1879"/>
      <c r="D86" s="1434">
        <f>D89+D87</f>
        <v>23807256</v>
      </c>
      <c r="E86" s="1434">
        <f t="shared" ref="E86:J86" si="103">E89</f>
        <v>0</v>
      </c>
      <c r="F86" s="1434"/>
      <c r="G86" s="1434"/>
      <c r="H86" s="1434"/>
      <c r="I86" s="1434">
        <f t="shared" si="103"/>
        <v>0</v>
      </c>
      <c r="J86" s="1434">
        <f t="shared" si="103"/>
        <v>3720</v>
      </c>
      <c r="K86" s="1434">
        <f t="shared" ref="K86:R86" si="104">K89+K87</f>
        <v>6444</v>
      </c>
      <c r="L86" s="1434">
        <f t="shared" si="104"/>
        <v>89342</v>
      </c>
      <c r="M86" s="1434">
        <f t="shared" ref="M86" si="105">M89+M87</f>
        <v>3362575</v>
      </c>
      <c r="N86" s="1434">
        <f t="shared" si="104"/>
        <v>3263069</v>
      </c>
      <c r="O86" s="1434">
        <f t="shared" si="104"/>
        <v>18860024</v>
      </c>
      <c r="P86" s="1434">
        <f t="shared" si="104"/>
        <v>1584657</v>
      </c>
      <c r="Q86" s="1434">
        <f t="shared" si="104"/>
        <v>0</v>
      </c>
      <c r="R86" s="1434">
        <f t="shared" si="104"/>
        <v>0</v>
      </c>
      <c r="S86" s="1434">
        <f t="shared" ref="S86:T86" si="106">S89+S87</f>
        <v>0</v>
      </c>
      <c r="T86" s="1434">
        <f t="shared" si="106"/>
        <v>0</v>
      </c>
      <c r="U86" s="1434"/>
      <c r="V86" s="1434"/>
      <c r="W86" s="1434"/>
      <c r="X86" s="3239" t="s">
        <v>77</v>
      </c>
      <c r="Y86" s="3211"/>
    </row>
    <row r="87" spans="1:86" s="1311" customFormat="1" ht="13.5" customHeight="1">
      <c r="A87" s="3295"/>
      <c r="B87" s="1838" t="s">
        <v>36</v>
      </c>
      <c r="C87" s="3300" t="s">
        <v>208</v>
      </c>
      <c r="D87" s="1886">
        <f>+D88</f>
        <v>4972787</v>
      </c>
      <c r="E87" s="1886">
        <f t="shared" ref="E87:T87" si="107">+E88</f>
        <v>0</v>
      </c>
      <c r="F87" s="1886">
        <f t="shared" si="107"/>
        <v>0</v>
      </c>
      <c r="G87" s="1886">
        <f t="shared" si="107"/>
        <v>0</v>
      </c>
      <c r="H87" s="1886">
        <f t="shared" si="107"/>
        <v>0</v>
      </c>
      <c r="I87" s="1886">
        <f t="shared" si="107"/>
        <v>0</v>
      </c>
      <c r="J87" s="1886">
        <f t="shared" si="107"/>
        <v>0</v>
      </c>
      <c r="K87" s="1886">
        <f t="shared" si="107"/>
        <v>6444</v>
      </c>
      <c r="L87" s="1886">
        <f t="shared" si="107"/>
        <v>89342</v>
      </c>
      <c r="M87" s="1886">
        <f t="shared" si="107"/>
        <v>755831</v>
      </c>
      <c r="N87" s="1886">
        <f t="shared" si="107"/>
        <v>660045</v>
      </c>
      <c r="O87" s="1886">
        <f t="shared" si="107"/>
        <v>2632299</v>
      </c>
      <c r="P87" s="1886">
        <f t="shared" si="107"/>
        <v>1584657</v>
      </c>
      <c r="Q87" s="1886">
        <f t="shared" si="107"/>
        <v>0</v>
      </c>
      <c r="R87" s="1886">
        <f t="shared" si="107"/>
        <v>0</v>
      </c>
      <c r="S87" s="1886">
        <f t="shared" si="107"/>
        <v>0</v>
      </c>
      <c r="T87" s="1886">
        <f t="shared" si="107"/>
        <v>0</v>
      </c>
      <c r="U87" s="1886"/>
      <c r="V87" s="1886"/>
      <c r="W87" s="1886"/>
      <c r="X87" s="3214"/>
      <c r="Y87" s="3298"/>
      <c r="AA87" s="710">
        <f>D88-'[4]Tab. 6F - Kultura'!$D$88</f>
        <v>50724</v>
      </c>
    </row>
    <row r="88" spans="1:86" s="1311" customFormat="1" ht="13.5" customHeight="1">
      <c r="A88" s="3295"/>
      <c r="B88" s="1876" t="s">
        <v>174</v>
      </c>
      <c r="C88" s="3302"/>
      <c r="D88" s="1392">
        <f>M88+O88+P88+Q88+R88+S88+T88+U88+V88+W88</f>
        <v>4972787</v>
      </c>
      <c r="E88" s="1856">
        <v>0</v>
      </c>
      <c r="F88" s="1856"/>
      <c r="G88" s="1856"/>
      <c r="H88" s="1856"/>
      <c r="I88" s="1856">
        <v>0</v>
      </c>
      <c r="J88" s="1856">
        <v>0</v>
      </c>
      <c r="K88" s="1856">
        <f>142114-135670</f>
        <v>6444</v>
      </c>
      <c r="L88" s="1856">
        <f>817154+840926-1568738</f>
        <v>89342</v>
      </c>
      <c r="M88" s="1374">
        <f>+E88+I88+J88+K88+L88+N88</f>
        <v>755831</v>
      </c>
      <c r="N88" s="1856">
        <f>817154+219966+1727958+1568738-3673771</f>
        <v>660045</v>
      </c>
      <c r="O88" s="1856">
        <f>0+3673771+450846+41615-1533933</f>
        <v>2632299</v>
      </c>
      <c r="P88" s="1856">
        <f>0+1533933+50724</f>
        <v>1584657</v>
      </c>
      <c r="Q88" s="1856">
        <v>0</v>
      </c>
      <c r="R88" s="1856">
        <v>0</v>
      </c>
      <c r="S88" s="1856">
        <v>0</v>
      </c>
      <c r="T88" s="1856">
        <v>0</v>
      </c>
      <c r="U88" s="1856"/>
      <c r="V88" s="1856"/>
      <c r="W88" s="1856"/>
      <c r="X88" s="3214"/>
      <c r="Y88" s="3298"/>
    </row>
    <row r="89" spans="1:86" s="1311" customFormat="1" ht="13.5" customHeight="1">
      <c r="A89" s="3295"/>
      <c r="B89" s="1885" t="s">
        <v>30</v>
      </c>
      <c r="C89" s="3303" t="s">
        <v>35</v>
      </c>
      <c r="D89" s="1384">
        <f>+D90</f>
        <v>18834469</v>
      </c>
      <c r="E89" s="1384">
        <f>+E90</f>
        <v>0</v>
      </c>
      <c r="F89" s="1384"/>
      <c r="G89" s="1384"/>
      <c r="H89" s="1384"/>
      <c r="I89" s="1384">
        <f t="shared" ref="I89:T89" si="108">+I90</f>
        <v>0</v>
      </c>
      <c r="J89" s="1384">
        <f t="shared" si="108"/>
        <v>3720</v>
      </c>
      <c r="K89" s="1384">
        <f t="shared" si="108"/>
        <v>0</v>
      </c>
      <c r="L89" s="1384">
        <f t="shared" si="108"/>
        <v>0</v>
      </c>
      <c r="M89" s="1384">
        <f t="shared" si="108"/>
        <v>2606744</v>
      </c>
      <c r="N89" s="1384">
        <f t="shared" si="108"/>
        <v>2603024</v>
      </c>
      <c r="O89" s="1384">
        <f t="shared" si="108"/>
        <v>16227725</v>
      </c>
      <c r="P89" s="1384">
        <f t="shared" si="108"/>
        <v>0</v>
      </c>
      <c r="Q89" s="1384">
        <f t="shared" si="108"/>
        <v>0</v>
      </c>
      <c r="R89" s="1384">
        <f t="shared" si="108"/>
        <v>0</v>
      </c>
      <c r="S89" s="1384">
        <f t="shared" si="108"/>
        <v>0</v>
      </c>
      <c r="T89" s="1384">
        <f t="shared" si="108"/>
        <v>0</v>
      </c>
      <c r="U89" s="1384"/>
      <c r="V89" s="1384"/>
      <c r="W89" s="1384"/>
      <c r="X89" s="3214"/>
      <c r="Y89" s="3298"/>
    </row>
    <row r="90" spans="1:86" s="1311" customFormat="1" ht="13.5" customHeight="1" thickBot="1">
      <c r="A90" s="3296"/>
      <c r="B90" s="1844" t="s">
        <v>48</v>
      </c>
      <c r="C90" s="3305"/>
      <c r="D90" s="1869">
        <f>M90+O90+P90+Q90+R90+S90+T90+U90+V90+W90</f>
        <v>18834469</v>
      </c>
      <c r="E90" s="705">
        <v>0</v>
      </c>
      <c r="F90" s="705"/>
      <c r="G90" s="705"/>
      <c r="H90" s="705">
        <f>H96+H100</f>
        <v>0</v>
      </c>
      <c r="I90" s="705">
        <v>0</v>
      </c>
      <c r="J90" s="705">
        <v>3720</v>
      </c>
      <c r="K90" s="705">
        <f>493415-493415</f>
        <v>0</v>
      </c>
      <c r="L90" s="705">
        <f>2837134+2876336-5713470</f>
        <v>0</v>
      </c>
      <c r="M90" s="705">
        <f>+E90+I90+J90+K90+L90+N90</f>
        <v>2606744</v>
      </c>
      <c r="N90" s="705">
        <f>2837134+722775+5931206+5713470-12601561</f>
        <v>2603024</v>
      </c>
      <c r="O90" s="705">
        <f>0+12601561+1485000+163848+1985455-8139</f>
        <v>16227725</v>
      </c>
      <c r="P90" s="705">
        <v>0</v>
      </c>
      <c r="Q90" s="705">
        <v>0</v>
      </c>
      <c r="R90" s="705">
        <v>0</v>
      </c>
      <c r="S90" s="705">
        <v>0</v>
      </c>
      <c r="T90" s="705">
        <v>0</v>
      </c>
      <c r="U90" s="705"/>
      <c r="V90" s="705"/>
      <c r="W90" s="705"/>
      <c r="X90" s="3215"/>
      <c r="Y90" s="3299"/>
    </row>
    <row r="91" spans="1:86" ht="6.75" customHeight="1">
      <c r="L91" s="1312"/>
    </row>
    <row r="92" spans="1:86" ht="18" customHeight="1">
      <c r="A92" s="1554" t="s">
        <v>315</v>
      </c>
      <c r="E92" s="710"/>
      <c r="F92" s="1311"/>
      <c r="G92" s="1555"/>
      <c r="L92" s="1312"/>
      <c r="Y92" s="2676"/>
      <c r="Z92" s="1311"/>
      <c r="AA92" s="1311"/>
      <c r="AB92" s="1311"/>
      <c r="AC92" s="1311"/>
      <c r="AD92" s="1311"/>
      <c r="AE92" s="1311"/>
      <c r="AF92" s="1311"/>
      <c r="AG92" s="1311"/>
      <c r="AH92" s="1311"/>
      <c r="AI92" s="1311"/>
      <c r="AJ92" s="1311"/>
      <c r="AK92" s="1311"/>
      <c r="AL92" s="1311"/>
      <c r="AM92" s="1311"/>
      <c r="AN92" s="1311"/>
      <c r="AO92" s="1311"/>
      <c r="AP92" s="1311"/>
      <c r="AQ92" s="1311"/>
      <c r="AR92" s="1311"/>
      <c r="AS92" s="1311"/>
      <c r="AT92" s="1311"/>
      <c r="AU92" s="1311"/>
      <c r="AV92" s="1311"/>
      <c r="AW92" s="1311"/>
      <c r="AX92" s="1311"/>
      <c r="AY92" s="1311"/>
      <c r="AZ92" s="1311"/>
      <c r="BA92" s="1311"/>
      <c r="BB92" s="1311"/>
      <c r="BC92" s="1311"/>
      <c r="BD92" s="1311"/>
      <c r="BE92" s="1311"/>
      <c r="BF92" s="1311"/>
      <c r="BG92" s="1311"/>
      <c r="BH92" s="1311"/>
      <c r="BI92" s="1311"/>
      <c r="BJ92" s="1311"/>
      <c r="BK92" s="1311"/>
      <c r="BL92" s="1311"/>
      <c r="BM92" s="1311"/>
      <c r="BN92" s="1311"/>
      <c r="BO92" s="1311"/>
      <c r="BP92" s="1311"/>
      <c r="BQ92" s="1311"/>
      <c r="BR92" s="1311"/>
      <c r="BS92" s="1311"/>
      <c r="BT92" s="1311"/>
      <c r="BU92" s="1311"/>
      <c r="BV92" s="1311"/>
      <c r="BW92" s="1311"/>
      <c r="BX92" s="1311"/>
      <c r="BY92" s="1311"/>
      <c r="BZ92" s="1311"/>
      <c r="CA92" s="1311"/>
      <c r="CB92" s="1311"/>
      <c r="CC92" s="1311"/>
      <c r="CD92" s="1311"/>
      <c r="CE92" s="1311"/>
      <c r="CF92" s="1311"/>
      <c r="CG92" s="1311"/>
      <c r="CH92" s="1311"/>
    </row>
    <row r="93" spans="1:86">
      <c r="E93" s="710"/>
      <c r="F93" s="1311"/>
      <c r="L93" s="1312"/>
      <c r="Y93" s="2676"/>
    </row>
    <row r="94" spans="1:86">
      <c r="E94" s="1898"/>
      <c r="F94" s="1311"/>
      <c r="L94" s="1312"/>
      <c r="Y94" s="2676"/>
    </row>
    <row r="95" spans="1:86">
      <c r="E95" s="710"/>
      <c r="F95" s="1311"/>
      <c r="L95" s="1312"/>
      <c r="Y95" s="2676"/>
    </row>
    <row r="96" spans="1:86">
      <c r="E96" s="1898"/>
      <c r="F96" s="1311"/>
      <c r="L96" s="1312"/>
      <c r="Y96" s="2676"/>
    </row>
    <row r="97" spans="5:25">
      <c r="E97" s="710"/>
      <c r="F97" s="1311"/>
      <c r="L97" s="1312"/>
      <c r="Y97" s="2676"/>
    </row>
    <row r="98" spans="5:25">
      <c r="E98" s="1899"/>
      <c r="F98" s="1311"/>
      <c r="L98" s="1312"/>
      <c r="Y98" s="2676"/>
    </row>
    <row r="99" spans="5:25">
      <c r="E99" s="710"/>
      <c r="F99" s="1311"/>
      <c r="L99" s="1312"/>
      <c r="Y99" s="2676"/>
    </row>
    <row r="100" spans="5:25">
      <c r="E100" s="1900"/>
      <c r="F100" s="1311"/>
      <c r="L100" s="1312"/>
      <c r="Y100" s="2676"/>
    </row>
    <row r="101" spans="5:25">
      <c r="E101" s="710"/>
      <c r="F101" s="1311"/>
      <c r="L101" s="1312"/>
      <c r="Y101" s="2676"/>
    </row>
    <row r="102" spans="5:25">
      <c r="E102" s="710"/>
      <c r="F102" s="1311"/>
      <c r="L102" s="1312"/>
      <c r="Y102" s="2676"/>
    </row>
    <row r="103" spans="5:25">
      <c r="E103" s="710"/>
      <c r="F103" s="1311"/>
      <c r="L103" s="1312"/>
      <c r="Y103" s="2676"/>
    </row>
    <row r="104" spans="5:25">
      <c r="E104" s="1900"/>
      <c r="L104" s="1312"/>
      <c r="Y104" s="2676"/>
    </row>
    <row r="105" spans="5:25">
      <c r="E105" s="710"/>
      <c r="L105" s="1312"/>
      <c r="Y105" s="2676"/>
    </row>
    <row r="106" spans="5:25">
      <c r="E106" s="710"/>
      <c r="L106" s="1312"/>
      <c r="Y106" s="2676"/>
    </row>
    <row r="107" spans="5:25">
      <c r="E107" s="710"/>
      <c r="F107" s="1311"/>
      <c r="L107" s="1312"/>
      <c r="Y107" s="2676"/>
    </row>
    <row r="108" spans="5:25">
      <c r="E108" s="1898"/>
      <c r="F108" s="1311"/>
      <c r="L108" s="1312"/>
      <c r="Y108" s="2676"/>
    </row>
    <row r="109" spans="5:25">
      <c r="E109" s="710"/>
      <c r="F109" s="1311"/>
      <c r="L109" s="1312"/>
      <c r="Y109" s="2676"/>
    </row>
    <row r="110" spans="5:25">
      <c r="E110" s="1898"/>
      <c r="F110" s="1311"/>
      <c r="L110" s="1312"/>
      <c r="Y110" s="2676"/>
    </row>
    <row r="111" spans="5:25">
      <c r="E111" s="710"/>
      <c r="F111" s="1311"/>
      <c r="L111" s="1312"/>
      <c r="Y111" s="2676"/>
    </row>
    <row r="112" spans="5:25">
      <c r="E112" s="1899"/>
      <c r="F112" s="1311"/>
      <c r="L112" s="1312"/>
      <c r="Y112" s="2676"/>
    </row>
    <row r="113" spans="5:25">
      <c r="E113" s="710"/>
      <c r="F113" s="1311"/>
      <c r="L113" s="1312"/>
      <c r="Y113" s="2676"/>
    </row>
    <row r="114" spans="5:25">
      <c r="E114" s="1900"/>
      <c r="F114" s="1311"/>
      <c r="L114" s="1312"/>
      <c r="Y114" s="2676"/>
    </row>
    <row r="115" spans="5:25">
      <c r="E115" s="710"/>
      <c r="F115" s="1311"/>
      <c r="L115" s="1312"/>
      <c r="Y115" s="2676"/>
    </row>
    <row r="116" spans="5:25">
      <c r="E116" s="710"/>
      <c r="F116" s="1311"/>
      <c r="L116" s="1312"/>
      <c r="Y116" s="2676"/>
    </row>
    <row r="117" spans="5:25">
      <c r="E117" s="710"/>
      <c r="F117" s="1311"/>
      <c r="L117" s="1312"/>
      <c r="Y117" s="2676"/>
    </row>
    <row r="118" spans="5:25">
      <c r="E118" s="1900"/>
      <c r="L118" s="1312"/>
      <c r="Y118" s="2676"/>
    </row>
    <row r="119" spans="5:25">
      <c r="E119" s="710"/>
      <c r="L119" s="1312"/>
      <c r="Y119" s="2676"/>
    </row>
    <row r="120" spans="5:25">
      <c r="E120" s="710"/>
      <c r="L120" s="1312"/>
      <c r="Y120" s="2676"/>
    </row>
    <row r="121" spans="5:25">
      <c r="E121" s="710"/>
      <c r="F121" s="1311"/>
      <c r="L121" s="1312"/>
      <c r="Y121" s="2676"/>
    </row>
    <row r="122" spans="5:25">
      <c r="E122" s="1898"/>
      <c r="F122" s="1311"/>
      <c r="L122" s="1312"/>
      <c r="Y122" s="2676"/>
    </row>
    <row r="123" spans="5:25">
      <c r="E123" s="710"/>
      <c r="F123" s="1311"/>
      <c r="L123" s="1312"/>
      <c r="Y123" s="2676"/>
    </row>
    <row r="124" spans="5:25">
      <c r="E124" s="1898"/>
      <c r="F124" s="1311"/>
      <c r="L124" s="1312"/>
      <c r="Y124" s="2676"/>
    </row>
    <row r="125" spans="5:25">
      <c r="E125" s="710"/>
      <c r="F125" s="1311"/>
      <c r="L125" s="1312"/>
      <c r="Y125" s="2676"/>
    </row>
    <row r="126" spans="5:25">
      <c r="E126" s="1899"/>
      <c r="F126" s="1311"/>
      <c r="L126" s="1312"/>
      <c r="Y126" s="2676"/>
    </row>
    <row r="127" spans="5:25">
      <c r="E127" s="710"/>
      <c r="F127" s="1311"/>
      <c r="L127" s="1312"/>
      <c r="Y127" s="2676"/>
    </row>
    <row r="128" spans="5:25">
      <c r="E128" s="1900"/>
      <c r="F128" s="1311"/>
      <c r="L128" s="1312"/>
      <c r="Y128" s="2676"/>
    </row>
    <row r="129" spans="5:25">
      <c r="E129" s="710"/>
      <c r="F129" s="1311"/>
      <c r="L129" s="1312"/>
      <c r="Y129" s="2676"/>
    </row>
    <row r="130" spans="5:25">
      <c r="E130" s="710"/>
      <c r="F130" s="1311"/>
      <c r="L130" s="1312"/>
      <c r="Y130" s="2676"/>
    </row>
    <row r="131" spans="5:25">
      <c r="E131" s="710"/>
      <c r="F131" s="1311"/>
      <c r="L131" s="1312"/>
      <c r="Y131" s="2676"/>
    </row>
    <row r="132" spans="5:25">
      <c r="E132" s="1900"/>
      <c r="L132" s="1312"/>
      <c r="Y132" s="2676"/>
    </row>
    <row r="133" spans="5:25">
      <c r="E133" s="710"/>
      <c r="L133" s="1312"/>
      <c r="Y133" s="2676"/>
    </row>
    <row r="134" spans="5:25">
      <c r="E134" s="710"/>
      <c r="L134" s="1312"/>
      <c r="Y134" s="2676"/>
    </row>
    <row r="135" spans="5:25">
      <c r="E135" s="710"/>
      <c r="F135" s="1311"/>
      <c r="L135" s="1312"/>
      <c r="Y135" s="2676"/>
    </row>
    <row r="136" spans="5:25">
      <c r="E136" s="1898"/>
      <c r="F136" s="1311"/>
      <c r="L136" s="1312"/>
      <c r="Y136" s="2676"/>
    </row>
    <row r="137" spans="5:25">
      <c r="E137" s="710"/>
      <c r="F137" s="1311"/>
      <c r="L137" s="1312"/>
      <c r="Y137" s="2676"/>
    </row>
    <row r="138" spans="5:25">
      <c r="E138" s="1898"/>
      <c r="F138" s="1311"/>
      <c r="L138" s="1312"/>
      <c r="Y138" s="2676"/>
    </row>
    <row r="139" spans="5:25">
      <c r="E139" s="710"/>
      <c r="F139" s="1311"/>
      <c r="L139" s="1312"/>
      <c r="Y139" s="2676"/>
    </row>
    <row r="140" spans="5:25">
      <c r="E140" s="1899"/>
      <c r="F140" s="1311"/>
      <c r="L140" s="1312"/>
      <c r="Y140" s="2676"/>
    </row>
    <row r="141" spans="5:25">
      <c r="E141" s="710"/>
      <c r="F141" s="1311"/>
      <c r="L141" s="1312"/>
      <c r="Y141" s="2676"/>
    </row>
    <row r="142" spans="5:25">
      <c r="E142" s="1900"/>
      <c r="F142" s="1311"/>
      <c r="L142" s="1312"/>
      <c r="Y142" s="2676"/>
    </row>
    <row r="143" spans="5:25">
      <c r="E143" s="710"/>
      <c r="F143" s="1311"/>
      <c r="L143" s="1312"/>
      <c r="Y143" s="2676"/>
    </row>
    <row r="144" spans="5:25">
      <c r="E144" s="710"/>
      <c r="F144" s="1311"/>
      <c r="L144" s="1312"/>
      <c r="Y144" s="2676"/>
    </row>
    <row r="145" spans="5:25">
      <c r="E145" s="710"/>
      <c r="F145" s="1311"/>
      <c r="L145" s="1312"/>
      <c r="Y145" s="2676"/>
    </row>
    <row r="146" spans="5:25">
      <c r="E146" s="1900"/>
      <c r="L146" s="1312"/>
      <c r="Y146" s="2676"/>
    </row>
    <row r="147" spans="5:25">
      <c r="E147" s="710"/>
      <c r="L147" s="1312"/>
      <c r="Y147" s="2676"/>
    </row>
    <row r="148" spans="5:25">
      <c r="E148" s="710"/>
      <c r="L148" s="1312"/>
      <c r="Y148" s="2676"/>
    </row>
    <row r="149" spans="5:25">
      <c r="E149" s="710"/>
      <c r="F149" s="1311"/>
      <c r="L149" s="1312"/>
      <c r="Y149" s="2676"/>
    </row>
    <row r="150" spans="5:25">
      <c r="E150" s="1898"/>
      <c r="F150" s="1311"/>
      <c r="L150" s="1312"/>
      <c r="Y150" s="2676"/>
    </row>
    <row r="151" spans="5:25">
      <c r="E151" s="710"/>
      <c r="F151" s="1311"/>
      <c r="L151" s="1312"/>
      <c r="Y151" s="2676"/>
    </row>
    <row r="152" spans="5:25">
      <c r="E152" s="1898"/>
      <c r="F152" s="1311"/>
      <c r="L152" s="1312"/>
      <c r="Y152" s="2676"/>
    </row>
    <row r="153" spans="5:25">
      <c r="E153" s="710"/>
      <c r="F153" s="1311"/>
      <c r="L153" s="1312"/>
      <c r="Y153" s="2676"/>
    </row>
    <row r="154" spans="5:25">
      <c r="E154" s="1899"/>
      <c r="F154" s="1311"/>
      <c r="L154" s="1312"/>
      <c r="Y154" s="2676"/>
    </row>
    <row r="155" spans="5:25">
      <c r="E155" s="710"/>
      <c r="F155" s="1311"/>
      <c r="L155" s="1312"/>
      <c r="Y155" s="2676"/>
    </row>
    <row r="156" spans="5:25">
      <c r="E156" s="1900"/>
      <c r="F156" s="1311"/>
      <c r="L156" s="1312"/>
      <c r="Y156" s="2676"/>
    </row>
    <row r="157" spans="5:25">
      <c r="E157" s="710"/>
      <c r="F157" s="1311"/>
      <c r="L157" s="1312"/>
      <c r="Y157" s="2676"/>
    </row>
    <row r="158" spans="5:25">
      <c r="E158" s="710"/>
      <c r="F158" s="1311"/>
      <c r="L158" s="1312"/>
      <c r="Y158" s="2676"/>
    </row>
    <row r="159" spans="5:25">
      <c r="E159" s="710"/>
      <c r="F159" s="1311"/>
      <c r="L159" s="1312"/>
      <c r="Y159" s="2676"/>
    </row>
    <row r="160" spans="5:25">
      <c r="E160" s="1900"/>
      <c r="L160" s="1312"/>
      <c r="Y160" s="2676"/>
    </row>
    <row r="161" spans="5:25">
      <c r="E161" s="710"/>
      <c r="L161" s="1312"/>
      <c r="Y161" s="2676"/>
    </row>
    <row r="162" spans="5:25">
      <c r="E162" s="710"/>
      <c r="L162" s="1312"/>
      <c r="Y162" s="2676"/>
    </row>
    <row r="163" spans="5:25">
      <c r="E163" s="710"/>
      <c r="F163" s="1311"/>
      <c r="L163" s="1312"/>
      <c r="Y163" s="2676"/>
    </row>
    <row r="164" spans="5:25">
      <c r="E164" s="1898"/>
      <c r="F164" s="1311"/>
      <c r="L164" s="1312"/>
      <c r="Y164" s="2676"/>
    </row>
    <row r="165" spans="5:25">
      <c r="E165" s="710"/>
      <c r="F165" s="1311"/>
      <c r="L165" s="1312"/>
      <c r="Y165" s="2676"/>
    </row>
    <row r="166" spans="5:25">
      <c r="E166" s="1898"/>
      <c r="F166" s="1311"/>
      <c r="L166" s="1312"/>
      <c r="Y166" s="2676"/>
    </row>
    <row r="167" spans="5:25">
      <c r="E167" s="710"/>
      <c r="F167" s="1311"/>
      <c r="L167" s="1312"/>
      <c r="Y167" s="2676"/>
    </row>
    <row r="168" spans="5:25">
      <c r="E168" s="1899"/>
      <c r="F168" s="1311"/>
      <c r="L168" s="1312"/>
      <c r="Y168" s="2676"/>
    </row>
    <row r="169" spans="5:25">
      <c r="E169" s="710"/>
      <c r="F169" s="1311"/>
      <c r="L169" s="1312"/>
      <c r="Y169" s="2676"/>
    </row>
    <row r="170" spans="5:25">
      <c r="E170" s="1900"/>
      <c r="F170" s="1311"/>
      <c r="L170" s="1312"/>
      <c r="Y170" s="2676"/>
    </row>
    <row r="171" spans="5:25">
      <c r="E171" s="710"/>
      <c r="F171" s="1311"/>
      <c r="L171" s="1312"/>
      <c r="Y171" s="2676"/>
    </row>
    <row r="172" spans="5:25">
      <c r="E172" s="710"/>
      <c r="F172" s="1311"/>
      <c r="L172" s="1312"/>
      <c r="Y172" s="2676"/>
    </row>
    <row r="173" spans="5:25">
      <c r="E173" s="710"/>
      <c r="F173" s="1311"/>
      <c r="L173" s="1312"/>
      <c r="Y173" s="2676"/>
    </row>
    <row r="174" spans="5:25">
      <c r="E174" s="1900"/>
      <c r="L174" s="1312"/>
      <c r="Y174" s="2676"/>
    </row>
    <row r="175" spans="5:25">
      <c r="E175" s="710"/>
      <c r="L175" s="1312"/>
      <c r="Y175" s="2676"/>
    </row>
    <row r="176" spans="5:25">
      <c r="E176" s="710"/>
      <c r="L176" s="1312"/>
      <c r="Y176" s="2676"/>
    </row>
    <row r="177" spans="5:25">
      <c r="E177" s="710"/>
      <c r="F177" s="1311"/>
      <c r="L177" s="1312"/>
      <c r="Y177" s="2676"/>
    </row>
    <row r="178" spans="5:25">
      <c r="E178" s="1898"/>
      <c r="F178" s="1311"/>
      <c r="L178" s="1312"/>
      <c r="Y178" s="2676"/>
    </row>
    <row r="179" spans="5:25">
      <c r="E179" s="710"/>
      <c r="F179" s="1311"/>
      <c r="L179" s="1312"/>
      <c r="Y179" s="2676"/>
    </row>
    <row r="180" spans="5:25">
      <c r="E180" s="1898"/>
      <c r="F180" s="1311"/>
      <c r="L180" s="1312"/>
      <c r="Y180" s="2676"/>
    </row>
    <row r="181" spans="5:25">
      <c r="E181" s="710"/>
      <c r="F181" s="1311"/>
      <c r="L181" s="1312"/>
      <c r="Y181" s="2676"/>
    </row>
    <row r="182" spans="5:25">
      <c r="E182" s="1899"/>
      <c r="F182" s="1311"/>
      <c r="L182" s="1312"/>
      <c r="Y182" s="2676"/>
    </row>
    <row r="183" spans="5:25">
      <c r="E183" s="710"/>
      <c r="F183" s="1311"/>
      <c r="L183" s="1312"/>
      <c r="Y183" s="2676"/>
    </row>
    <row r="184" spans="5:25">
      <c r="E184" s="1900"/>
      <c r="F184" s="1311"/>
      <c r="L184" s="1312"/>
      <c r="Y184" s="2676"/>
    </row>
    <row r="185" spans="5:25">
      <c r="E185" s="710"/>
      <c r="F185" s="1311"/>
      <c r="L185" s="1312"/>
      <c r="Y185" s="2676"/>
    </row>
    <row r="186" spans="5:25">
      <c r="E186" s="710"/>
      <c r="F186" s="1311"/>
      <c r="L186" s="1312"/>
      <c r="Y186" s="2676"/>
    </row>
    <row r="187" spans="5:25">
      <c r="E187" s="710"/>
      <c r="F187" s="1311"/>
      <c r="L187" s="1312"/>
      <c r="Y187" s="2676"/>
    </row>
    <row r="188" spans="5:25">
      <c r="E188" s="1900"/>
      <c r="L188" s="1312"/>
      <c r="Y188" s="2676"/>
    </row>
    <row r="189" spans="5:25">
      <c r="E189" s="710"/>
      <c r="L189" s="1312"/>
      <c r="Y189" s="2676"/>
    </row>
    <row r="190" spans="5:25">
      <c r="E190" s="710"/>
      <c r="L190" s="1312"/>
      <c r="Y190" s="2676"/>
    </row>
    <row r="191" spans="5:25">
      <c r="E191" s="710"/>
      <c r="F191" s="1311"/>
      <c r="L191" s="1312"/>
      <c r="Y191" s="2676"/>
    </row>
    <row r="192" spans="5:25">
      <c r="E192" s="1898"/>
      <c r="F192" s="1311"/>
      <c r="L192" s="1312"/>
      <c r="Y192" s="2676"/>
    </row>
    <row r="193" spans="5:25">
      <c r="E193" s="710"/>
      <c r="F193" s="1311"/>
      <c r="L193" s="1312"/>
      <c r="Y193" s="2676"/>
    </row>
    <row r="194" spans="5:25">
      <c r="E194" s="1898"/>
      <c r="F194" s="1311"/>
      <c r="L194" s="1312"/>
      <c r="Y194" s="2676"/>
    </row>
    <row r="195" spans="5:25">
      <c r="E195" s="710"/>
      <c r="F195" s="1311"/>
      <c r="L195" s="1312"/>
      <c r="Y195" s="2676"/>
    </row>
    <row r="196" spans="5:25">
      <c r="E196" s="1899"/>
      <c r="F196" s="1311"/>
      <c r="L196" s="1312"/>
      <c r="Y196" s="2676"/>
    </row>
    <row r="197" spans="5:25">
      <c r="E197" s="710"/>
      <c r="F197" s="1311"/>
      <c r="L197" s="1312"/>
      <c r="Y197" s="2676"/>
    </row>
    <row r="198" spans="5:25">
      <c r="E198" s="1900"/>
      <c r="F198" s="1311"/>
      <c r="L198" s="1312"/>
      <c r="Y198" s="2676"/>
    </row>
    <row r="199" spans="5:25">
      <c r="E199" s="710"/>
      <c r="F199" s="1311"/>
      <c r="L199" s="1312"/>
      <c r="Y199" s="2676"/>
    </row>
    <row r="200" spans="5:25">
      <c r="E200" s="710"/>
      <c r="F200" s="1311"/>
      <c r="L200" s="1312"/>
      <c r="Y200" s="2676"/>
    </row>
    <row r="201" spans="5:25">
      <c r="E201" s="710"/>
      <c r="F201" s="1311"/>
      <c r="L201" s="1312"/>
      <c r="Y201" s="2676"/>
    </row>
    <row r="202" spans="5:25">
      <c r="E202" s="1900"/>
      <c r="L202" s="1312"/>
      <c r="Y202" s="2676"/>
    </row>
    <row r="203" spans="5:25">
      <c r="E203" s="710"/>
      <c r="L203" s="1312"/>
      <c r="Y203" s="2676"/>
    </row>
    <row r="204" spans="5:25">
      <c r="E204" s="710"/>
      <c r="L204" s="1312"/>
      <c r="Y204" s="2676"/>
    </row>
    <row r="205" spans="5:25">
      <c r="E205" s="710"/>
      <c r="F205" s="1311"/>
      <c r="L205" s="1312"/>
      <c r="Y205" s="2676"/>
    </row>
    <row r="206" spans="5:25">
      <c r="E206" s="1898"/>
      <c r="F206" s="1311"/>
      <c r="L206" s="1312"/>
      <c r="Y206" s="2676"/>
    </row>
    <row r="207" spans="5:25">
      <c r="E207" s="710"/>
      <c r="F207" s="1311"/>
      <c r="L207" s="1312"/>
      <c r="Y207" s="2676"/>
    </row>
    <row r="208" spans="5:25">
      <c r="E208" s="1898"/>
      <c r="F208" s="1311"/>
      <c r="L208" s="1312"/>
      <c r="Y208" s="2676"/>
    </row>
    <row r="209" spans="5:25">
      <c r="E209" s="710"/>
      <c r="F209" s="1311"/>
      <c r="L209" s="1312"/>
      <c r="Y209" s="2676"/>
    </row>
    <row r="210" spans="5:25">
      <c r="E210" s="1899"/>
      <c r="F210" s="1311"/>
      <c r="L210" s="1312"/>
      <c r="Y210" s="2676"/>
    </row>
    <row r="211" spans="5:25">
      <c r="E211" s="710"/>
      <c r="F211" s="1311"/>
      <c r="L211" s="1312"/>
      <c r="Y211" s="2676"/>
    </row>
    <row r="212" spans="5:25">
      <c r="E212" s="1900"/>
      <c r="F212" s="1311"/>
      <c r="L212" s="1312"/>
      <c r="Y212" s="2676"/>
    </row>
    <row r="213" spans="5:25">
      <c r="E213" s="710"/>
      <c r="F213" s="1311"/>
      <c r="L213" s="1312"/>
      <c r="Y213" s="2676"/>
    </row>
    <row r="214" spans="5:25">
      <c r="E214" s="710"/>
      <c r="F214" s="1311"/>
      <c r="L214" s="1312"/>
      <c r="Y214" s="2676"/>
    </row>
    <row r="215" spans="5:25">
      <c r="E215" s="710"/>
      <c r="F215" s="1311"/>
      <c r="L215" s="1312"/>
      <c r="Y215" s="2676"/>
    </row>
    <row r="216" spans="5:25">
      <c r="E216" s="1900"/>
      <c r="L216" s="1312"/>
      <c r="Y216" s="2676"/>
    </row>
    <row r="217" spans="5:25">
      <c r="E217" s="710"/>
      <c r="L217" s="1312"/>
      <c r="Y217" s="2676"/>
    </row>
    <row r="218" spans="5:25">
      <c r="E218" s="710"/>
      <c r="L218" s="1312"/>
      <c r="Y218" s="2676"/>
    </row>
    <row r="219" spans="5:25">
      <c r="E219" s="710"/>
      <c r="F219" s="1311"/>
      <c r="L219" s="1312"/>
      <c r="Y219" s="2676"/>
    </row>
    <row r="424" spans="1:25" ht="12" thickBot="1"/>
    <row r="425" spans="1:25" ht="33.75">
      <c r="A425" s="1901"/>
      <c r="B425" s="1498" t="s">
        <v>85</v>
      </c>
      <c r="C425" s="1498"/>
      <c r="D425" s="1902"/>
      <c r="E425" s="1902"/>
      <c r="F425" s="1902"/>
      <c r="G425" s="1902"/>
      <c r="H425" s="1902"/>
      <c r="I425" s="1902"/>
      <c r="J425" s="1902"/>
      <c r="K425" s="1902"/>
      <c r="L425" s="1903"/>
      <c r="M425" s="1903"/>
      <c r="N425" s="1903"/>
      <c r="O425" s="1903"/>
      <c r="P425" s="1903"/>
      <c r="Q425" s="1903"/>
      <c r="R425" s="1903"/>
      <c r="S425" s="1903"/>
      <c r="T425" s="1903"/>
      <c r="U425" s="1903"/>
      <c r="V425" s="1903"/>
      <c r="W425" s="1903"/>
      <c r="X425" s="1903"/>
      <c r="Y425" s="1904"/>
    </row>
    <row r="426" spans="1:25">
      <c r="A426" s="1905"/>
      <c r="M426" s="1670"/>
      <c r="N426" s="1670"/>
      <c r="O426" s="1670"/>
      <c r="P426" s="1670"/>
      <c r="Q426" s="1670"/>
      <c r="R426" s="1670"/>
      <c r="S426" s="1670"/>
      <c r="T426" s="1670"/>
      <c r="U426" s="1670"/>
      <c r="V426" s="1670"/>
      <c r="W426" s="1670"/>
      <c r="X426" s="1670"/>
      <c r="Y426" s="1906"/>
    </row>
    <row r="427" spans="1:25">
      <c r="A427" s="1905"/>
      <c r="M427" s="1670"/>
      <c r="N427" s="1670"/>
      <c r="O427" s="1670"/>
      <c r="P427" s="1670"/>
      <c r="Q427" s="1670"/>
      <c r="R427" s="1670"/>
      <c r="S427" s="1670"/>
      <c r="T427" s="1670"/>
      <c r="U427" s="1670"/>
      <c r="V427" s="1670"/>
      <c r="W427" s="1670"/>
      <c r="X427" s="1670"/>
      <c r="Y427" s="1906"/>
    </row>
    <row r="428" spans="1:25">
      <c r="A428" s="1905"/>
      <c r="M428" s="1670"/>
      <c r="N428" s="1670"/>
      <c r="O428" s="1670"/>
      <c r="P428" s="1670"/>
      <c r="Q428" s="1670"/>
      <c r="R428" s="1670"/>
      <c r="S428" s="1670"/>
      <c r="T428" s="1670"/>
      <c r="U428" s="1670"/>
      <c r="V428" s="1670"/>
      <c r="W428" s="1670"/>
      <c r="X428" s="1670"/>
      <c r="Y428" s="1906"/>
    </row>
    <row r="429" spans="1:25">
      <c r="A429" s="1905"/>
      <c r="M429" s="1670"/>
      <c r="N429" s="1670"/>
      <c r="O429" s="1670"/>
      <c r="P429" s="1670"/>
      <c r="Q429" s="1670"/>
      <c r="R429" s="1670"/>
      <c r="S429" s="1670"/>
      <c r="T429" s="1670"/>
      <c r="U429" s="1670"/>
      <c r="V429" s="1670"/>
      <c r="W429" s="1670"/>
      <c r="X429" s="1670"/>
      <c r="Y429" s="1906"/>
    </row>
    <row r="430" spans="1:25">
      <c r="A430" s="1905"/>
      <c r="M430" s="1670"/>
      <c r="N430" s="1670"/>
      <c r="O430" s="1670"/>
      <c r="P430" s="1670"/>
      <c r="Q430" s="1670"/>
      <c r="R430" s="1670"/>
      <c r="S430" s="1670"/>
      <c r="T430" s="1670"/>
      <c r="U430" s="1670"/>
      <c r="V430" s="1670"/>
      <c r="W430" s="1670"/>
      <c r="X430" s="1670"/>
      <c r="Y430" s="1906"/>
    </row>
    <row r="431" spans="1:25">
      <c r="A431" s="1905"/>
      <c r="M431" s="1670"/>
      <c r="N431" s="1670"/>
      <c r="O431" s="1670"/>
      <c r="P431" s="1670"/>
      <c r="Q431" s="1670"/>
      <c r="R431" s="1670"/>
      <c r="S431" s="1670"/>
      <c r="T431" s="1670"/>
      <c r="U431" s="1670"/>
      <c r="V431" s="1670"/>
      <c r="W431" s="1670"/>
      <c r="X431" s="1670"/>
      <c r="Y431" s="1906"/>
    </row>
    <row r="432" spans="1:25">
      <c r="A432" s="1905"/>
      <c r="M432" s="1670"/>
      <c r="N432" s="1670"/>
      <c r="O432" s="1670"/>
      <c r="P432" s="1670"/>
      <c r="Q432" s="1670"/>
      <c r="R432" s="1670"/>
      <c r="S432" s="1670"/>
      <c r="T432" s="1670"/>
      <c r="U432" s="1670"/>
      <c r="V432" s="1670"/>
      <c r="W432" s="1670"/>
      <c r="X432" s="1670"/>
      <c r="Y432" s="1906"/>
    </row>
    <row r="433" spans="1:25">
      <c r="A433" s="1905"/>
      <c r="M433" s="1670"/>
      <c r="N433" s="1670"/>
      <c r="O433" s="1670"/>
      <c r="P433" s="1670"/>
      <c r="Q433" s="1670"/>
      <c r="R433" s="1670"/>
      <c r="S433" s="1670"/>
      <c r="T433" s="1670"/>
      <c r="U433" s="1670"/>
      <c r="V433" s="1670"/>
      <c r="W433" s="1670"/>
      <c r="X433" s="1670"/>
      <c r="Y433" s="1906"/>
    </row>
    <row r="434" spans="1:25">
      <c r="A434" s="1905"/>
      <c r="M434" s="1670"/>
      <c r="N434" s="1670"/>
      <c r="O434" s="1670"/>
      <c r="P434" s="1670"/>
      <c r="Q434" s="1670"/>
      <c r="R434" s="1670"/>
      <c r="S434" s="1670"/>
      <c r="T434" s="1670"/>
      <c r="U434" s="1670"/>
      <c r="V434" s="1670"/>
      <c r="W434" s="1670"/>
      <c r="X434" s="1670"/>
      <c r="Y434" s="1906"/>
    </row>
    <row r="435" spans="1:25">
      <c r="A435" s="1905"/>
      <c r="M435" s="1670"/>
      <c r="N435" s="1670"/>
      <c r="O435" s="1670"/>
      <c r="P435" s="1670"/>
      <c r="Q435" s="1670"/>
      <c r="R435" s="1670"/>
      <c r="S435" s="1670"/>
      <c r="T435" s="1670"/>
      <c r="U435" s="1670"/>
      <c r="V435" s="1670"/>
      <c r="W435" s="1670"/>
      <c r="X435" s="1670"/>
      <c r="Y435" s="1906"/>
    </row>
    <row r="436" spans="1:25" ht="12" thickBot="1">
      <c r="A436" s="1907"/>
      <c r="B436" s="1908"/>
      <c r="C436" s="1908"/>
      <c r="D436" s="1908"/>
      <c r="E436" s="1908"/>
      <c r="F436" s="1908"/>
      <c r="G436" s="1908"/>
      <c r="H436" s="1908"/>
      <c r="I436" s="1908"/>
      <c r="J436" s="1908"/>
      <c r="K436" s="1908"/>
      <c r="L436" s="1909"/>
      <c r="M436" s="1909"/>
      <c r="N436" s="1909"/>
      <c r="O436" s="1909"/>
      <c r="P436" s="1909"/>
      <c r="Q436" s="1909"/>
      <c r="R436" s="1909"/>
      <c r="S436" s="1909"/>
      <c r="T436" s="1909"/>
      <c r="U436" s="1909"/>
      <c r="V436" s="1909"/>
      <c r="W436" s="1909"/>
      <c r="X436" s="1909"/>
      <c r="Y436" s="1910"/>
    </row>
  </sheetData>
  <mergeCells count="51"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W5"/>
    <mergeCell ref="A22:A25"/>
    <mergeCell ref="Y22:Y30"/>
    <mergeCell ref="C24:C27"/>
    <mergeCell ref="C29:C30"/>
    <mergeCell ref="A31:A42"/>
    <mergeCell ref="Y31:Y42"/>
    <mergeCell ref="C33:C34"/>
    <mergeCell ref="C36:C37"/>
    <mergeCell ref="C39:C40"/>
    <mergeCell ref="C41:C42"/>
    <mergeCell ref="X38:X42"/>
    <mergeCell ref="A43:A54"/>
    <mergeCell ref="Y43:Y54"/>
    <mergeCell ref="C45:C46"/>
    <mergeCell ref="C47:C49"/>
    <mergeCell ref="C51:C52"/>
    <mergeCell ref="C53:C54"/>
    <mergeCell ref="X50:X54"/>
    <mergeCell ref="A55:A66"/>
    <mergeCell ref="Y55:Y66"/>
    <mergeCell ref="C57:C58"/>
    <mergeCell ref="C60:C61"/>
    <mergeCell ref="C63:C64"/>
    <mergeCell ref="C65:C66"/>
    <mergeCell ref="X62:X66"/>
    <mergeCell ref="A67:A78"/>
    <mergeCell ref="Y67:Y78"/>
    <mergeCell ref="C69:C70"/>
    <mergeCell ref="C72:C73"/>
    <mergeCell ref="C75:C76"/>
    <mergeCell ref="C77:C78"/>
    <mergeCell ref="X74:X78"/>
    <mergeCell ref="A79:A90"/>
    <mergeCell ref="Y79:Y90"/>
    <mergeCell ref="C81:C83"/>
    <mergeCell ref="C84:C85"/>
    <mergeCell ref="C87:C88"/>
    <mergeCell ref="C89:C90"/>
    <mergeCell ref="X86:X90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37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2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4"/>
  <sheetViews>
    <sheetView showGridLines="0" view="pageBreakPreview" zoomScaleNormal="100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Q75" sqref="Q75"/>
    </sheetView>
  </sheetViews>
  <sheetFormatPr defaultColWidth="9.140625" defaultRowHeight="12" outlineLevelRow="1"/>
  <cols>
    <col min="1" max="1" width="3.7109375" style="1554" customWidth="1"/>
    <col min="2" max="2" width="57.140625" style="1312" customWidth="1"/>
    <col min="3" max="3" width="9.7109375" style="1312" customWidth="1"/>
    <col min="4" max="4" width="12.85546875" style="1312" customWidth="1"/>
    <col min="5" max="5" width="12" style="1312" hidden="1" customWidth="1"/>
    <col min="6" max="6" width="11.7109375" style="1312" hidden="1" customWidth="1"/>
    <col min="7" max="7" width="10.140625" style="1312" hidden="1" customWidth="1"/>
    <col min="8" max="8" width="12.28515625" style="1312" hidden="1" customWidth="1"/>
    <col min="9" max="10" width="10.140625" style="1312" hidden="1" customWidth="1"/>
    <col min="11" max="11" width="12.5703125" style="1312" hidden="1" customWidth="1"/>
    <col min="12" max="12" width="12.7109375" style="1312" hidden="1" customWidth="1"/>
    <col min="13" max="13" width="12.5703125" style="1312" customWidth="1"/>
    <col min="14" max="14" width="10" style="1670" hidden="1" customWidth="1"/>
    <col min="15" max="15" width="10.140625" style="1312" customWidth="1"/>
    <col min="16" max="16" width="10.42578125" style="1312" customWidth="1"/>
    <col min="17" max="17" width="10" style="1312" customWidth="1"/>
    <col min="18" max="20" width="9.42578125" style="1312" customWidth="1"/>
    <col min="21" max="21" width="9.5703125" style="1312" customWidth="1"/>
    <col min="22" max="22" width="10.5703125" style="1312" customWidth="1"/>
    <col min="23" max="23" width="9.42578125" style="1312" customWidth="1"/>
    <col min="24" max="24" width="11.7109375" style="1312" customWidth="1"/>
    <col min="25" max="25" width="15.7109375" style="1669" customWidth="1"/>
    <col min="26" max="26" width="15.140625" style="1312" customWidth="1"/>
    <col min="27" max="27" width="11.7109375" style="1312" bestFit="1" customWidth="1"/>
    <col min="28" max="16384" width="9.140625" style="1312"/>
  </cols>
  <sheetData>
    <row r="1" spans="1:76" ht="16.5" customHeight="1">
      <c r="F1" s="1555"/>
      <c r="N1" s="1312"/>
      <c r="P1" s="3386"/>
      <c r="Q1" s="3386"/>
      <c r="R1" s="3386"/>
      <c r="S1" s="1306" t="s">
        <v>509</v>
      </c>
      <c r="T1" s="1300"/>
      <c r="U1" s="1300"/>
      <c r="V1" s="1300"/>
      <c r="W1" s="1300"/>
      <c r="X1" s="325"/>
      <c r="Y1" s="326"/>
    </row>
    <row r="2" spans="1:76" ht="15" hidden="1" customHeight="1">
      <c r="F2" s="1555"/>
      <c r="N2" s="1307"/>
      <c r="O2" s="1305"/>
      <c r="P2" s="1305"/>
      <c r="Q2" s="1305"/>
      <c r="R2" s="1305"/>
      <c r="S2" s="1305"/>
      <c r="T2" s="1305"/>
      <c r="U2" s="1305"/>
      <c r="V2" s="1305"/>
      <c r="W2" s="1305"/>
      <c r="X2" s="325"/>
      <c r="Y2" s="326"/>
    </row>
    <row r="3" spans="1:76" ht="9" customHeight="1">
      <c r="D3" s="1555"/>
      <c r="F3" s="1555"/>
      <c r="N3" s="1307"/>
      <c r="O3" s="1307"/>
      <c r="P3" s="1307"/>
      <c r="Q3" s="1307"/>
      <c r="R3" s="1307"/>
      <c r="S3" s="1307"/>
      <c r="T3" s="1307"/>
      <c r="U3" s="1307"/>
      <c r="V3" s="1307"/>
      <c r="W3" s="1307"/>
      <c r="X3" s="325"/>
      <c r="Y3" s="326"/>
    </row>
    <row r="4" spans="1:76" s="1557" customFormat="1" ht="40.5" customHeight="1">
      <c r="A4" s="3387" t="s">
        <v>322</v>
      </c>
      <c r="B4" s="3387"/>
      <c r="C4" s="3387"/>
      <c r="D4" s="3387"/>
      <c r="E4" s="3387"/>
      <c r="F4" s="3387"/>
      <c r="G4" s="3387"/>
      <c r="H4" s="3387"/>
      <c r="I4" s="3387"/>
      <c r="J4" s="3387"/>
      <c r="K4" s="3387"/>
      <c r="L4" s="3387"/>
      <c r="M4" s="3387"/>
      <c r="N4" s="3387"/>
      <c r="O4" s="3387"/>
      <c r="P4" s="3387"/>
      <c r="Q4" s="3387"/>
      <c r="R4" s="3387"/>
      <c r="S4" s="3387"/>
      <c r="T4" s="3387"/>
      <c r="U4" s="3387"/>
      <c r="V4" s="3387"/>
      <c r="W4" s="3387"/>
      <c r="X4" s="3387"/>
      <c r="Y4" s="3387"/>
      <c r="Z4" s="1556"/>
      <c r="AA4" s="1556"/>
      <c r="AB4" s="1556"/>
      <c r="AC4" s="1556"/>
      <c r="AD4" s="1556"/>
      <c r="AE4" s="1556"/>
      <c r="AF4" s="1556"/>
      <c r="AG4" s="1556"/>
      <c r="AH4" s="1556"/>
      <c r="AI4" s="1556"/>
      <c r="AJ4" s="1556"/>
      <c r="AK4" s="1556"/>
      <c r="AL4" s="1556"/>
      <c r="AM4" s="1556"/>
      <c r="AN4" s="1556"/>
      <c r="AO4" s="1556"/>
      <c r="AP4" s="1556"/>
      <c r="AQ4" s="1556"/>
      <c r="AR4" s="1556"/>
      <c r="AS4" s="1556"/>
      <c r="AT4" s="1556"/>
      <c r="AU4" s="1556"/>
      <c r="AV4" s="1311"/>
      <c r="AW4" s="1311"/>
      <c r="AX4" s="1311"/>
      <c r="AY4" s="1311"/>
      <c r="AZ4" s="1311"/>
      <c r="BA4" s="1311"/>
      <c r="BB4" s="1311"/>
      <c r="BC4" s="1311"/>
      <c r="BD4" s="1311"/>
      <c r="BE4" s="1311"/>
      <c r="BF4" s="1311"/>
      <c r="BG4" s="1311"/>
      <c r="BH4" s="1311"/>
      <c r="BI4" s="1311"/>
      <c r="BJ4" s="1311"/>
      <c r="BK4" s="1311"/>
      <c r="BL4" s="1311"/>
      <c r="BM4" s="1311"/>
      <c r="BN4" s="1311"/>
      <c r="BO4" s="1311"/>
      <c r="BP4" s="1311"/>
      <c r="BQ4" s="1311"/>
      <c r="BR4" s="1311"/>
      <c r="BS4" s="1311"/>
      <c r="BT4" s="1311"/>
      <c r="BU4" s="1311"/>
      <c r="BV4" s="1311"/>
      <c r="BW4" s="1311"/>
      <c r="BX4" s="1311"/>
    </row>
    <row r="5" spans="1:76" ht="33.75" customHeight="1">
      <c r="A5" s="1764"/>
      <c r="B5" s="3388" t="s">
        <v>91</v>
      </c>
      <c r="C5" s="3390" t="s">
        <v>87</v>
      </c>
      <c r="D5" s="3393" t="s">
        <v>88</v>
      </c>
      <c r="E5" s="3399" t="s">
        <v>3</v>
      </c>
      <c r="F5" s="3400"/>
      <c r="G5" s="3400"/>
      <c r="H5" s="3400"/>
      <c r="I5" s="3400"/>
      <c r="J5" s="3400"/>
      <c r="K5" s="3400"/>
      <c r="L5" s="1765"/>
      <c r="M5" s="3403" t="s">
        <v>399</v>
      </c>
      <c r="N5" s="1766"/>
      <c r="O5" s="3405" t="s">
        <v>415</v>
      </c>
      <c r="P5" s="3407" t="s">
        <v>410</v>
      </c>
      <c r="Q5" s="3408"/>
      <c r="R5" s="3408"/>
      <c r="S5" s="3408"/>
      <c r="T5" s="3408"/>
      <c r="U5" s="3408"/>
      <c r="V5" s="3408"/>
      <c r="W5" s="3409"/>
      <c r="X5" s="3401" t="s">
        <v>376</v>
      </c>
      <c r="Y5" s="3396" t="s">
        <v>89</v>
      </c>
      <c r="Z5" s="1311"/>
      <c r="AA5" s="1311"/>
      <c r="AB5" s="1311"/>
      <c r="AC5" s="1311"/>
      <c r="AD5" s="1311"/>
      <c r="AE5" s="1311"/>
      <c r="AF5" s="1311"/>
      <c r="AG5" s="1311"/>
      <c r="AH5" s="1311"/>
      <c r="AI5" s="1311"/>
      <c r="AJ5" s="1311"/>
      <c r="AK5" s="1311"/>
      <c r="AL5" s="1311"/>
      <c r="AM5" s="1311"/>
      <c r="AN5" s="1311"/>
      <c r="AO5" s="1311"/>
      <c r="AP5" s="1311"/>
      <c r="AQ5" s="1311"/>
      <c r="AR5" s="1311"/>
      <c r="AS5" s="1311"/>
      <c r="AT5" s="1311"/>
      <c r="AU5" s="1311"/>
      <c r="AV5" s="1311"/>
      <c r="AW5" s="1311"/>
      <c r="AX5" s="1311"/>
      <c r="AY5" s="1311"/>
      <c r="AZ5" s="1311"/>
      <c r="BA5" s="1311"/>
      <c r="BB5" s="1311"/>
      <c r="BC5" s="1311"/>
      <c r="BD5" s="1311"/>
      <c r="BE5" s="1311"/>
      <c r="BF5" s="1311"/>
      <c r="BG5" s="1311"/>
      <c r="BH5" s="1311"/>
      <c r="BI5" s="1311"/>
      <c r="BJ5" s="1311"/>
      <c r="BK5" s="1311"/>
      <c r="BL5" s="1311"/>
      <c r="BM5" s="1311"/>
      <c r="BN5" s="1311"/>
      <c r="BO5" s="1311"/>
      <c r="BP5" s="1311"/>
      <c r="BQ5" s="1311"/>
      <c r="BR5" s="1311"/>
      <c r="BS5" s="1311"/>
      <c r="BT5" s="1311"/>
      <c r="BU5" s="1311"/>
      <c r="BV5" s="1311"/>
      <c r="BW5" s="1311"/>
      <c r="BX5" s="1311"/>
    </row>
    <row r="6" spans="1:76" ht="27" customHeight="1">
      <c r="A6" s="1767" t="s">
        <v>90</v>
      </c>
      <c r="B6" s="3217"/>
      <c r="C6" s="3391"/>
      <c r="D6" s="3394"/>
      <c r="E6" s="1560"/>
      <c r="F6" s="1559"/>
      <c r="G6" s="1559"/>
      <c r="H6" s="1559"/>
      <c r="I6" s="1559"/>
      <c r="J6" s="1559"/>
      <c r="K6" s="1559"/>
      <c r="L6" s="1558"/>
      <c r="M6" s="3404"/>
      <c r="N6" s="1559"/>
      <c r="O6" s="3406"/>
      <c r="P6" s="3079"/>
      <c r="Q6" s="3080"/>
      <c r="R6" s="3080"/>
      <c r="S6" s="3080"/>
      <c r="T6" s="3080"/>
      <c r="U6" s="3080"/>
      <c r="V6" s="3080"/>
      <c r="W6" s="3081"/>
      <c r="X6" s="3334"/>
      <c r="Y6" s="3397"/>
      <c r="Z6" s="1311"/>
      <c r="AA6" s="1311"/>
      <c r="AB6" s="1311"/>
      <c r="AC6" s="1311"/>
      <c r="AD6" s="1311"/>
      <c r="AE6" s="1311"/>
      <c r="AF6" s="1311"/>
      <c r="AG6" s="1311"/>
      <c r="AH6" s="1311"/>
      <c r="AI6" s="1311"/>
      <c r="AJ6" s="1311"/>
      <c r="AK6" s="1311"/>
      <c r="AL6" s="1311"/>
      <c r="AM6" s="1311"/>
      <c r="AN6" s="1311"/>
      <c r="AO6" s="1311"/>
      <c r="AP6" s="1311"/>
      <c r="AQ6" s="1311"/>
      <c r="AR6" s="1311"/>
      <c r="AS6" s="1311"/>
      <c r="AT6" s="1311"/>
      <c r="AU6" s="1311"/>
      <c r="AV6" s="1311"/>
      <c r="AW6" s="1311"/>
      <c r="AX6" s="1311"/>
      <c r="AY6" s="1311"/>
      <c r="AZ6" s="1311"/>
      <c r="BA6" s="1311"/>
      <c r="BB6" s="1311"/>
      <c r="BC6" s="1311"/>
      <c r="BD6" s="1311"/>
      <c r="BE6" s="1311"/>
      <c r="BF6" s="1311"/>
      <c r="BG6" s="1311"/>
      <c r="BH6" s="1311"/>
      <c r="BI6" s="1311"/>
      <c r="BJ6" s="1311"/>
      <c r="BK6" s="1311"/>
      <c r="BL6" s="1311"/>
      <c r="BM6" s="1311"/>
      <c r="BN6" s="1311"/>
      <c r="BO6" s="1311"/>
      <c r="BP6" s="1311"/>
      <c r="BQ6" s="1311"/>
      <c r="BR6" s="1311"/>
      <c r="BS6" s="1311"/>
      <c r="BT6" s="1311"/>
      <c r="BU6" s="1311"/>
      <c r="BV6" s="1311"/>
      <c r="BW6" s="1311"/>
      <c r="BX6" s="1311"/>
    </row>
    <row r="7" spans="1:76" ht="38.25" customHeight="1">
      <c r="A7" s="1786"/>
      <c r="B7" s="3389"/>
      <c r="C7" s="3392"/>
      <c r="D7" s="3395"/>
      <c r="E7" s="1787" t="s">
        <v>6</v>
      </c>
      <c r="F7" s="1788" t="s">
        <v>7</v>
      </c>
      <c r="G7" s="1788" t="s">
        <v>8</v>
      </c>
      <c r="H7" s="1788" t="s">
        <v>9</v>
      </c>
      <c r="I7" s="1789" t="s">
        <v>10</v>
      </c>
      <c r="J7" s="1789" t="s">
        <v>11</v>
      </c>
      <c r="K7" s="1789" t="s">
        <v>12</v>
      </c>
      <c r="L7" s="1789" t="s">
        <v>13</v>
      </c>
      <c r="M7" s="1790" t="s">
        <v>371</v>
      </c>
      <c r="N7" s="1789" t="s">
        <v>14</v>
      </c>
      <c r="O7" s="1789" t="s">
        <v>15</v>
      </c>
      <c r="P7" s="1789" t="s">
        <v>16</v>
      </c>
      <c r="Q7" s="1789" t="s">
        <v>17</v>
      </c>
      <c r="R7" s="1789" t="s">
        <v>18</v>
      </c>
      <c r="S7" s="1789" t="s">
        <v>290</v>
      </c>
      <c r="T7" s="1789" t="s">
        <v>295</v>
      </c>
      <c r="U7" s="1789" t="s">
        <v>373</v>
      </c>
      <c r="V7" s="1789" t="s">
        <v>374</v>
      </c>
      <c r="W7" s="1789" t="s">
        <v>372</v>
      </c>
      <c r="X7" s="3402"/>
      <c r="Y7" s="3398"/>
      <c r="Z7" s="1311"/>
      <c r="AA7" s="1311"/>
      <c r="AB7" s="1311"/>
      <c r="AC7" s="1311"/>
      <c r="AD7" s="1311"/>
      <c r="AE7" s="1311"/>
      <c r="AF7" s="1311"/>
      <c r="AG7" s="1311"/>
      <c r="AH7" s="1311"/>
      <c r="AI7" s="1311"/>
      <c r="AJ7" s="1311"/>
      <c r="AK7" s="1311"/>
      <c r="AL7" s="1311"/>
      <c r="AM7" s="1311"/>
      <c r="AN7" s="1311"/>
      <c r="AO7" s="1311"/>
      <c r="AP7" s="1311"/>
      <c r="AQ7" s="1311"/>
      <c r="AR7" s="1311"/>
      <c r="AS7" s="1311"/>
      <c r="AT7" s="1311"/>
      <c r="AU7" s="1311"/>
      <c r="AV7" s="1311"/>
      <c r="AW7" s="1311"/>
      <c r="AX7" s="1311"/>
      <c r="AY7" s="1311"/>
      <c r="AZ7" s="1311"/>
      <c r="BA7" s="1311"/>
      <c r="BB7" s="1311"/>
      <c r="BC7" s="1311"/>
      <c r="BD7" s="1311"/>
      <c r="BE7" s="1311"/>
      <c r="BF7" s="1311"/>
      <c r="BG7" s="1311"/>
      <c r="BH7" s="1311"/>
      <c r="BI7" s="1311"/>
      <c r="BJ7" s="1311"/>
      <c r="BK7" s="1311"/>
      <c r="BL7" s="1311"/>
      <c r="BM7" s="1311"/>
      <c r="BN7" s="1311"/>
      <c r="BO7" s="1311"/>
      <c r="BP7" s="1311"/>
      <c r="BQ7" s="1311"/>
      <c r="BR7" s="1311"/>
      <c r="BS7" s="1311"/>
      <c r="BT7" s="1311"/>
      <c r="BU7" s="1311"/>
      <c r="BV7" s="1311"/>
      <c r="BW7" s="1311"/>
      <c r="BX7" s="1311"/>
    </row>
    <row r="8" spans="1:76" ht="9.75" customHeight="1">
      <c r="A8" s="1768">
        <v>1</v>
      </c>
      <c r="B8" s="1561">
        <v>2</v>
      </c>
      <c r="C8" s="1562">
        <v>3</v>
      </c>
      <c r="D8" s="1562">
        <v>4</v>
      </c>
      <c r="E8" s="1563"/>
      <c r="F8" s="1563"/>
      <c r="G8" s="1563"/>
      <c r="H8" s="1563"/>
      <c r="I8" s="1564"/>
      <c r="J8" s="1564"/>
      <c r="K8" s="1564"/>
      <c r="L8" s="1564"/>
      <c r="M8" s="1564">
        <v>5</v>
      </c>
      <c r="N8" s="1564" t="s">
        <v>375</v>
      </c>
      <c r="O8" s="1564">
        <v>6</v>
      </c>
      <c r="P8" s="1564">
        <v>7</v>
      </c>
      <c r="Q8" s="1564">
        <v>8</v>
      </c>
      <c r="R8" s="1564">
        <v>9</v>
      </c>
      <c r="S8" s="1564">
        <v>10</v>
      </c>
      <c r="T8" s="1564">
        <v>11</v>
      </c>
      <c r="U8" s="1564">
        <v>12</v>
      </c>
      <c r="V8" s="1564">
        <v>13</v>
      </c>
      <c r="W8" s="1564">
        <v>14</v>
      </c>
      <c r="X8" s="1565">
        <v>15</v>
      </c>
      <c r="Y8" s="1564">
        <v>16</v>
      </c>
      <c r="Z8" s="1311"/>
      <c r="AA8" s="1311"/>
      <c r="AB8" s="1311"/>
      <c r="AC8" s="1311"/>
      <c r="AD8" s="1311"/>
      <c r="AE8" s="1311"/>
      <c r="AF8" s="1311"/>
      <c r="AG8" s="1311"/>
      <c r="AH8" s="1311"/>
      <c r="AI8" s="1311"/>
      <c r="AJ8" s="1311"/>
      <c r="AK8" s="1311"/>
      <c r="AL8" s="1311"/>
      <c r="AM8" s="1311"/>
      <c r="AN8" s="1311"/>
      <c r="AO8" s="1311"/>
      <c r="AP8" s="1311"/>
      <c r="AQ8" s="1311"/>
      <c r="AR8" s="1311"/>
      <c r="AS8" s="1311"/>
      <c r="AT8" s="1311"/>
      <c r="AU8" s="1311"/>
      <c r="AV8" s="1311"/>
      <c r="AW8" s="1311"/>
      <c r="AX8" s="1311"/>
      <c r="AY8" s="1311"/>
      <c r="AZ8" s="1311"/>
      <c r="BA8" s="1311"/>
      <c r="BB8" s="1311"/>
      <c r="BC8" s="1311"/>
      <c r="BD8" s="1311"/>
      <c r="BE8" s="1311"/>
      <c r="BF8" s="1311"/>
      <c r="BG8" s="1311"/>
      <c r="BH8" s="1311"/>
      <c r="BI8" s="1311"/>
      <c r="BJ8" s="1311"/>
      <c r="BK8" s="1311"/>
      <c r="BL8" s="1311"/>
      <c r="BM8" s="1311"/>
      <c r="BN8" s="1311"/>
      <c r="BO8" s="1311"/>
      <c r="BP8" s="1311"/>
      <c r="BQ8" s="1311"/>
      <c r="BR8" s="1311"/>
      <c r="BS8" s="1311"/>
      <c r="BT8" s="1311"/>
      <c r="BU8" s="1311"/>
      <c r="BV8" s="1311"/>
      <c r="BW8" s="1311"/>
      <c r="BX8" s="1311"/>
    </row>
    <row r="9" spans="1:76" s="2667" customFormat="1" ht="16.5" customHeight="1">
      <c r="A9" s="1769"/>
      <c r="B9" s="2342" t="s">
        <v>92</v>
      </c>
      <c r="C9" s="802"/>
      <c r="D9" s="803">
        <f>+D10+D11</f>
        <v>60099700</v>
      </c>
      <c r="E9" s="803">
        <f t="shared" ref="E9:R9" si="0">+E10+E11</f>
        <v>0</v>
      </c>
      <c r="F9" s="803">
        <f t="shared" si="0"/>
        <v>0</v>
      </c>
      <c r="G9" s="803">
        <f t="shared" si="0"/>
        <v>0</v>
      </c>
      <c r="H9" s="803">
        <f t="shared" si="0"/>
        <v>0</v>
      </c>
      <c r="I9" s="803">
        <f>+I10+I11</f>
        <v>0</v>
      </c>
      <c r="J9" s="803">
        <f t="shared" si="0"/>
        <v>629249</v>
      </c>
      <c r="K9" s="803">
        <f>+K10+K11</f>
        <v>5990094</v>
      </c>
      <c r="L9" s="803">
        <f t="shared" si="0"/>
        <v>4311439</v>
      </c>
      <c r="M9" s="803">
        <f t="shared" ref="M9" si="1">+M10+M11</f>
        <v>14035549</v>
      </c>
      <c r="N9" s="803">
        <f t="shared" si="0"/>
        <v>3104767</v>
      </c>
      <c r="O9" s="803">
        <f t="shared" si="0"/>
        <v>7029238</v>
      </c>
      <c r="P9" s="803">
        <f t="shared" si="0"/>
        <v>10868088</v>
      </c>
      <c r="Q9" s="803">
        <f t="shared" si="0"/>
        <v>9197285</v>
      </c>
      <c r="R9" s="803">
        <f t="shared" si="0"/>
        <v>5719061</v>
      </c>
      <c r="S9" s="803">
        <f t="shared" ref="S9" si="2">+S10+S11</f>
        <v>3729040</v>
      </c>
      <c r="T9" s="803">
        <f>+T10+T11</f>
        <v>2720411</v>
      </c>
      <c r="U9" s="803">
        <f t="shared" ref="U9:V9" si="3">+U10+U11</f>
        <v>2720411</v>
      </c>
      <c r="V9" s="803">
        <f t="shared" si="3"/>
        <v>2720411</v>
      </c>
      <c r="W9" s="803">
        <f t="shared" ref="W9" si="4">+W10+W11</f>
        <v>1360206</v>
      </c>
      <c r="X9" s="676">
        <f>+X10+X11</f>
        <v>39034913</v>
      </c>
      <c r="Y9" s="1770"/>
      <c r="Z9" s="1322">
        <f>P9+Q9+R9+S9+T9+U9+V9+W9</f>
        <v>39034913</v>
      </c>
    </row>
    <row r="10" spans="1:76" s="2667" customFormat="1" ht="13.5" customHeight="1">
      <c r="A10" s="1771"/>
      <c r="B10" s="2342" t="s">
        <v>93</v>
      </c>
      <c r="C10" s="802"/>
      <c r="D10" s="803">
        <f t="shared" ref="D10:W10" si="5">+D35+D104+D131+D138</f>
        <v>25156056</v>
      </c>
      <c r="E10" s="803">
        <f t="shared" si="5"/>
        <v>0</v>
      </c>
      <c r="F10" s="803">
        <f t="shared" si="5"/>
        <v>0</v>
      </c>
      <c r="G10" s="803">
        <f t="shared" si="5"/>
        <v>0</v>
      </c>
      <c r="H10" s="803">
        <f t="shared" si="5"/>
        <v>0</v>
      </c>
      <c r="I10" s="803">
        <f t="shared" si="5"/>
        <v>0</v>
      </c>
      <c r="J10" s="803">
        <f t="shared" si="5"/>
        <v>0</v>
      </c>
      <c r="K10" s="803">
        <f t="shared" si="5"/>
        <v>0</v>
      </c>
      <c r="L10" s="803">
        <f t="shared" si="5"/>
        <v>0</v>
      </c>
      <c r="M10" s="803">
        <f t="shared" si="5"/>
        <v>0</v>
      </c>
      <c r="N10" s="803">
        <f t="shared" si="5"/>
        <v>0</v>
      </c>
      <c r="O10" s="803">
        <f t="shared" si="5"/>
        <v>2071007</v>
      </c>
      <c r="P10" s="803">
        <f t="shared" si="5"/>
        <v>5500000</v>
      </c>
      <c r="Q10" s="803">
        <f t="shared" si="5"/>
        <v>3063610</v>
      </c>
      <c r="R10" s="803">
        <f t="shared" si="5"/>
        <v>2500000</v>
      </c>
      <c r="S10" s="803">
        <f t="shared" si="5"/>
        <v>2500000</v>
      </c>
      <c r="T10" s="803">
        <f t="shared" si="5"/>
        <v>2720411</v>
      </c>
      <c r="U10" s="803">
        <f t="shared" si="5"/>
        <v>2720411</v>
      </c>
      <c r="V10" s="803">
        <f t="shared" si="5"/>
        <v>2720411</v>
      </c>
      <c r="W10" s="803">
        <f t="shared" si="5"/>
        <v>1360206</v>
      </c>
      <c r="X10" s="676">
        <f>SUM(P10:W10)</f>
        <v>23085049</v>
      </c>
      <c r="Y10" s="1770"/>
      <c r="Z10" s="1322"/>
    </row>
    <row r="11" spans="1:76" s="2667" customFormat="1" ht="13.5" customHeight="1" thickBot="1">
      <c r="A11" s="1771"/>
      <c r="B11" s="814" t="s">
        <v>21</v>
      </c>
      <c r="C11" s="800"/>
      <c r="D11" s="811">
        <f t="shared" ref="D11:W11" si="6">D165+D69+D80+D91+D119+D54+D152</f>
        <v>34943644</v>
      </c>
      <c r="E11" s="811">
        <f t="shared" si="6"/>
        <v>0</v>
      </c>
      <c r="F11" s="811">
        <f t="shared" si="6"/>
        <v>0</v>
      </c>
      <c r="G11" s="811">
        <f t="shared" si="6"/>
        <v>0</v>
      </c>
      <c r="H11" s="811">
        <f t="shared" si="6"/>
        <v>0</v>
      </c>
      <c r="I11" s="811">
        <f t="shared" si="6"/>
        <v>0</v>
      </c>
      <c r="J11" s="811">
        <f t="shared" si="6"/>
        <v>629249</v>
      </c>
      <c r="K11" s="811">
        <f t="shared" si="6"/>
        <v>5990094</v>
      </c>
      <c r="L11" s="811">
        <f t="shared" si="6"/>
        <v>4311439</v>
      </c>
      <c r="M11" s="811">
        <f t="shared" si="6"/>
        <v>14035549</v>
      </c>
      <c r="N11" s="811">
        <f t="shared" si="6"/>
        <v>3104767</v>
      </c>
      <c r="O11" s="811">
        <f t="shared" si="6"/>
        <v>4958231</v>
      </c>
      <c r="P11" s="811">
        <f t="shared" si="6"/>
        <v>5368088</v>
      </c>
      <c r="Q11" s="811">
        <f t="shared" si="6"/>
        <v>6133675</v>
      </c>
      <c r="R11" s="811">
        <f t="shared" si="6"/>
        <v>3219061</v>
      </c>
      <c r="S11" s="811">
        <f t="shared" si="6"/>
        <v>1229040</v>
      </c>
      <c r="T11" s="811">
        <f t="shared" si="6"/>
        <v>0</v>
      </c>
      <c r="U11" s="811">
        <f t="shared" si="6"/>
        <v>0</v>
      </c>
      <c r="V11" s="811">
        <f t="shared" si="6"/>
        <v>0</v>
      </c>
      <c r="W11" s="811">
        <f t="shared" si="6"/>
        <v>0</v>
      </c>
      <c r="X11" s="678">
        <f>SUM(P11:W11)</f>
        <v>15949864</v>
      </c>
      <c r="Y11" s="2341"/>
    </row>
    <row r="12" spans="1:76" s="1570" customFormat="1" ht="14.25" customHeight="1">
      <c r="A12" s="1772"/>
      <c r="B12" s="517" t="s">
        <v>22</v>
      </c>
      <c r="C12" s="723"/>
      <c r="D12" s="571">
        <f>+D13+D18</f>
        <v>60099700</v>
      </c>
      <c r="E12" s="851">
        <f t="shared" ref="E12:X12" si="7">+E13+E18</f>
        <v>0</v>
      </c>
      <c r="F12" s="851">
        <f>+F13+F18</f>
        <v>0</v>
      </c>
      <c r="G12" s="851">
        <f>+G13+G18</f>
        <v>0</v>
      </c>
      <c r="H12" s="851">
        <f>+H13+H18</f>
        <v>0</v>
      </c>
      <c r="I12" s="851">
        <f t="shared" si="7"/>
        <v>0</v>
      </c>
      <c r="J12" s="851">
        <f t="shared" si="7"/>
        <v>629249</v>
      </c>
      <c r="K12" s="851">
        <f>+K13+K18</f>
        <v>5990094</v>
      </c>
      <c r="L12" s="851">
        <f t="shared" si="7"/>
        <v>4311439</v>
      </c>
      <c r="M12" s="851">
        <f t="shared" ref="M12" si="8">+M13+M18</f>
        <v>14035549</v>
      </c>
      <c r="N12" s="851">
        <f t="shared" si="7"/>
        <v>3104767</v>
      </c>
      <c r="O12" s="851">
        <f t="shared" si="7"/>
        <v>7029238</v>
      </c>
      <c r="P12" s="851">
        <f t="shared" si="7"/>
        <v>10868088</v>
      </c>
      <c r="Q12" s="851">
        <f t="shared" si="7"/>
        <v>9197285</v>
      </c>
      <c r="R12" s="851">
        <f t="shared" si="7"/>
        <v>5719061</v>
      </c>
      <c r="S12" s="851">
        <f t="shared" ref="S12:T12" si="9">+S13+S18</f>
        <v>3729040</v>
      </c>
      <c r="T12" s="851">
        <f t="shared" si="9"/>
        <v>2720411</v>
      </c>
      <c r="U12" s="851">
        <f t="shared" ref="U12:V12" si="10">+U13+U18</f>
        <v>2720411</v>
      </c>
      <c r="V12" s="851">
        <f t="shared" si="10"/>
        <v>2720411</v>
      </c>
      <c r="W12" s="851">
        <f t="shared" ref="W12" si="11">+W13+W18</f>
        <v>1360206</v>
      </c>
      <c r="X12" s="1671">
        <f t="shared" si="7"/>
        <v>39034913</v>
      </c>
      <c r="Y12" s="1773"/>
      <c r="Z12" s="1568"/>
      <c r="AA12" s="1414"/>
      <c r="AB12" s="1569"/>
      <c r="AC12" s="1569"/>
      <c r="AD12" s="1569"/>
      <c r="AE12" s="1569"/>
      <c r="AF12" s="1569"/>
      <c r="AG12" s="1569"/>
      <c r="AH12" s="1569"/>
      <c r="AI12" s="1569"/>
      <c r="AJ12" s="1569"/>
      <c r="AK12" s="1569"/>
      <c r="AL12" s="1569"/>
      <c r="AM12" s="1569"/>
      <c r="AN12" s="1569"/>
      <c r="AO12" s="1569"/>
      <c r="AP12" s="1569"/>
      <c r="AQ12" s="1569"/>
      <c r="AR12" s="1569"/>
      <c r="AS12" s="1569"/>
      <c r="AT12" s="1569"/>
      <c r="AU12" s="1569"/>
      <c r="AV12" s="1569"/>
      <c r="AW12" s="1569"/>
      <c r="AX12" s="1569"/>
      <c r="AY12" s="1569"/>
      <c r="AZ12" s="1569"/>
      <c r="BA12" s="1569"/>
      <c r="BB12" s="1569"/>
      <c r="BC12" s="1569"/>
      <c r="BD12" s="1569"/>
      <c r="BE12" s="1569"/>
      <c r="BF12" s="1569"/>
      <c r="BG12" s="1569"/>
      <c r="BH12" s="1569"/>
      <c r="BI12" s="1569"/>
      <c r="BJ12" s="1569"/>
      <c r="BK12" s="1569"/>
      <c r="BL12" s="1569"/>
      <c r="BM12" s="1569"/>
      <c r="BN12" s="1569"/>
      <c r="BO12" s="1569"/>
      <c r="BP12" s="1569"/>
      <c r="BQ12" s="1569"/>
      <c r="BR12" s="1569"/>
      <c r="BS12" s="1569"/>
      <c r="BT12" s="1569"/>
      <c r="BU12" s="1569"/>
      <c r="BV12" s="1569"/>
      <c r="BW12" s="1569"/>
      <c r="BX12" s="1569"/>
    </row>
    <row r="13" spans="1:76" s="991" customFormat="1" ht="14.25" customHeight="1">
      <c r="A13" s="1774"/>
      <c r="B13" s="1673" t="s">
        <v>23</v>
      </c>
      <c r="C13" s="1674"/>
      <c r="D13" s="1675">
        <f>SUM(D14:D17)</f>
        <v>25701523</v>
      </c>
      <c r="E13" s="1675">
        <f>SUM(E14:E17)</f>
        <v>0</v>
      </c>
      <c r="F13" s="1675">
        <f>SUM(F14:F17)</f>
        <v>0</v>
      </c>
      <c r="G13" s="1675">
        <f>SUM(G14:G17)</f>
        <v>0</v>
      </c>
      <c r="H13" s="1675">
        <f>SUM(H14:H17)</f>
        <v>0</v>
      </c>
      <c r="I13" s="1675">
        <f>+I14+I15+I16+I17</f>
        <v>0</v>
      </c>
      <c r="J13" s="1675">
        <f>SUM(J14:J17)</f>
        <v>0</v>
      </c>
      <c r="K13" s="1675">
        <f>SUM(K14:K17)</f>
        <v>3801777</v>
      </c>
      <c r="L13" s="1675">
        <f>SUM(L14:L17)</f>
        <v>3261339</v>
      </c>
      <c r="M13" s="1675">
        <f>SUM(M14:M17)</f>
        <v>7063116</v>
      </c>
      <c r="N13" s="1675">
        <f>SUM(N14:N17)</f>
        <v>0</v>
      </c>
      <c r="O13" s="1675">
        <f t="shared" ref="O13:R13" si="12">SUM(O14:O17)</f>
        <v>1056476</v>
      </c>
      <c r="P13" s="1675">
        <f t="shared" si="12"/>
        <v>4039337</v>
      </c>
      <c r="Q13" s="1675">
        <f t="shared" si="12"/>
        <v>6141519</v>
      </c>
      <c r="R13" s="1675">
        <f t="shared" si="12"/>
        <v>2347838</v>
      </c>
      <c r="S13" s="1675">
        <f t="shared" ref="S13:T13" si="13">SUM(S14:S17)</f>
        <v>1590288</v>
      </c>
      <c r="T13" s="1675">
        <f t="shared" si="13"/>
        <v>989414</v>
      </c>
      <c r="U13" s="1675">
        <f t="shared" ref="U13:V13" si="14">SUM(U14:U17)</f>
        <v>989414</v>
      </c>
      <c r="V13" s="1675">
        <f t="shared" si="14"/>
        <v>989414</v>
      </c>
      <c r="W13" s="1675">
        <f t="shared" ref="W13" si="15">SUM(W14:W17)</f>
        <v>494707</v>
      </c>
      <c r="X13" s="1676">
        <f>SUM(X14:X17)</f>
        <v>17581931</v>
      </c>
      <c r="Y13" s="2674"/>
      <c r="AA13" s="2667"/>
    </row>
    <row r="14" spans="1:76" s="991" customFormat="1" ht="14.25" hidden="1" customHeight="1">
      <c r="A14" s="1775"/>
      <c r="B14" s="1682" t="s">
        <v>24</v>
      </c>
      <c r="C14" s="1748"/>
      <c r="D14" s="1683">
        <f t="shared" ref="D14:X14" si="16">+D37+D106+D121+D140+D154</f>
        <v>0</v>
      </c>
      <c r="E14" s="1683">
        <f t="shared" si="16"/>
        <v>0</v>
      </c>
      <c r="F14" s="1683">
        <f t="shared" si="16"/>
        <v>0</v>
      </c>
      <c r="G14" s="1683">
        <f t="shared" si="16"/>
        <v>0</v>
      </c>
      <c r="H14" s="1683">
        <f t="shared" si="16"/>
        <v>0</v>
      </c>
      <c r="I14" s="1683">
        <f t="shared" si="16"/>
        <v>0</v>
      </c>
      <c r="J14" s="1683">
        <f t="shared" si="16"/>
        <v>0</v>
      </c>
      <c r="K14" s="1683">
        <f t="shared" si="16"/>
        <v>0</v>
      </c>
      <c r="L14" s="1683">
        <f t="shared" si="16"/>
        <v>0</v>
      </c>
      <c r="M14" s="1683">
        <f t="shared" si="16"/>
        <v>0</v>
      </c>
      <c r="N14" s="1683">
        <f t="shared" si="16"/>
        <v>0</v>
      </c>
      <c r="O14" s="1683">
        <f t="shared" si="16"/>
        <v>0</v>
      </c>
      <c r="P14" s="1683">
        <f t="shared" si="16"/>
        <v>0</v>
      </c>
      <c r="Q14" s="1683">
        <f t="shared" si="16"/>
        <v>0</v>
      </c>
      <c r="R14" s="1683">
        <f t="shared" si="16"/>
        <v>0</v>
      </c>
      <c r="S14" s="1683">
        <f t="shared" si="16"/>
        <v>0</v>
      </c>
      <c r="T14" s="1683">
        <f t="shared" si="16"/>
        <v>0</v>
      </c>
      <c r="U14" s="1683">
        <f t="shared" si="16"/>
        <v>0</v>
      </c>
      <c r="V14" s="1683">
        <f t="shared" si="16"/>
        <v>0</v>
      </c>
      <c r="W14" s="1683">
        <f t="shared" si="16"/>
        <v>0</v>
      </c>
      <c r="X14" s="1278">
        <f t="shared" si="16"/>
        <v>0</v>
      </c>
      <c r="Y14" s="2674"/>
      <c r="Z14" s="1573"/>
      <c r="AA14" s="1285"/>
    </row>
    <row r="15" spans="1:76" s="991" customFormat="1" ht="14.25" customHeight="1" outlineLevel="1">
      <c r="A15" s="1775"/>
      <c r="B15" s="373" t="s">
        <v>25</v>
      </c>
      <c r="C15" s="1748"/>
      <c r="D15" s="1683">
        <f>D168+D38+D56+D141+D155</f>
        <v>9149279</v>
      </c>
      <c r="E15" s="1683">
        <f t="shared" ref="E15:L15" si="17">+E168+E38+E56</f>
        <v>0</v>
      </c>
      <c r="F15" s="1683">
        <f t="shared" si="17"/>
        <v>0</v>
      </c>
      <c r="G15" s="1683">
        <f t="shared" si="17"/>
        <v>0</v>
      </c>
      <c r="H15" s="1683">
        <f t="shared" si="17"/>
        <v>0</v>
      </c>
      <c r="I15" s="1683">
        <f t="shared" si="17"/>
        <v>0</v>
      </c>
      <c r="J15" s="1683">
        <f t="shared" si="17"/>
        <v>0</v>
      </c>
      <c r="K15" s="1683">
        <f t="shared" si="17"/>
        <v>0</v>
      </c>
      <c r="L15" s="1683">
        <f t="shared" si="17"/>
        <v>0</v>
      </c>
      <c r="M15" s="1683">
        <f t="shared" ref="M15:X15" si="18">M168+M38+M56+M141+M155</f>
        <v>0</v>
      </c>
      <c r="N15" s="1683">
        <f t="shared" si="18"/>
        <v>0</v>
      </c>
      <c r="O15" s="1683">
        <f t="shared" si="18"/>
        <v>753226</v>
      </c>
      <c r="P15" s="1683">
        <f t="shared" si="18"/>
        <v>2000000</v>
      </c>
      <c r="Q15" s="1683">
        <f t="shared" si="18"/>
        <v>1114604</v>
      </c>
      <c r="R15" s="1683">
        <f t="shared" si="18"/>
        <v>909250</v>
      </c>
      <c r="S15" s="1683">
        <f t="shared" si="18"/>
        <v>909250</v>
      </c>
      <c r="T15" s="1683">
        <f t="shared" si="18"/>
        <v>989414</v>
      </c>
      <c r="U15" s="1683">
        <f t="shared" si="18"/>
        <v>989414</v>
      </c>
      <c r="V15" s="1683">
        <f t="shared" si="18"/>
        <v>989414</v>
      </c>
      <c r="W15" s="1683">
        <f t="shared" si="18"/>
        <v>494707</v>
      </c>
      <c r="X15" s="1278">
        <f t="shared" si="18"/>
        <v>8396053</v>
      </c>
      <c r="Y15" s="2674"/>
      <c r="Z15" s="1573">
        <f>D15-D25</f>
        <v>0</v>
      </c>
      <c r="AA15" s="1285"/>
    </row>
    <row r="16" spans="1:76" s="991" customFormat="1" ht="14.25" hidden="1" customHeight="1" outlineLevel="1">
      <c r="A16" s="1775"/>
      <c r="B16" s="1682" t="s">
        <v>26</v>
      </c>
      <c r="C16" s="1748"/>
      <c r="D16" s="1683">
        <f>+D39+D93+D107+D122+D57</f>
        <v>0</v>
      </c>
      <c r="E16" s="1683">
        <f t="shared" ref="E16:L16" si="19">+E39+E93+E107+E122+E57+E141+E155</f>
        <v>0</v>
      </c>
      <c r="F16" s="1683">
        <f t="shared" si="19"/>
        <v>0</v>
      </c>
      <c r="G16" s="1683">
        <f t="shared" si="19"/>
        <v>0</v>
      </c>
      <c r="H16" s="1683">
        <f t="shared" si="19"/>
        <v>0</v>
      </c>
      <c r="I16" s="1683">
        <f t="shared" si="19"/>
        <v>0</v>
      </c>
      <c r="J16" s="1683">
        <f t="shared" si="19"/>
        <v>0</v>
      </c>
      <c r="K16" s="1683">
        <f t="shared" si="19"/>
        <v>0</v>
      </c>
      <c r="L16" s="1683">
        <f t="shared" si="19"/>
        <v>0</v>
      </c>
      <c r="M16" s="1683">
        <f t="shared" ref="M16:X16" si="20">+M39+M93+M107+M122+M57</f>
        <v>0</v>
      </c>
      <c r="N16" s="1683">
        <f t="shared" si="20"/>
        <v>0</v>
      </c>
      <c r="O16" s="1683">
        <f t="shared" si="20"/>
        <v>0</v>
      </c>
      <c r="P16" s="1683">
        <f t="shared" si="20"/>
        <v>0</v>
      </c>
      <c r="Q16" s="1683">
        <f t="shared" si="20"/>
        <v>0</v>
      </c>
      <c r="R16" s="1683">
        <f t="shared" si="20"/>
        <v>0</v>
      </c>
      <c r="S16" s="1683">
        <f t="shared" si="20"/>
        <v>0</v>
      </c>
      <c r="T16" s="1683">
        <f t="shared" si="20"/>
        <v>0</v>
      </c>
      <c r="U16" s="1683">
        <f t="shared" si="20"/>
        <v>0</v>
      </c>
      <c r="V16" s="1683">
        <f t="shared" si="20"/>
        <v>0</v>
      </c>
      <c r="W16" s="1683">
        <f t="shared" si="20"/>
        <v>0</v>
      </c>
      <c r="X16" s="1278">
        <f t="shared" si="20"/>
        <v>0</v>
      </c>
      <c r="Y16" s="2674"/>
      <c r="Z16" s="1573">
        <f>D16-D26</f>
        <v>0</v>
      </c>
      <c r="AA16" s="1285"/>
    </row>
    <row r="17" spans="1:27" s="991" customFormat="1" ht="14.25" customHeight="1" outlineLevel="1">
      <c r="A17" s="1775"/>
      <c r="B17" s="1682" t="s">
        <v>28</v>
      </c>
      <c r="C17" s="368"/>
      <c r="D17" s="1683">
        <f t="shared" ref="D17:X17" si="21">+D71+D82</f>
        <v>16552244</v>
      </c>
      <c r="E17" s="1683">
        <f t="shared" si="21"/>
        <v>0</v>
      </c>
      <c r="F17" s="1683">
        <f t="shared" si="21"/>
        <v>0</v>
      </c>
      <c r="G17" s="1683">
        <f t="shared" si="21"/>
        <v>0</v>
      </c>
      <c r="H17" s="1683">
        <f t="shared" si="21"/>
        <v>0</v>
      </c>
      <c r="I17" s="1683">
        <f t="shared" si="21"/>
        <v>0</v>
      </c>
      <c r="J17" s="1683">
        <f t="shared" si="21"/>
        <v>0</v>
      </c>
      <c r="K17" s="1683">
        <f t="shared" si="21"/>
        <v>3801777</v>
      </c>
      <c r="L17" s="1683">
        <f t="shared" si="21"/>
        <v>3261339</v>
      </c>
      <c r="M17" s="1683">
        <f t="shared" si="21"/>
        <v>7063116</v>
      </c>
      <c r="N17" s="1683">
        <f t="shared" si="21"/>
        <v>0</v>
      </c>
      <c r="O17" s="1683">
        <f t="shared" si="21"/>
        <v>303250</v>
      </c>
      <c r="P17" s="1683">
        <f t="shared" si="21"/>
        <v>2039337</v>
      </c>
      <c r="Q17" s="1683">
        <f t="shared" si="21"/>
        <v>5026915</v>
      </c>
      <c r="R17" s="1683">
        <f t="shared" si="21"/>
        <v>1438588</v>
      </c>
      <c r="S17" s="1683">
        <f t="shared" si="21"/>
        <v>681038</v>
      </c>
      <c r="T17" s="1683">
        <f t="shared" si="21"/>
        <v>0</v>
      </c>
      <c r="U17" s="1683">
        <f t="shared" si="21"/>
        <v>0</v>
      </c>
      <c r="V17" s="1683">
        <f t="shared" si="21"/>
        <v>0</v>
      </c>
      <c r="W17" s="1683">
        <f t="shared" si="21"/>
        <v>0</v>
      </c>
      <c r="X17" s="1278">
        <f t="shared" si="21"/>
        <v>9185878</v>
      </c>
      <c r="Y17" s="2674"/>
      <c r="Z17" s="1573">
        <f>D17-D27</f>
        <v>0</v>
      </c>
      <c r="AA17" s="1285"/>
    </row>
    <row r="18" spans="1:27" s="991" customFormat="1" ht="14.25" customHeight="1" outlineLevel="1">
      <c r="A18" s="1774"/>
      <c r="B18" s="1677" t="s">
        <v>30</v>
      </c>
      <c r="C18" s="1678"/>
      <c r="D18" s="1679">
        <f>+D20+D21+D22+D19</f>
        <v>34398177</v>
      </c>
      <c r="E18" s="1679">
        <f t="shared" ref="E18:T18" si="22">+E20+E21+E22+E19</f>
        <v>0</v>
      </c>
      <c r="F18" s="1679">
        <f t="shared" si="22"/>
        <v>0</v>
      </c>
      <c r="G18" s="1679">
        <f t="shared" si="22"/>
        <v>0</v>
      </c>
      <c r="H18" s="1679">
        <f t="shared" si="22"/>
        <v>0</v>
      </c>
      <c r="I18" s="1679">
        <f t="shared" si="22"/>
        <v>0</v>
      </c>
      <c r="J18" s="1679">
        <f t="shared" si="22"/>
        <v>629249</v>
      </c>
      <c r="K18" s="1679">
        <f t="shared" si="22"/>
        <v>2188317</v>
      </c>
      <c r="L18" s="1679">
        <f t="shared" si="22"/>
        <v>1050100</v>
      </c>
      <c r="M18" s="1679">
        <f t="shared" ref="M18" si="23">+M20+M21+M22+M19</f>
        <v>6972433</v>
      </c>
      <c r="N18" s="1679">
        <f t="shared" si="22"/>
        <v>3104767</v>
      </c>
      <c r="O18" s="1679">
        <f t="shared" si="22"/>
        <v>5972762</v>
      </c>
      <c r="P18" s="1679">
        <f t="shared" si="22"/>
        <v>6828751</v>
      </c>
      <c r="Q18" s="1679">
        <f t="shared" si="22"/>
        <v>3055766</v>
      </c>
      <c r="R18" s="1679">
        <f t="shared" si="22"/>
        <v>3371223</v>
      </c>
      <c r="S18" s="1679">
        <f t="shared" si="22"/>
        <v>2138752</v>
      </c>
      <c r="T18" s="1679">
        <f t="shared" si="22"/>
        <v>1730997</v>
      </c>
      <c r="U18" s="1679">
        <f t="shared" ref="U18:V18" si="24">+U20+U21+U22+U19</f>
        <v>1730997</v>
      </c>
      <c r="V18" s="1679">
        <f t="shared" si="24"/>
        <v>1730997</v>
      </c>
      <c r="W18" s="1679">
        <f t="shared" ref="W18" si="25">+W20+W21+W22+W19</f>
        <v>865499</v>
      </c>
      <c r="X18" s="1680">
        <f>+X20+X21+X22+X19</f>
        <v>21452982</v>
      </c>
      <c r="Y18" s="2674"/>
      <c r="Z18" s="1285">
        <f>D20-D31</f>
        <v>0</v>
      </c>
      <c r="AA18" s="1285"/>
    </row>
    <row r="19" spans="1:27" s="991" customFormat="1" ht="14.25" hidden="1" customHeight="1" outlineLevel="1">
      <c r="A19" s="1774"/>
      <c r="B19" s="1682" t="s">
        <v>24</v>
      </c>
      <c r="C19" s="1674"/>
      <c r="D19" s="1683">
        <f t="shared" ref="D19:W19" si="26">+D109+D41</f>
        <v>0</v>
      </c>
      <c r="E19" s="1683">
        <f t="shared" si="26"/>
        <v>0</v>
      </c>
      <c r="F19" s="1683">
        <f t="shared" si="26"/>
        <v>0</v>
      </c>
      <c r="G19" s="1683">
        <f t="shared" si="26"/>
        <v>0</v>
      </c>
      <c r="H19" s="1683">
        <f t="shared" si="26"/>
        <v>0</v>
      </c>
      <c r="I19" s="1683">
        <f t="shared" si="26"/>
        <v>0</v>
      </c>
      <c r="J19" s="1683">
        <f t="shared" si="26"/>
        <v>0</v>
      </c>
      <c r="K19" s="1683">
        <f t="shared" si="26"/>
        <v>0</v>
      </c>
      <c r="L19" s="1683">
        <f t="shared" si="26"/>
        <v>0</v>
      </c>
      <c r="M19" s="1683">
        <f t="shared" si="26"/>
        <v>0</v>
      </c>
      <c r="N19" s="1683">
        <f t="shared" si="26"/>
        <v>0</v>
      </c>
      <c r="O19" s="1683">
        <f t="shared" si="26"/>
        <v>0</v>
      </c>
      <c r="P19" s="1683">
        <f t="shared" si="26"/>
        <v>0</v>
      </c>
      <c r="Q19" s="1683">
        <f t="shared" si="26"/>
        <v>0</v>
      </c>
      <c r="R19" s="1683">
        <f t="shared" si="26"/>
        <v>0</v>
      </c>
      <c r="S19" s="1683">
        <f t="shared" si="26"/>
        <v>0</v>
      </c>
      <c r="T19" s="1683">
        <f t="shared" si="26"/>
        <v>0</v>
      </c>
      <c r="U19" s="1683">
        <f t="shared" si="26"/>
        <v>0</v>
      </c>
      <c r="V19" s="1683">
        <f t="shared" si="26"/>
        <v>0</v>
      </c>
      <c r="W19" s="1683">
        <f t="shared" si="26"/>
        <v>0</v>
      </c>
      <c r="X19" s="1278">
        <f>+X109</f>
        <v>0</v>
      </c>
      <c r="Y19" s="2674"/>
      <c r="Z19" s="1285"/>
      <c r="AA19" s="1285"/>
    </row>
    <row r="20" spans="1:27" s="991" customFormat="1" ht="14.25" customHeight="1" outlineLevel="1">
      <c r="A20" s="1774"/>
      <c r="B20" s="373" t="s">
        <v>33</v>
      </c>
      <c r="C20" s="1748"/>
      <c r="D20" s="1683">
        <f>D170+D42+D95+D59+D143+D157</f>
        <v>16006777</v>
      </c>
      <c r="E20" s="1683">
        <f t="shared" ref="E20:L20" si="27">E170+E42+E95+E59</f>
        <v>0</v>
      </c>
      <c r="F20" s="1683">
        <f t="shared" si="27"/>
        <v>0</v>
      </c>
      <c r="G20" s="1683">
        <f t="shared" si="27"/>
        <v>0</v>
      </c>
      <c r="H20" s="1683">
        <f t="shared" si="27"/>
        <v>0</v>
      </c>
      <c r="I20" s="1683">
        <f t="shared" si="27"/>
        <v>0</v>
      </c>
      <c r="J20" s="1683">
        <f t="shared" si="27"/>
        <v>0</v>
      </c>
      <c r="K20" s="1683">
        <f t="shared" si="27"/>
        <v>0</v>
      </c>
      <c r="L20" s="1683">
        <f t="shared" si="27"/>
        <v>0</v>
      </c>
      <c r="M20" s="1683">
        <f t="shared" ref="M20:X20" si="28">M170+M42+M95+M59+M143+M157</f>
        <v>0</v>
      </c>
      <c r="N20" s="1683">
        <f t="shared" si="28"/>
        <v>0</v>
      </c>
      <c r="O20" s="1683">
        <f t="shared" si="28"/>
        <v>1317781</v>
      </c>
      <c r="P20" s="1683">
        <f t="shared" si="28"/>
        <v>3500000</v>
      </c>
      <c r="Q20" s="1683">
        <f t="shared" si="28"/>
        <v>1949006</v>
      </c>
      <c r="R20" s="1683">
        <f t="shared" si="28"/>
        <v>1590750</v>
      </c>
      <c r="S20" s="1683">
        <f t="shared" si="28"/>
        <v>1590750</v>
      </c>
      <c r="T20" s="1683">
        <f t="shared" si="28"/>
        <v>1730997</v>
      </c>
      <c r="U20" s="1683">
        <f t="shared" si="28"/>
        <v>1730997</v>
      </c>
      <c r="V20" s="1683">
        <f t="shared" si="28"/>
        <v>1730997</v>
      </c>
      <c r="W20" s="1683">
        <f t="shared" si="28"/>
        <v>865499</v>
      </c>
      <c r="X20" s="1278">
        <f t="shared" si="28"/>
        <v>14688996</v>
      </c>
      <c r="Y20" s="2674"/>
      <c r="Z20" s="1573"/>
      <c r="AA20" s="1285"/>
    </row>
    <row r="21" spans="1:27" s="991" customFormat="1" ht="14.25" hidden="1" customHeight="1" outlineLevel="1">
      <c r="A21" s="1774"/>
      <c r="B21" s="1682" t="s">
        <v>26</v>
      </c>
      <c r="C21" s="1776"/>
      <c r="D21" s="1683">
        <f>+D43+D96+D110+D124+D60</f>
        <v>0</v>
      </c>
      <c r="E21" s="1683">
        <f t="shared" ref="E21:L21" si="29">+E43+E96+E110+E124+E60+E143+E157</f>
        <v>0</v>
      </c>
      <c r="F21" s="1683">
        <f t="shared" si="29"/>
        <v>0</v>
      </c>
      <c r="G21" s="1683">
        <f t="shared" si="29"/>
        <v>0</v>
      </c>
      <c r="H21" s="1683">
        <f t="shared" si="29"/>
        <v>0</v>
      </c>
      <c r="I21" s="1683">
        <f t="shared" si="29"/>
        <v>0</v>
      </c>
      <c r="J21" s="1683">
        <f t="shared" si="29"/>
        <v>0</v>
      </c>
      <c r="K21" s="1683">
        <f t="shared" si="29"/>
        <v>0</v>
      </c>
      <c r="L21" s="1683">
        <f t="shared" si="29"/>
        <v>0</v>
      </c>
      <c r="M21" s="1683">
        <f t="shared" ref="M21:X21" si="30">+M43+M96+M110+M124+M60</f>
        <v>0</v>
      </c>
      <c r="N21" s="1683">
        <f t="shared" si="30"/>
        <v>0</v>
      </c>
      <c r="O21" s="1683">
        <f t="shared" si="30"/>
        <v>0</v>
      </c>
      <c r="P21" s="1683">
        <f t="shared" si="30"/>
        <v>0</v>
      </c>
      <c r="Q21" s="1683">
        <f t="shared" si="30"/>
        <v>0</v>
      </c>
      <c r="R21" s="1683">
        <f t="shared" si="30"/>
        <v>0</v>
      </c>
      <c r="S21" s="1683">
        <f t="shared" si="30"/>
        <v>0</v>
      </c>
      <c r="T21" s="1683">
        <f t="shared" si="30"/>
        <v>0</v>
      </c>
      <c r="U21" s="1683">
        <f t="shared" si="30"/>
        <v>0</v>
      </c>
      <c r="V21" s="1683">
        <f t="shared" si="30"/>
        <v>0</v>
      </c>
      <c r="W21" s="1683">
        <f t="shared" si="30"/>
        <v>0</v>
      </c>
      <c r="X21" s="1278">
        <f t="shared" si="30"/>
        <v>0</v>
      </c>
      <c r="Y21" s="2674"/>
      <c r="Z21" s="1573"/>
      <c r="AA21" s="1285"/>
    </row>
    <row r="22" spans="1:27" s="991" customFormat="1" ht="14.25" customHeight="1" outlineLevel="1">
      <c r="A22" s="1774"/>
      <c r="B22" s="373" t="s">
        <v>32</v>
      </c>
      <c r="C22" s="1776"/>
      <c r="D22" s="1683">
        <f t="shared" ref="D22:X22" si="31">D73+D84+D133</f>
        <v>18391400</v>
      </c>
      <c r="E22" s="1683">
        <f t="shared" si="31"/>
        <v>0</v>
      </c>
      <c r="F22" s="1683">
        <f t="shared" si="31"/>
        <v>0</v>
      </c>
      <c r="G22" s="1683">
        <f t="shared" si="31"/>
        <v>0</v>
      </c>
      <c r="H22" s="1683">
        <f t="shared" si="31"/>
        <v>0</v>
      </c>
      <c r="I22" s="1683">
        <f t="shared" si="31"/>
        <v>0</v>
      </c>
      <c r="J22" s="1683">
        <f t="shared" si="31"/>
        <v>629249</v>
      </c>
      <c r="K22" s="1683">
        <f t="shared" si="31"/>
        <v>2188317</v>
      </c>
      <c r="L22" s="1683">
        <f t="shared" si="31"/>
        <v>1050100</v>
      </c>
      <c r="M22" s="1683">
        <f t="shared" si="31"/>
        <v>6972433</v>
      </c>
      <c r="N22" s="1683">
        <f t="shared" si="31"/>
        <v>3104767</v>
      </c>
      <c r="O22" s="1683">
        <f t="shared" si="31"/>
        <v>4654981</v>
      </c>
      <c r="P22" s="1683">
        <f t="shared" si="31"/>
        <v>3328751</v>
      </c>
      <c r="Q22" s="1683">
        <f t="shared" si="31"/>
        <v>1106760</v>
      </c>
      <c r="R22" s="1683">
        <f t="shared" si="31"/>
        <v>1780473</v>
      </c>
      <c r="S22" s="1683">
        <f t="shared" si="31"/>
        <v>548002</v>
      </c>
      <c r="T22" s="1683">
        <f t="shared" si="31"/>
        <v>0</v>
      </c>
      <c r="U22" s="1683">
        <f t="shared" si="31"/>
        <v>0</v>
      </c>
      <c r="V22" s="1683">
        <f t="shared" si="31"/>
        <v>0</v>
      </c>
      <c r="W22" s="1683">
        <f t="shared" si="31"/>
        <v>0</v>
      </c>
      <c r="X22" s="1278">
        <f t="shared" si="31"/>
        <v>6763986</v>
      </c>
      <c r="Y22" s="2680"/>
      <c r="Z22" s="1573"/>
      <c r="AA22" s="1285"/>
    </row>
    <row r="23" spans="1:27" s="991" customFormat="1" ht="14.25" customHeight="1" outlineLevel="1">
      <c r="A23" s="1771"/>
      <c r="B23" s="517" t="s">
        <v>34</v>
      </c>
      <c r="C23" s="538"/>
      <c r="D23" s="1672">
        <f>+D24+D30</f>
        <v>60099700</v>
      </c>
      <c r="E23" s="1672">
        <f t="shared" ref="E23:N23" si="32">+E24+E30</f>
        <v>0</v>
      </c>
      <c r="F23" s="1672">
        <f>+F24+F30</f>
        <v>0</v>
      </c>
      <c r="G23" s="1672">
        <f>+G24+G30</f>
        <v>0</v>
      </c>
      <c r="H23" s="1672">
        <f>+H24+H30</f>
        <v>0</v>
      </c>
      <c r="I23" s="1672">
        <f t="shared" si="32"/>
        <v>0</v>
      </c>
      <c r="J23" s="1672">
        <f t="shared" si="32"/>
        <v>3544011</v>
      </c>
      <c r="K23" s="1672">
        <f t="shared" si="32"/>
        <v>8207133</v>
      </c>
      <c r="L23" s="1672">
        <f t="shared" si="32"/>
        <v>6670133</v>
      </c>
      <c r="M23" s="1672">
        <f t="shared" ref="M23" si="33">+M24+M30</f>
        <v>18421278</v>
      </c>
      <c r="N23" s="1672">
        <f t="shared" si="32"/>
        <v>0</v>
      </c>
      <c r="O23" s="1672">
        <f>+O24+O30</f>
        <v>2374257</v>
      </c>
      <c r="P23" s="1672">
        <f>+P24+P30</f>
        <v>12235102</v>
      </c>
      <c r="Q23" s="1672">
        <f>+Q24+Q30</f>
        <v>7564094</v>
      </c>
      <c r="R23" s="1672">
        <f>+R24+R30</f>
        <v>2500000</v>
      </c>
      <c r="S23" s="1672">
        <f t="shared" ref="S23:T23" si="34">+S24+S30</f>
        <v>7483531</v>
      </c>
      <c r="T23" s="1672">
        <f t="shared" si="34"/>
        <v>2720411</v>
      </c>
      <c r="U23" s="1672">
        <f t="shared" ref="U23:V23" si="35">+U24+U30</f>
        <v>2720411</v>
      </c>
      <c r="V23" s="1672">
        <f t="shared" si="35"/>
        <v>2720411</v>
      </c>
      <c r="W23" s="1672">
        <f t="shared" ref="W23" si="36">+W24+W30</f>
        <v>1360206</v>
      </c>
      <c r="X23" s="3413" t="s">
        <v>77</v>
      </c>
      <c r="Y23" s="2681"/>
      <c r="Z23" s="1285">
        <f>D33-D22-D19</f>
        <v>0</v>
      </c>
    </row>
    <row r="24" spans="1:27" s="991" customFormat="1" ht="14.25" customHeight="1" outlineLevel="1">
      <c r="A24" s="1774"/>
      <c r="B24" s="1673" t="s">
        <v>23</v>
      </c>
      <c r="C24" s="2289"/>
      <c r="D24" s="2290">
        <f t="shared" ref="D24:P24" si="37">SUM(D25:D29)</f>
        <v>25701523</v>
      </c>
      <c r="E24" s="2290">
        <f t="shared" si="37"/>
        <v>0</v>
      </c>
      <c r="F24" s="2290">
        <f t="shared" si="37"/>
        <v>0</v>
      </c>
      <c r="G24" s="2290">
        <f t="shared" si="37"/>
        <v>0</v>
      </c>
      <c r="H24" s="2290">
        <f t="shared" si="37"/>
        <v>0</v>
      </c>
      <c r="I24" s="2290">
        <f t="shared" si="37"/>
        <v>0</v>
      </c>
      <c r="J24" s="2290">
        <f t="shared" si="37"/>
        <v>0</v>
      </c>
      <c r="K24" s="2290">
        <f t="shared" si="37"/>
        <v>3801777</v>
      </c>
      <c r="L24" s="2290">
        <f t="shared" si="37"/>
        <v>3261339</v>
      </c>
      <c r="M24" s="2290">
        <f>SUM(M25:M29)</f>
        <v>7063117</v>
      </c>
      <c r="N24" s="2290">
        <f t="shared" si="37"/>
        <v>0</v>
      </c>
      <c r="O24" s="2290">
        <f t="shared" si="37"/>
        <v>1056476</v>
      </c>
      <c r="P24" s="2290">
        <f t="shared" si="37"/>
        <v>4039337</v>
      </c>
      <c r="Q24" s="2290">
        <f>SUM(Q25:Q29)</f>
        <v>4557145</v>
      </c>
      <c r="R24" s="2290">
        <f>SUM(R25:R29)</f>
        <v>909250</v>
      </c>
      <c r="S24" s="2290">
        <f t="shared" ref="S24:T24" si="38">SUM(S25:S29)</f>
        <v>4613250</v>
      </c>
      <c r="T24" s="2290">
        <f t="shared" si="38"/>
        <v>989414</v>
      </c>
      <c r="U24" s="2290">
        <f t="shared" ref="U24:V24" si="39">SUM(U25:U29)</f>
        <v>989414</v>
      </c>
      <c r="V24" s="2290">
        <f t="shared" si="39"/>
        <v>989414</v>
      </c>
      <c r="W24" s="2290">
        <f t="shared" ref="W24" si="40">SUM(W25:W29)</f>
        <v>494707</v>
      </c>
      <c r="X24" s="3352"/>
      <c r="Y24" s="2674"/>
      <c r="Z24" s="1285"/>
    </row>
    <row r="25" spans="1:27" s="991" customFormat="1" ht="14.25" customHeight="1" outlineLevel="1">
      <c r="A25" s="1775"/>
      <c r="B25" s="373" t="s">
        <v>25</v>
      </c>
      <c r="C25" s="368"/>
      <c r="D25" s="2291">
        <f>+D173+D46+D63+D146+D160</f>
        <v>9149279</v>
      </c>
      <c r="E25" s="2291">
        <f t="shared" ref="E25:L25" si="41">+E173+E46+E63</f>
        <v>0</v>
      </c>
      <c r="F25" s="2291">
        <f t="shared" si="41"/>
        <v>0</v>
      </c>
      <c r="G25" s="2291">
        <f t="shared" si="41"/>
        <v>0</v>
      </c>
      <c r="H25" s="2291">
        <f t="shared" si="41"/>
        <v>0</v>
      </c>
      <c r="I25" s="2291">
        <f t="shared" si="41"/>
        <v>0</v>
      </c>
      <c r="J25" s="2291">
        <f t="shared" si="41"/>
        <v>0</v>
      </c>
      <c r="K25" s="2291">
        <f t="shared" si="41"/>
        <v>0</v>
      </c>
      <c r="L25" s="2291">
        <f t="shared" si="41"/>
        <v>0</v>
      </c>
      <c r="M25" s="2291">
        <f t="shared" ref="M25:W25" si="42">+M173+M46+M63+M146+M160</f>
        <v>0</v>
      </c>
      <c r="N25" s="2291">
        <f t="shared" si="42"/>
        <v>0</v>
      </c>
      <c r="O25" s="2291">
        <f t="shared" si="42"/>
        <v>753226</v>
      </c>
      <c r="P25" s="2291">
        <f t="shared" si="42"/>
        <v>2000000</v>
      </c>
      <c r="Q25" s="2291">
        <f t="shared" si="42"/>
        <v>1114604</v>
      </c>
      <c r="R25" s="2291">
        <f t="shared" si="42"/>
        <v>909250</v>
      </c>
      <c r="S25" s="2291">
        <f t="shared" si="42"/>
        <v>909250</v>
      </c>
      <c r="T25" s="2291">
        <f t="shared" si="42"/>
        <v>989414</v>
      </c>
      <c r="U25" s="2291">
        <f t="shared" si="42"/>
        <v>989414</v>
      </c>
      <c r="V25" s="2291">
        <f t="shared" si="42"/>
        <v>989414</v>
      </c>
      <c r="W25" s="2291">
        <f t="shared" si="42"/>
        <v>494707</v>
      </c>
      <c r="X25" s="3352"/>
      <c r="Y25" s="2674"/>
      <c r="Z25" s="1285">
        <f>D25-D15</f>
        <v>0</v>
      </c>
    </row>
    <row r="26" spans="1:27" s="991" customFormat="1" ht="14.25" hidden="1" customHeight="1" outlineLevel="1">
      <c r="A26" s="1775"/>
      <c r="B26" s="1682" t="s">
        <v>26</v>
      </c>
      <c r="C26" s="2292"/>
      <c r="D26" s="2291">
        <f>+D47+D99+D113+D127+D64</f>
        <v>0</v>
      </c>
      <c r="E26" s="2291">
        <f t="shared" ref="E26:L26" si="43">+E47+E99+E113+E127+E64+E146+E160</f>
        <v>0</v>
      </c>
      <c r="F26" s="2291">
        <f t="shared" si="43"/>
        <v>0</v>
      </c>
      <c r="G26" s="2291">
        <f t="shared" si="43"/>
        <v>0</v>
      </c>
      <c r="H26" s="2291">
        <f t="shared" si="43"/>
        <v>0</v>
      </c>
      <c r="I26" s="2291">
        <f t="shared" si="43"/>
        <v>0</v>
      </c>
      <c r="J26" s="2291">
        <f t="shared" si="43"/>
        <v>0</v>
      </c>
      <c r="K26" s="2291">
        <f t="shared" si="43"/>
        <v>0</v>
      </c>
      <c r="L26" s="2291">
        <f t="shared" si="43"/>
        <v>0</v>
      </c>
      <c r="M26" s="2291">
        <f t="shared" ref="M26:W26" si="44">+M47+M99+M113+M127+M64</f>
        <v>0</v>
      </c>
      <c r="N26" s="2291">
        <f t="shared" si="44"/>
        <v>0</v>
      </c>
      <c r="O26" s="2291">
        <f t="shared" si="44"/>
        <v>0</v>
      </c>
      <c r="P26" s="2291">
        <f t="shared" si="44"/>
        <v>0</v>
      </c>
      <c r="Q26" s="2291">
        <f t="shared" si="44"/>
        <v>0</v>
      </c>
      <c r="R26" s="2291">
        <f t="shared" si="44"/>
        <v>0</v>
      </c>
      <c r="S26" s="2291">
        <f t="shared" si="44"/>
        <v>0</v>
      </c>
      <c r="T26" s="2291">
        <f t="shared" si="44"/>
        <v>0</v>
      </c>
      <c r="U26" s="2291">
        <f t="shared" si="44"/>
        <v>0</v>
      </c>
      <c r="V26" s="2291">
        <f t="shared" si="44"/>
        <v>0</v>
      </c>
      <c r="W26" s="2291">
        <f t="shared" si="44"/>
        <v>0</v>
      </c>
      <c r="X26" s="3352"/>
      <c r="Y26" s="2674"/>
      <c r="Z26" s="1285">
        <f>D26-D16</f>
        <v>0</v>
      </c>
    </row>
    <row r="27" spans="1:27" s="991" customFormat="1" ht="14.25" customHeight="1" outlineLevel="1">
      <c r="A27" s="1775"/>
      <c r="B27" s="1682" t="s">
        <v>78</v>
      </c>
      <c r="C27" s="2292"/>
      <c r="D27" s="2291">
        <f t="shared" ref="D27:W27" si="45">+D76+D87</f>
        <v>16552244</v>
      </c>
      <c r="E27" s="2291">
        <f t="shared" si="45"/>
        <v>0</v>
      </c>
      <c r="F27" s="2291">
        <f t="shared" si="45"/>
        <v>0</v>
      </c>
      <c r="G27" s="2291">
        <f t="shared" si="45"/>
        <v>0</v>
      </c>
      <c r="H27" s="2291">
        <f t="shared" si="45"/>
        <v>0</v>
      </c>
      <c r="I27" s="2291">
        <f t="shared" si="45"/>
        <v>0</v>
      </c>
      <c r="J27" s="2291">
        <f t="shared" si="45"/>
        <v>0</v>
      </c>
      <c r="K27" s="2291">
        <f t="shared" si="45"/>
        <v>3801777</v>
      </c>
      <c r="L27" s="2291">
        <f t="shared" si="45"/>
        <v>3261339</v>
      </c>
      <c r="M27" s="2291">
        <f t="shared" si="45"/>
        <v>7063116</v>
      </c>
      <c r="N27" s="2291">
        <f t="shared" si="45"/>
        <v>0</v>
      </c>
      <c r="O27" s="2291">
        <f t="shared" si="45"/>
        <v>303250</v>
      </c>
      <c r="P27" s="2291">
        <f t="shared" si="45"/>
        <v>2039337</v>
      </c>
      <c r="Q27" s="2291">
        <f t="shared" si="45"/>
        <v>3442541</v>
      </c>
      <c r="R27" s="2291">
        <f t="shared" si="45"/>
        <v>0</v>
      </c>
      <c r="S27" s="2291">
        <f t="shared" si="45"/>
        <v>3704000</v>
      </c>
      <c r="T27" s="2291">
        <f t="shared" si="45"/>
        <v>0</v>
      </c>
      <c r="U27" s="2291">
        <f t="shared" si="45"/>
        <v>0</v>
      </c>
      <c r="V27" s="2291">
        <f t="shared" si="45"/>
        <v>0</v>
      </c>
      <c r="W27" s="2291">
        <f t="shared" si="45"/>
        <v>0</v>
      </c>
      <c r="X27" s="3352"/>
      <c r="Y27" s="2674"/>
      <c r="Z27" s="1285">
        <f>D27-D17</f>
        <v>0</v>
      </c>
    </row>
    <row r="28" spans="1:27" s="991" customFormat="1" ht="14.25" hidden="1" customHeight="1" outlineLevel="1">
      <c r="A28" s="1775"/>
      <c r="B28" s="1682" t="s">
        <v>37</v>
      </c>
      <c r="C28" s="2292"/>
      <c r="D28" s="2291">
        <f t="shared" ref="D28:W28" si="46">+D114+D48</f>
        <v>0</v>
      </c>
      <c r="E28" s="2291">
        <f t="shared" si="46"/>
        <v>0</v>
      </c>
      <c r="F28" s="2291">
        <f t="shared" si="46"/>
        <v>0</v>
      </c>
      <c r="G28" s="2291">
        <f t="shared" si="46"/>
        <v>0</v>
      </c>
      <c r="H28" s="2291">
        <f t="shared" si="46"/>
        <v>0</v>
      </c>
      <c r="I28" s="2291">
        <f t="shared" si="46"/>
        <v>0</v>
      </c>
      <c r="J28" s="2291">
        <f t="shared" si="46"/>
        <v>0</v>
      </c>
      <c r="K28" s="2291">
        <f t="shared" si="46"/>
        <v>0</v>
      </c>
      <c r="L28" s="2291">
        <f t="shared" si="46"/>
        <v>0</v>
      </c>
      <c r="M28" s="2291">
        <f t="shared" si="46"/>
        <v>0</v>
      </c>
      <c r="N28" s="2291">
        <f t="shared" si="46"/>
        <v>0</v>
      </c>
      <c r="O28" s="2291">
        <f t="shared" si="46"/>
        <v>0</v>
      </c>
      <c r="P28" s="2291">
        <f t="shared" si="46"/>
        <v>0</v>
      </c>
      <c r="Q28" s="2291">
        <f t="shared" si="46"/>
        <v>0</v>
      </c>
      <c r="R28" s="2291">
        <f t="shared" si="46"/>
        <v>0</v>
      </c>
      <c r="S28" s="2291">
        <f t="shared" si="46"/>
        <v>0</v>
      </c>
      <c r="T28" s="2291">
        <f t="shared" si="46"/>
        <v>0</v>
      </c>
      <c r="U28" s="2291">
        <f t="shared" si="46"/>
        <v>0</v>
      </c>
      <c r="V28" s="2291">
        <f t="shared" si="46"/>
        <v>0</v>
      </c>
      <c r="W28" s="2291">
        <f t="shared" si="46"/>
        <v>0</v>
      </c>
      <c r="X28" s="3352"/>
      <c r="Y28" s="2674"/>
    </row>
    <row r="29" spans="1:27" s="991" customFormat="1" ht="12.75" hidden="1" customHeight="1" outlineLevel="1">
      <c r="A29" s="1775"/>
      <c r="B29" s="1566" t="s">
        <v>24</v>
      </c>
      <c r="C29" s="1571"/>
      <c r="D29" s="1572">
        <v>0</v>
      </c>
      <c r="E29" s="1572">
        <v>0</v>
      </c>
      <c r="F29" s="1572">
        <v>0</v>
      </c>
      <c r="G29" s="1572">
        <v>0</v>
      </c>
      <c r="H29" s="1572">
        <v>0</v>
      </c>
      <c r="I29" s="1572">
        <v>0</v>
      </c>
      <c r="J29" s="1572">
        <v>0</v>
      </c>
      <c r="K29" s="1572">
        <v>0</v>
      </c>
      <c r="L29" s="1572">
        <v>0</v>
      </c>
      <c r="M29" s="1572">
        <v>1</v>
      </c>
      <c r="N29" s="1572">
        <v>0</v>
      </c>
      <c r="O29" s="1572">
        <v>0</v>
      </c>
      <c r="P29" s="1572">
        <v>0</v>
      </c>
      <c r="Q29" s="1572">
        <v>0</v>
      </c>
      <c r="R29" s="1572"/>
      <c r="S29" s="1572"/>
      <c r="T29" s="1572"/>
      <c r="U29" s="1572"/>
      <c r="V29" s="1572"/>
      <c r="W29" s="1572"/>
      <c r="X29" s="3352"/>
      <c r="Y29" s="2674"/>
    </row>
    <row r="30" spans="1:27" s="991" customFormat="1" ht="14.25" customHeight="1" outlineLevel="1">
      <c r="A30" s="1774"/>
      <c r="B30" s="1677" t="s">
        <v>30</v>
      </c>
      <c r="C30" s="1681"/>
      <c r="D30" s="1679">
        <f>+D31+D33+D32</f>
        <v>34398177</v>
      </c>
      <c r="E30" s="1679">
        <f>+E31+E33+E32</f>
        <v>0</v>
      </c>
      <c r="F30" s="1679">
        <f>+F31+F33+F32</f>
        <v>0</v>
      </c>
      <c r="G30" s="1679">
        <f>+G31+G33+G32</f>
        <v>0</v>
      </c>
      <c r="H30" s="1679">
        <f>+H31+H33+H32</f>
        <v>0</v>
      </c>
      <c r="I30" s="1679">
        <f t="shared" ref="I30:P30" si="47">SUM(I31:I33)</f>
        <v>0</v>
      </c>
      <c r="J30" s="1679">
        <f t="shared" si="47"/>
        <v>3544011</v>
      </c>
      <c r="K30" s="1679">
        <f t="shared" si="47"/>
        <v>4405356</v>
      </c>
      <c r="L30" s="1679">
        <f t="shared" si="47"/>
        <v>3408794</v>
      </c>
      <c r="M30" s="1679">
        <f t="shared" ref="M30" si="48">SUM(M31:M33)</f>
        <v>11358161</v>
      </c>
      <c r="N30" s="1679">
        <f t="shared" si="47"/>
        <v>0</v>
      </c>
      <c r="O30" s="1679">
        <f t="shared" si="47"/>
        <v>1317781</v>
      </c>
      <c r="P30" s="1679">
        <f t="shared" si="47"/>
        <v>8195765</v>
      </c>
      <c r="Q30" s="1679">
        <f>SUM(Q31:Q33)</f>
        <v>3006949</v>
      </c>
      <c r="R30" s="1679">
        <f>SUM(R31:R33)</f>
        <v>1590750</v>
      </c>
      <c r="S30" s="1679">
        <f t="shared" ref="S30:T30" si="49">SUM(S31:S33)</f>
        <v>2870281</v>
      </c>
      <c r="T30" s="1679">
        <f t="shared" si="49"/>
        <v>1730997</v>
      </c>
      <c r="U30" s="1679">
        <f t="shared" ref="U30:V30" si="50">SUM(U31:U33)</f>
        <v>1730997</v>
      </c>
      <c r="V30" s="1679">
        <f t="shared" si="50"/>
        <v>1730997</v>
      </c>
      <c r="W30" s="1679">
        <f t="shared" ref="W30" si="51">SUM(W31:W33)</f>
        <v>865499</v>
      </c>
      <c r="X30" s="3352"/>
      <c r="Y30" s="2674"/>
    </row>
    <row r="31" spans="1:27" s="991" customFormat="1" ht="14.25" customHeight="1" outlineLevel="1">
      <c r="A31" s="1775"/>
      <c r="B31" s="373" t="s">
        <v>33</v>
      </c>
      <c r="C31" s="2293"/>
      <c r="D31" s="2291">
        <f>D176+D101+D50+D66+D149+D163</f>
        <v>16006777</v>
      </c>
      <c r="E31" s="2291">
        <f t="shared" ref="E31:L31" si="52">E176+E101+E50+E66</f>
        <v>0</v>
      </c>
      <c r="F31" s="2291">
        <f t="shared" si="52"/>
        <v>0</v>
      </c>
      <c r="G31" s="2291">
        <f t="shared" si="52"/>
        <v>0</v>
      </c>
      <c r="H31" s="2291">
        <f t="shared" si="52"/>
        <v>0</v>
      </c>
      <c r="I31" s="2291">
        <f t="shared" si="52"/>
        <v>0</v>
      </c>
      <c r="J31" s="2291">
        <f t="shared" si="52"/>
        <v>0</v>
      </c>
      <c r="K31" s="2291">
        <f t="shared" si="52"/>
        <v>0</v>
      </c>
      <c r="L31" s="2291">
        <f t="shared" si="52"/>
        <v>0</v>
      </c>
      <c r="M31" s="2291">
        <f t="shared" ref="M31:W31" si="53">M176+M101+M50+M66+M149+M163</f>
        <v>0</v>
      </c>
      <c r="N31" s="2291">
        <f t="shared" si="53"/>
        <v>0</v>
      </c>
      <c r="O31" s="2291">
        <f t="shared" si="53"/>
        <v>1317781</v>
      </c>
      <c r="P31" s="2291">
        <f t="shared" si="53"/>
        <v>3500000</v>
      </c>
      <c r="Q31" s="2291">
        <f t="shared" si="53"/>
        <v>1949006</v>
      </c>
      <c r="R31" s="2291">
        <f t="shared" si="53"/>
        <v>1590750</v>
      </c>
      <c r="S31" s="2291">
        <f t="shared" si="53"/>
        <v>1590750</v>
      </c>
      <c r="T31" s="2291">
        <f t="shared" si="53"/>
        <v>1730997</v>
      </c>
      <c r="U31" s="2291">
        <f t="shared" si="53"/>
        <v>1730997</v>
      </c>
      <c r="V31" s="2291">
        <f t="shared" si="53"/>
        <v>1730997</v>
      </c>
      <c r="W31" s="2291">
        <f t="shared" si="53"/>
        <v>865499</v>
      </c>
      <c r="X31" s="3352"/>
      <c r="Y31" s="2674"/>
      <c r="Z31" s="1285">
        <f>D31-D20</f>
        <v>0</v>
      </c>
    </row>
    <row r="32" spans="1:27" s="991" customFormat="1" ht="14.25" hidden="1" customHeight="1" outlineLevel="1">
      <c r="A32" s="1775"/>
      <c r="B32" s="1682" t="s">
        <v>26</v>
      </c>
      <c r="C32" s="2293"/>
      <c r="D32" s="2291">
        <f>+D51+D102+D116+D129+D67</f>
        <v>0</v>
      </c>
      <c r="E32" s="2291">
        <f t="shared" ref="E32:L32" si="54">+E51+E102+E116+E129+E67+E149+E163</f>
        <v>0</v>
      </c>
      <c r="F32" s="2291">
        <f t="shared" si="54"/>
        <v>0</v>
      </c>
      <c r="G32" s="2291">
        <f t="shared" si="54"/>
        <v>0</v>
      </c>
      <c r="H32" s="2291">
        <f t="shared" si="54"/>
        <v>0</v>
      </c>
      <c r="I32" s="2291">
        <f t="shared" si="54"/>
        <v>0</v>
      </c>
      <c r="J32" s="2291">
        <f t="shared" si="54"/>
        <v>0</v>
      </c>
      <c r="K32" s="2291">
        <f t="shared" si="54"/>
        <v>0</v>
      </c>
      <c r="L32" s="2291">
        <f t="shared" si="54"/>
        <v>0</v>
      </c>
      <c r="M32" s="2291">
        <f t="shared" ref="M32:W32" si="55">+M51+M102+M116+M129+M67</f>
        <v>0</v>
      </c>
      <c r="N32" s="2291">
        <f t="shared" si="55"/>
        <v>0</v>
      </c>
      <c r="O32" s="2291">
        <f t="shared" si="55"/>
        <v>0</v>
      </c>
      <c r="P32" s="2291">
        <f t="shared" si="55"/>
        <v>0</v>
      </c>
      <c r="Q32" s="2291">
        <f t="shared" si="55"/>
        <v>0</v>
      </c>
      <c r="R32" s="2291">
        <f t="shared" si="55"/>
        <v>0</v>
      </c>
      <c r="S32" s="2291">
        <f t="shared" si="55"/>
        <v>0</v>
      </c>
      <c r="T32" s="2291">
        <f t="shared" si="55"/>
        <v>0</v>
      </c>
      <c r="U32" s="2291">
        <f t="shared" si="55"/>
        <v>0</v>
      </c>
      <c r="V32" s="2291">
        <f t="shared" si="55"/>
        <v>0</v>
      </c>
      <c r="W32" s="2291">
        <f t="shared" si="55"/>
        <v>0</v>
      </c>
      <c r="X32" s="3352"/>
      <c r="Y32" s="2674"/>
      <c r="Z32" s="1285">
        <f>D32-D21</f>
        <v>0</v>
      </c>
      <c r="AA32" s="1285"/>
    </row>
    <row r="33" spans="1:26" s="991" customFormat="1" ht="14.25" customHeight="1" collapsed="1" thickBot="1">
      <c r="A33" s="2294"/>
      <c r="B33" s="2295" t="s">
        <v>32</v>
      </c>
      <c r="C33" s="2296"/>
      <c r="D33" s="2297">
        <f t="shared" ref="D33:W33" si="56">+D78+D89+D117+D52+D136</f>
        <v>18391400</v>
      </c>
      <c r="E33" s="2297">
        <f t="shared" si="56"/>
        <v>0</v>
      </c>
      <c r="F33" s="2297">
        <f t="shared" si="56"/>
        <v>0</v>
      </c>
      <c r="G33" s="2297">
        <f t="shared" si="56"/>
        <v>0</v>
      </c>
      <c r="H33" s="2297">
        <f t="shared" si="56"/>
        <v>0</v>
      </c>
      <c r="I33" s="2297">
        <f t="shared" si="56"/>
        <v>0</v>
      </c>
      <c r="J33" s="2297">
        <f t="shared" si="56"/>
        <v>3544011</v>
      </c>
      <c r="K33" s="2297">
        <f t="shared" si="56"/>
        <v>4405356</v>
      </c>
      <c r="L33" s="2297">
        <f t="shared" si="56"/>
        <v>3408794</v>
      </c>
      <c r="M33" s="2297">
        <f t="shared" si="56"/>
        <v>11358161</v>
      </c>
      <c r="N33" s="2297">
        <f t="shared" si="56"/>
        <v>0</v>
      </c>
      <c r="O33" s="2297">
        <f t="shared" si="56"/>
        <v>0</v>
      </c>
      <c r="P33" s="2297">
        <f t="shared" si="56"/>
        <v>4695765</v>
      </c>
      <c r="Q33" s="2297">
        <f t="shared" si="56"/>
        <v>1057943</v>
      </c>
      <c r="R33" s="2297">
        <f t="shared" si="56"/>
        <v>0</v>
      </c>
      <c r="S33" s="2297">
        <f t="shared" si="56"/>
        <v>1279531</v>
      </c>
      <c r="T33" s="2297">
        <f t="shared" si="56"/>
        <v>0</v>
      </c>
      <c r="U33" s="2297">
        <f t="shared" si="56"/>
        <v>0</v>
      </c>
      <c r="V33" s="2297">
        <f t="shared" si="56"/>
        <v>0</v>
      </c>
      <c r="W33" s="2297">
        <f t="shared" si="56"/>
        <v>0</v>
      </c>
      <c r="X33" s="3414"/>
      <c r="Y33" s="2675"/>
      <c r="Z33" s="1285">
        <f>D33-D22-D19</f>
        <v>0</v>
      </c>
    </row>
    <row r="34" spans="1:26" s="729" customFormat="1" hidden="1">
      <c r="A34" s="3366"/>
      <c r="B34" s="1576"/>
      <c r="C34" s="2286" t="s">
        <v>130</v>
      </c>
      <c r="D34" s="2286"/>
      <c r="E34" s="2287"/>
      <c r="F34" s="2287"/>
      <c r="G34" s="2287"/>
      <c r="H34" s="2287"/>
      <c r="I34" s="2288"/>
      <c r="J34" s="2288"/>
      <c r="K34" s="2288"/>
      <c r="L34" s="2288"/>
      <c r="M34" s="2288"/>
      <c r="N34" s="2288"/>
      <c r="O34" s="2288"/>
      <c r="P34" s="2288"/>
      <c r="Q34" s="2288"/>
      <c r="R34" s="2288"/>
      <c r="S34" s="2288"/>
      <c r="T34" s="2288"/>
      <c r="U34" s="2288"/>
      <c r="V34" s="2288"/>
      <c r="W34" s="2288"/>
      <c r="X34" s="1577"/>
      <c r="Y34" s="3341" t="s">
        <v>209</v>
      </c>
    </row>
    <row r="35" spans="1:26" s="729" customFormat="1" ht="14.25" hidden="1" customHeight="1">
      <c r="A35" s="3366"/>
      <c r="B35" s="505" t="s">
        <v>22</v>
      </c>
      <c r="C35" s="2017"/>
      <c r="D35" s="2038">
        <f>+D36+D40</f>
        <v>0</v>
      </c>
      <c r="E35" s="2021">
        <f>+E36+E40</f>
        <v>0</v>
      </c>
      <c r="F35" s="2021"/>
      <c r="G35" s="2021"/>
      <c r="H35" s="2021">
        <f t="shared" ref="H35:O35" si="57">+H36+H40</f>
        <v>0</v>
      </c>
      <c r="I35" s="2021">
        <f t="shared" si="57"/>
        <v>0</v>
      </c>
      <c r="J35" s="2021">
        <f t="shared" si="57"/>
        <v>0</v>
      </c>
      <c r="K35" s="2021">
        <f t="shared" si="57"/>
        <v>0</v>
      </c>
      <c r="L35" s="1688">
        <f t="shared" si="57"/>
        <v>0</v>
      </c>
      <c r="M35" s="2021">
        <f t="shared" ref="M35" si="58">+M36+M40</f>
        <v>0</v>
      </c>
      <c r="N35" s="2021">
        <f t="shared" si="57"/>
        <v>0</v>
      </c>
      <c r="O35" s="2021">
        <f t="shared" si="57"/>
        <v>0</v>
      </c>
      <c r="P35" s="2021"/>
      <c r="Q35" s="2021"/>
      <c r="R35" s="2021"/>
      <c r="S35" s="2021"/>
      <c r="T35" s="2021"/>
      <c r="U35" s="2021"/>
      <c r="V35" s="2021"/>
      <c r="W35" s="2021"/>
      <c r="X35" s="2047">
        <f>+X36+X40</f>
        <v>0</v>
      </c>
      <c r="Y35" s="3341"/>
    </row>
    <row r="36" spans="1:26" s="729" customFormat="1" ht="12.95" hidden="1" customHeight="1">
      <c r="A36" s="3366"/>
      <c r="B36" s="1690" t="s">
        <v>23</v>
      </c>
      <c r="C36" s="3411"/>
      <c r="D36" s="2034">
        <f t="shared" ref="D36:O36" si="59">+D37+D39+D38</f>
        <v>0</v>
      </c>
      <c r="E36" s="2034">
        <f t="shared" si="59"/>
        <v>0</v>
      </c>
      <c r="F36" s="2034">
        <f t="shared" si="59"/>
        <v>0</v>
      </c>
      <c r="G36" s="2034">
        <f t="shared" si="59"/>
        <v>0</v>
      </c>
      <c r="H36" s="2034">
        <f t="shared" si="59"/>
        <v>0</v>
      </c>
      <c r="I36" s="2034">
        <f t="shared" si="59"/>
        <v>0</v>
      </c>
      <c r="J36" s="2034">
        <f t="shared" si="59"/>
        <v>0</v>
      </c>
      <c r="K36" s="2034">
        <f t="shared" si="59"/>
        <v>0</v>
      </c>
      <c r="L36" s="1691">
        <f t="shared" si="59"/>
        <v>0</v>
      </c>
      <c r="M36" s="2023">
        <f t="shared" ref="M36" si="60">+M37+M39+M38</f>
        <v>0</v>
      </c>
      <c r="N36" s="2034">
        <f t="shared" si="59"/>
        <v>0</v>
      </c>
      <c r="O36" s="2034">
        <f t="shared" si="59"/>
        <v>0</v>
      </c>
      <c r="P36" s="2034"/>
      <c r="Q36" s="2034"/>
      <c r="R36" s="2034"/>
      <c r="S36" s="2034"/>
      <c r="T36" s="2034"/>
      <c r="U36" s="2034"/>
      <c r="V36" s="2034"/>
      <c r="W36" s="2034"/>
      <c r="X36" s="2048">
        <f>+X37+X39+X38</f>
        <v>0</v>
      </c>
      <c r="Y36" s="3341"/>
    </row>
    <row r="37" spans="1:26" s="729" customFormat="1" ht="12.95" hidden="1" customHeight="1">
      <c r="A37" s="3366"/>
      <c r="B37" s="503" t="s">
        <v>24</v>
      </c>
      <c r="C37" s="3411"/>
      <c r="D37" s="2026">
        <f>M37+O37+P37+Q37+R37+S37+T37</f>
        <v>0</v>
      </c>
      <c r="E37" s="2031"/>
      <c r="F37" s="2031"/>
      <c r="G37" s="2031"/>
      <c r="H37" s="2031"/>
      <c r="I37" s="2031"/>
      <c r="J37" s="2031"/>
      <c r="K37" s="2031">
        <v>0</v>
      </c>
      <c r="L37" s="2049">
        <v>0</v>
      </c>
      <c r="M37" s="2031">
        <f>E37+I37+J37+K37+L37+N37</f>
        <v>0</v>
      </c>
      <c r="N37" s="2031"/>
      <c r="O37" s="2031">
        <v>0</v>
      </c>
      <c r="P37" s="2031"/>
      <c r="Q37" s="2031"/>
      <c r="R37" s="2031"/>
      <c r="S37" s="2031"/>
      <c r="T37" s="2031"/>
      <c r="U37" s="2031"/>
      <c r="V37" s="2031"/>
      <c r="W37" s="2031"/>
      <c r="X37" s="2033">
        <f>SUM(P37:T37)</f>
        <v>0</v>
      </c>
      <c r="Y37" s="3341"/>
      <c r="Z37" s="1584"/>
    </row>
    <row r="38" spans="1:26" s="1347" customFormat="1" ht="12.95" hidden="1" customHeight="1">
      <c r="A38" s="3366"/>
      <c r="B38" s="1697" t="s">
        <v>25</v>
      </c>
      <c r="C38" s="3411"/>
      <c r="D38" s="2026">
        <f t="shared" ref="D38:D39" si="61">M38+O38+P38+Q38+R38+S38+T38</f>
        <v>0</v>
      </c>
      <c r="E38" s="2031">
        <v>0</v>
      </c>
      <c r="F38" s="2031"/>
      <c r="G38" s="2031"/>
      <c r="H38" s="2031"/>
      <c r="I38" s="2031">
        <v>0</v>
      </c>
      <c r="J38" s="2031"/>
      <c r="K38" s="2031"/>
      <c r="L38" s="2049"/>
      <c r="M38" s="2031">
        <f>E38+I38+J38+K38+L38+N38</f>
        <v>0</v>
      </c>
      <c r="N38" s="2031"/>
      <c r="O38" s="2031"/>
      <c r="P38" s="2031"/>
      <c r="Q38" s="2031"/>
      <c r="R38" s="2031"/>
      <c r="S38" s="2031"/>
      <c r="T38" s="2031"/>
      <c r="U38" s="2031"/>
      <c r="V38" s="2031"/>
      <c r="W38" s="2031"/>
      <c r="X38" s="2033">
        <f>SUM(P38:T38)</f>
        <v>0</v>
      </c>
      <c r="Y38" s="3341"/>
      <c r="Z38" s="1354"/>
    </row>
    <row r="39" spans="1:26" s="1347" customFormat="1" ht="12.95" hidden="1" customHeight="1">
      <c r="A39" s="3366"/>
      <c r="B39" s="503" t="s">
        <v>26</v>
      </c>
      <c r="C39" s="3411"/>
      <c r="D39" s="2026">
        <f t="shared" si="61"/>
        <v>0</v>
      </c>
      <c r="E39" s="2050"/>
      <c r="F39" s="2050"/>
      <c r="G39" s="2050"/>
      <c r="H39" s="2050"/>
      <c r="I39" s="2031"/>
      <c r="J39" s="2031">
        <v>0</v>
      </c>
      <c r="K39" s="2031">
        <v>0</v>
      </c>
      <c r="L39" s="2049">
        <v>0</v>
      </c>
      <c r="M39" s="2031">
        <f>E39+I39+J39+K39+L39+N39</f>
        <v>0</v>
      </c>
      <c r="N39" s="2031">
        <v>0</v>
      </c>
      <c r="O39" s="2031">
        <v>0</v>
      </c>
      <c r="P39" s="2031"/>
      <c r="Q39" s="2031"/>
      <c r="R39" s="2031"/>
      <c r="S39" s="2031"/>
      <c r="T39" s="2031"/>
      <c r="U39" s="2031"/>
      <c r="V39" s="2031"/>
      <c r="W39" s="2031"/>
      <c r="X39" s="2033">
        <f>SUM(P39:T39)</f>
        <v>0</v>
      </c>
      <c r="Y39" s="3341"/>
    </row>
    <row r="40" spans="1:26" s="729" customFormat="1" ht="12.95" hidden="1" customHeight="1">
      <c r="A40" s="3366"/>
      <c r="B40" s="1699" t="s">
        <v>30</v>
      </c>
      <c r="C40" s="3411"/>
      <c r="D40" s="2034">
        <f>D42+D43+D41</f>
        <v>0</v>
      </c>
      <c r="E40" s="2034">
        <f>E42+E43+E41</f>
        <v>0</v>
      </c>
      <c r="F40" s="2034">
        <f t="shared" ref="F40:O40" si="62">F42+F43+F41</f>
        <v>0</v>
      </c>
      <c r="G40" s="2034">
        <f t="shared" si="62"/>
        <v>0</v>
      </c>
      <c r="H40" s="2034">
        <f t="shared" si="62"/>
        <v>0</v>
      </c>
      <c r="I40" s="2034">
        <f t="shared" si="62"/>
        <v>0</v>
      </c>
      <c r="J40" s="2034">
        <f t="shared" si="62"/>
        <v>0</v>
      </c>
      <c r="K40" s="2034">
        <f t="shared" si="62"/>
        <v>0</v>
      </c>
      <c r="L40" s="1691">
        <f t="shared" si="62"/>
        <v>0</v>
      </c>
      <c r="M40" s="2023">
        <f t="shared" si="62"/>
        <v>0</v>
      </c>
      <c r="N40" s="2034">
        <f t="shared" si="62"/>
        <v>0</v>
      </c>
      <c r="O40" s="2034">
        <f t="shared" si="62"/>
        <v>0</v>
      </c>
      <c r="P40" s="2034"/>
      <c r="Q40" s="2034"/>
      <c r="R40" s="2034"/>
      <c r="S40" s="2034"/>
      <c r="T40" s="2034"/>
      <c r="U40" s="2034"/>
      <c r="V40" s="2034"/>
      <c r="W40" s="2034"/>
      <c r="X40" s="2048">
        <f>X42+X43+X41</f>
        <v>0</v>
      </c>
      <c r="Y40" s="3341"/>
    </row>
    <row r="41" spans="1:26" s="729" customFormat="1" ht="12.95" hidden="1" customHeight="1">
      <c r="A41" s="3366"/>
      <c r="B41" s="503" t="s">
        <v>24</v>
      </c>
      <c r="C41" s="3411"/>
      <c r="D41" s="2026">
        <f t="shared" ref="D41:D43" si="63">M41+O41+P41+Q41+R41+S41+T41</f>
        <v>0</v>
      </c>
      <c r="E41" s="2031"/>
      <c r="F41" s="2031"/>
      <c r="G41" s="2031"/>
      <c r="H41" s="2031"/>
      <c r="I41" s="2031"/>
      <c r="J41" s="1933">
        <v>0</v>
      </c>
      <c r="K41" s="1933">
        <v>0</v>
      </c>
      <c r="L41" s="1701"/>
      <c r="M41" s="2031">
        <f>E41+I41+J41+K41+L41+N41</f>
        <v>0</v>
      </c>
      <c r="N41" s="1931"/>
      <c r="O41" s="2216">
        <v>0</v>
      </c>
      <c r="P41" s="2023"/>
      <c r="Q41" s="2034"/>
      <c r="R41" s="2034"/>
      <c r="S41" s="2034"/>
      <c r="T41" s="2034"/>
      <c r="U41" s="2034"/>
      <c r="V41" s="2034"/>
      <c r="W41" s="2034"/>
      <c r="X41" s="2033">
        <f>SUM(P41:T41)</f>
        <v>0</v>
      </c>
      <c r="Y41" s="3341"/>
    </row>
    <row r="42" spans="1:26" s="729" customFormat="1" ht="12.95" hidden="1" customHeight="1">
      <c r="A42" s="3366"/>
      <c r="B42" s="503" t="s">
        <v>33</v>
      </c>
      <c r="C42" s="3411"/>
      <c r="D42" s="2026">
        <f t="shared" si="63"/>
        <v>0</v>
      </c>
      <c r="E42" s="2050">
        <v>0</v>
      </c>
      <c r="F42" s="2050"/>
      <c r="G42" s="2050"/>
      <c r="H42" s="2050"/>
      <c r="I42" s="2031">
        <v>0</v>
      </c>
      <c r="J42" s="1548"/>
      <c r="K42" s="1548"/>
      <c r="L42" s="2037"/>
      <c r="M42" s="2031">
        <f>E42+I42+J42+K42+L42+N42</f>
        <v>0</v>
      </c>
      <c r="N42" s="1548"/>
      <c r="O42" s="1548"/>
      <c r="P42" s="2023"/>
      <c r="Q42" s="2023"/>
      <c r="R42" s="2023"/>
      <c r="S42" s="2023"/>
      <c r="T42" s="2023"/>
      <c r="U42" s="2023"/>
      <c r="V42" s="2023"/>
      <c r="W42" s="2023"/>
      <c r="X42" s="2033">
        <f>SUM(P42:T42)</f>
        <v>0</v>
      </c>
      <c r="Y42" s="3341"/>
    </row>
    <row r="43" spans="1:26" s="729" customFormat="1" ht="12.95" hidden="1" customHeight="1">
      <c r="A43" s="3366"/>
      <c r="B43" s="503" t="s">
        <v>26</v>
      </c>
      <c r="C43" s="3411"/>
      <c r="D43" s="2026">
        <f t="shared" si="63"/>
        <v>0</v>
      </c>
      <c r="E43" s="2031"/>
      <c r="F43" s="2031"/>
      <c r="G43" s="2031"/>
      <c r="H43" s="2031"/>
      <c r="I43" s="2031"/>
      <c r="J43" s="2031">
        <v>0</v>
      </c>
      <c r="K43" s="2031">
        <v>0</v>
      </c>
      <c r="L43" s="2049">
        <v>0</v>
      </c>
      <c r="M43" s="2031">
        <f>E43+I43+J43+K43+L43+N43</f>
        <v>0</v>
      </c>
      <c r="N43" s="2031">
        <v>0</v>
      </c>
      <c r="O43" s="2031">
        <v>0</v>
      </c>
      <c r="P43" s="2031"/>
      <c r="Q43" s="2031"/>
      <c r="R43" s="2031"/>
      <c r="S43" s="2031"/>
      <c r="T43" s="2031"/>
      <c r="U43" s="2031"/>
      <c r="V43" s="2031"/>
      <c r="W43" s="2031"/>
      <c r="X43" s="2033">
        <f>SUM(P43:T43)</f>
        <v>0</v>
      </c>
      <c r="Y43" s="3341"/>
      <c r="Z43" s="1584"/>
    </row>
    <row r="44" spans="1:26" s="729" customFormat="1" ht="12.95" hidden="1" customHeight="1">
      <c r="A44" s="3366"/>
      <c r="B44" s="505" t="s">
        <v>34</v>
      </c>
      <c r="C44" s="2017"/>
      <c r="D44" s="2021">
        <f>+D45+D49</f>
        <v>0</v>
      </c>
      <c r="E44" s="2021">
        <f>+E45+E49</f>
        <v>0</v>
      </c>
      <c r="F44" s="2021"/>
      <c r="G44" s="2021"/>
      <c r="H44" s="2021">
        <f t="shared" ref="H44:O44" si="64">+H45+H49</f>
        <v>0</v>
      </c>
      <c r="I44" s="2021">
        <f t="shared" si="64"/>
        <v>0</v>
      </c>
      <c r="J44" s="2021">
        <f t="shared" si="64"/>
        <v>0</v>
      </c>
      <c r="K44" s="2021">
        <f t="shared" si="64"/>
        <v>0</v>
      </c>
      <c r="L44" s="1688">
        <f t="shared" si="64"/>
        <v>0</v>
      </c>
      <c r="M44" s="2021">
        <f t="shared" ref="M44" si="65">+M45+M49</f>
        <v>0</v>
      </c>
      <c r="N44" s="2021">
        <f t="shared" si="64"/>
        <v>0</v>
      </c>
      <c r="O44" s="2021">
        <f t="shared" si="64"/>
        <v>0</v>
      </c>
      <c r="P44" s="2021"/>
      <c r="Q44" s="2021"/>
      <c r="R44" s="2021"/>
      <c r="S44" s="2021"/>
      <c r="T44" s="2021"/>
      <c r="U44" s="2021"/>
      <c r="V44" s="2021"/>
      <c r="W44" s="2021"/>
      <c r="X44" s="3359" t="s">
        <v>77</v>
      </c>
      <c r="Y44" s="3341"/>
    </row>
    <row r="45" spans="1:26" s="729" customFormat="1" ht="12.95" hidden="1" customHeight="1">
      <c r="A45" s="3366"/>
      <c r="B45" s="1690" t="s">
        <v>23</v>
      </c>
      <c r="C45" s="3411"/>
      <c r="D45" s="2023">
        <f>D46+D47+D48</f>
        <v>0</v>
      </c>
      <c r="E45" s="2023">
        <f t="shared" ref="E45:O45" si="66">E46+E47+E48</f>
        <v>0</v>
      </c>
      <c r="F45" s="2023">
        <f t="shared" si="66"/>
        <v>0</v>
      </c>
      <c r="G45" s="2023">
        <f t="shared" si="66"/>
        <v>0</v>
      </c>
      <c r="H45" s="2023">
        <f t="shared" si="66"/>
        <v>0</v>
      </c>
      <c r="I45" s="2023">
        <f t="shared" si="66"/>
        <v>0</v>
      </c>
      <c r="J45" s="2023">
        <f t="shared" si="66"/>
        <v>0</v>
      </c>
      <c r="K45" s="2023">
        <f t="shared" si="66"/>
        <v>0</v>
      </c>
      <c r="L45" s="2025">
        <f t="shared" si="66"/>
        <v>0</v>
      </c>
      <c r="M45" s="2023">
        <f t="shared" ref="M45" si="67">M46+M47+M48</f>
        <v>0</v>
      </c>
      <c r="N45" s="2023">
        <f t="shared" si="66"/>
        <v>0</v>
      </c>
      <c r="O45" s="2023">
        <f t="shared" si="66"/>
        <v>0</v>
      </c>
      <c r="P45" s="2023"/>
      <c r="Q45" s="2023"/>
      <c r="R45" s="2023"/>
      <c r="S45" s="2023"/>
      <c r="T45" s="2023"/>
      <c r="U45" s="2023"/>
      <c r="V45" s="2023"/>
      <c r="W45" s="2023"/>
      <c r="X45" s="3359"/>
      <c r="Y45" s="3341"/>
    </row>
    <row r="46" spans="1:26" s="729" customFormat="1" ht="12.95" hidden="1" customHeight="1">
      <c r="A46" s="3366"/>
      <c r="B46" s="1697" t="s">
        <v>25</v>
      </c>
      <c r="C46" s="3411"/>
      <c r="D46" s="2026">
        <f t="shared" ref="D46:D48" si="68">M46+O46+P46+Q46+R46+S46+T46</f>
        <v>0</v>
      </c>
      <c r="E46" s="1933">
        <v>0</v>
      </c>
      <c r="F46" s="1933"/>
      <c r="G46" s="1933"/>
      <c r="H46" s="1933"/>
      <c r="I46" s="1550">
        <v>0</v>
      </c>
      <c r="J46" s="2031"/>
      <c r="K46" s="1548"/>
      <c r="L46" s="2049"/>
      <c r="M46" s="2031">
        <f>E46+I46+J46+K46+L46+N46</f>
        <v>0</v>
      </c>
      <c r="N46" s="1548"/>
      <c r="O46" s="1548"/>
      <c r="P46" s="2023"/>
      <c r="Q46" s="2023"/>
      <c r="R46" s="2023"/>
      <c r="S46" s="2023"/>
      <c r="T46" s="2023"/>
      <c r="U46" s="2023"/>
      <c r="V46" s="2023"/>
      <c r="W46" s="2023"/>
      <c r="X46" s="3359"/>
      <c r="Y46" s="3341"/>
    </row>
    <row r="47" spans="1:26" s="729" customFormat="1" ht="12.95" hidden="1" customHeight="1">
      <c r="A47" s="3366"/>
      <c r="B47" s="503" t="s">
        <v>26</v>
      </c>
      <c r="C47" s="3411"/>
      <c r="D47" s="2026">
        <f t="shared" si="68"/>
        <v>0</v>
      </c>
      <c r="E47" s="2050"/>
      <c r="F47" s="2050"/>
      <c r="G47" s="2050"/>
      <c r="H47" s="2050"/>
      <c r="I47" s="2031"/>
      <c r="J47" s="2031">
        <v>0</v>
      </c>
      <c r="K47" s="2031">
        <v>0</v>
      </c>
      <c r="L47" s="2049">
        <v>0</v>
      </c>
      <c r="M47" s="2031"/>
      <c r="N47" s="2031">
        <v>0</v>
      </c>
      <c r="O47" s="2031">
        <v>0</v>
      </c>
      <c r="P47" s="2031"/>
      <c r="Q47" s="2031"/>
      <c r="R47" s="2031"/>
      <c r="S47" s="2031"/>
      <c r="T47" s="2031"/>
      <c r="U47" s="2031"/>
      <c r="V47" s="2031"/>
      <c r="W47" s="2031"/>
      <c r="X47" s="3359"/>
      <c r="Y47" s="3341"/>
    </row>
    <row r="48" spans="1:26" s="729" customFormat="1" ht="12.75" hidden="1" customHeight="1">
      <c r="A48" s="3366"/>
      <c r="B48" s="503" t="s">
        <v>37</v>
      </c>
      <c r="C48" s="3411"/>
      <c r="D48" s="2026">
        <f t="shared" si="68"/>
        <v>0</v>
      </c>
      <c r="E48" s="2050">
        <v>0</v>
      </c>
      <c r="F48" s="2050"/>
      <c r="G48" s="2050"/>
      <c r="H48" s="2050"/>
      <c r="I48" s="2031">
        <v>0</v>
      </c>
      <c r="J48" s="2031">
        <v>0</v>
      </c>
      <c r="K48" s="2031"/>
      <c r="L48" s="2049">
        <v>0</v>
      </c>
      <c r="M48" s="2031">
        <f>E48+I48+J48+K48+L48+N48</f>
        <v>0</v>
      </c>
      <c r="N48" s="2031">
        <v>0</v>
      </c>
      <c r="O48" s="2031"/>
      <c r="P48" s="2031"/>
      <c r="Q48" s="2031"/>
      <c r="R48" s="2031"/>
      <c r="S48" s="2031"/>
      <c r="T48" s="2031"/>
      <c r="U48" s="2031"/>
      <c r="V48" s="2031"/>
      <c r="W48" s="2031"/>
      <c r="X48" s="3359"/>
      <c r="Y48" s="3341"/>
    </row>
    <row r="49" spans="1:25" s="729" customFormat="1" ht="12.75" hidden="1" customHeight="1">
      <c r="A49" s="3366"/>
      <c r="B49" s="1699" t="s">
        <v>30</v>
      </c>
      <c r="C49" s="3411"/>
      <c r="D49" s="2023">
        <f>D50+D51+D52</f>
        <v>0</v>
      </c>
      <c r="E49" s="2023">
        <f t="shared" ref="E49:O49" si="69">E50+E51+E52</f>
        <v>0</v>
      </c>
      <c r="F49" s="2023">
        <f t="shared" si="69"/>
        <v>0</v>
      </c>
      <c r="G49" s="2023">
        <f t="shared" si="69"/>
        <v>0</v>
      </c>
      <c r="H49" s="2023">
        <f t="shared" si="69"/>
        <v>0</v>
      </c>
      <c r="I49" s="2023">
        <f t="shared" si="69"/>
        <v>0</v>
      </c>
      <c r="J49" s="2023">
        <f t="shared" si="69"/>
        <v>0</v>
      </c>
      <c r="K49" s="2023">
        <f t="shared" si="69"/>
        <v>0</v>
      </c>
      <c r="L49" s="2025">
        <f t="shared" si="69"/>
        <v>0</v>
      </c>
      <c r="M49" s="2023">
        <f t="shared" si="69"/>
        <v>0</v>
      </c>
      <c r="N49" s="2023">
        <f t="shared" si="69"/>
        <v>0</v>
      </c>
      <c r="O49" s="2023">
        <f t="shared" si="69"/>
        <v>0</v>
      </c>
      <c r="P49" s="2023"/>
      <c r="Q49" s="2023"/>
      <c r="R49" s="2023"/>
      <c r="S49" s="2023"/>
      <c r="T49" s="2023"/>
      <c r="U49" s="2023"/>
      <c r="V49" s="2023"/>
      <c r="W49" s="2023"/>
      <c r="X49" s="3359"/>
      <c r="Y49" s="3341"/>
    </row>
    <row r="50" spans="1:25" s="729" customFormat="1" ht="12.95" hidden="1" customHeight="1">
      <c r="A50" s="3366"/>
      <c r="B50" s="1697" t="s">
        <v>33</v>
      </c>
      <c r="C50" s="3411"/>
      <c r="D50" s="2026">
        <f t="shared" ref="D50:D52" si="70">M50+O50+P50+Q50+R50+S50+T50</f>
        <v>0</v>
      </c>
      <c r="E50" s="2034">
        <v>0</v>
      </c>
      <c r="F50" s="2034"/>
      <c r="G50" s="2034"/>
      <c r="H50" s="2034"/>
      <c r="I50" s="2023">
        <v>0</v>
      </c>
      <c r="J50" s="1548"/>
      <c r="K50" s="1548"/>
      <c r="L50" s="2037"/>
      <c r="M50" s="2031">
        <f>E50+I50+J50+K50+L50+N50</f>
        <v>0</v>
      </c>
      <c r="N50" s="1548"/>
      <c r="O50" s="1548"/>
      <c r="P50" s="2023"/>
      <c r="Q50" s="2023"/>
      <c r="R50" s="2023"/>
      <c r="S50" s="2023"/>
      <c r="T50" s="2023"/>
      <c r="U50" s="2023"/>
      <c r="V50" s="2023"/>
      <c r="W50" s="2023"/>
      <c r="X50" s="3359"/>
      <c r="Y50" s="3341"/>
    </row>
    <row r="51" spans="1:25" s="729" customFormat="1" ht="12.95" hidden="1" customHeight="1">
      <c r="A51" s="3366"/>
      <c r="B51" s="503" t="s">
        <v>26</v>
      </c>
      <c r="C51" s="3411"/>
      <c r="D51" s="2026">
        <f t="shared" si="70"/>
        <v>0</v>
      </c>
      <c r="E51" s="2050"/>
      <c r="F51" s="2050"/>
      <c r="G51" s="2050"/>
      <c r="H51" s="2050"/>
      <c r="I51" s="2031"/>
      <c r="J51" s="2031">
        <v>0</v>
      </c>
      <c r="K51" s="2031">
        <v>0</v>
      </c>
      <c r="L51" s="2031">
        <v>0</v>
      </c>
      <c r="M51" s="2031">
        <f>E51+I51+J51+K51+L51+N51</f>
        <v>0</v>
      </c>
      <c r="N51" s="2031">
        <v>0</v>
      </c>
      <c r="O51" s="2031">
        <v>0</v>
      </c>
      <c r="P51" s="2031"/>
      <c r="Q51" s="2031"/>
      <c r="R51" s="2031"/>
      <c r="S51" s="2031"/>
      <c r="T51" s="2031"/>
      <c r="U51" s="2031"/>
      <c r="V51" s="2031"/>
      <c r="W51" s="2031"/>
      <c r="X51" s="3359"/>
      <c r="Y51" s="3341"/>
    </row>
    <row r="52" spans="1:25" s="729" customFormat="1" ht="12.95" hidden="1" customHeight="1" thickBot="1">
      <c r="A52" s="3410"/>
      <c r="B52" s="2217" t="s">
        <v>32</v>
      </c>
      <c r="C52" s="3412"/>
      <c r="D52" s="2040">
        <f t="shared" si="70"/>
        <v>0</v>
      </c>
      <c r="E52" s="2051">
        <v>0</v>
      </c>
      <c r="F52" s="2051"/>
      <c r="G52" s="2051"/>
      <c r="H52" s="2051"/>
      <c r="I52" s="2052">
        <v>0</v>
      </c>
      <c r="J52" s="491">
        <v>0</v>
      </c>
      <c r="K52" s="491"/>
      <c r="L52" s="491">
        <v>0</v>
      </c>
      <c r="M52" s="2043">
        <f>E52+I52+J52+K52+L52+N52</f>
        <v>0</v>
      </c>
      <c r="N52" s="491">
        <v>0</v>
      </c>
      <c r="O52" s="491"/>
      <c r="P52" s="2052"/>
      <c r="Q52" s="2052"/>
      <c r="R52" s="2052"/>
      <c r="S52" s="2052"/>
      <c r="T52" s="2052"/>
      <c r="U52" s="2052"/>
      <c r="V52" s="2052"/>
      <c r="W52" s="2052"/>
      <c r="X52" s="2682"/>
      <c r="Y52" s="3370"/>
    </row>
    <row r="53" spans="1:25" s="729" customFormat="1" ht="24" hidden="1">
      <c r="A53" s="3366" t="s">
        <v>80</v>
      </c>
      <c r="B53" s="2009"/>
      <c r="C53" s="2046" t="s">
        <v>98</v>
      </c>
      <c r="D53" s="2046"/>
      <c r="E53" s="522"/>
      <c r="F53" s="522"/>
      <c r="G53" s="522"/>
      <c r="H53" s="522"/>
      <c r="I53" s="523"/>
      <c r="J53" s="523"/>
      <c r="K53" s="523"/>
      <c r="L53" s="523"/>
      <c r="M53" s="523"/>
      <c r="N53" s="523"/>
      <c r="O53" s="523"/>
      <c r="P53" s="523"/>
      <c r="Q53" s="523"/>
      <c r="R53" s="523"/>
      <c r="S53" s="523"/>
      <c r="T53" s="523"/>
      <c r="U53" s="523"/>
      <c r="V53" s="523"/>
      <c r="W53" s="523"/>
      <c r="X53" s="2013"/>
      <c r="Y53" s="3341" t="s">
        <v>209</v>
      </c>
    </row>
    <row r="54" spans="1:25" s="729" customFormat="1" ht="12.95" hidden="1" customHeight="1">
      <c r="A54" s="3366"/>
      <c r="B54" s="505" t="s">
        <v>22</v>
      </c>
      <c r="C54" s="1686"/>
      <c r="D54" s="1707">
        <f>+D55+D58</f>
        <v>0</v>
      </c>
      <c r="E54" s="1687">
        <f>+E55+E58</f>
        <v>0</v>
      </c>
      <c r="F54" s="1687"/>
      <c r="G54" s="1687"/>
      <c r="H54" s="1687">
        <f t="shared" ref="H54:O54" si="71">+H55+H58</f>
        <v>0</v>
      </c>
      <c r="I54" s="1708">
        <f t="shared" si="71"/>
        <v>0</v>
      </c>
      <c r="J54" s="1708">
        <f t="shared" si="71"/>
        <v>0</v>
      </c>
      <c r="K54" s="1687">
        <f t="shared" si="71"/>
        <v>0</v>
      </c>
      <c r="L54" s="1709">
        <f t="shared" si="71"/>
        <v>0</v>
      </c>
      <c r="M54" s="1687">
        <f>+M55+M58</f>
        <v>0</v>
      </c>
      <c r="N54" s="1708">
        <f t="shared" si="71"/>
        <v>0</v>
      </c>
      <c r="O54" s="1708">
        <f t="shared" si="71"/>
        <v>0</v>
      </c>
      <c r="P54" s="1687"/>
      <c r="Q54" s="1687"/>
      <c r="R54" s="1687"/>
      <c r="S54" s="1687"/>
      <c r="T54" s="1687"/>
      <c r="U54" s="1687"/>
      <c r="V54" s="1687"/>
      <c r="W54" s="1687"/>
      <c r="X54" s="1710">
        <f>+X55+X58</f>
        <v>0</v>
      </c>
      <c r="Y54" s="3341"/>
    </row>
    <row r="55" spans="1:25" s="729" customFormat="1" ht="12.95" hidden="1" customHeight="1">
      <c r="A55" s="3366"/>
      <c r="B55" s="1690" t="s">
        <v>23</v>
      </c>
      <c r="C55" s="3356" t="s">
        <v>210</v>
      </c>
      <c r="D55" s="1700">
        <f>+D56+D57</f>
        <v>0</v>
      </c>
      <c r="E55" s="1700">
        <f t="shared" ref="E55:J55" si="72">+E56+E57</f>
        <v>0</v>
      </c>
      <c r="F55" s="1700">
        <f t="shared" si="72"/>
        <v>0</v>
      </c>
      <c r="G55" s="1700">
        <f t="shared" si="72"/>
        <v>0</v>
      </c>
      <c r="H55" s="1700">
        <f t="shared" si="72"/>
        <v>0</v>
      </c>
      <c r="I55" s="1711">
        <f t="shared" si="72"/>
        <v>0</v>
      </c>
      <c r="J55" s="1711">
        <f t="shared" si="72"/>
        <v>0</v>
      </c>
      <c r="K55" s="1700">
        <f>+K56</f>
        <v>0</v>
      </c>
      <c r="L55" s="1711">
        <f>+L56</f>
        <v>0</v>
      </c>
      <c r="M55" s="1700">
        <f>+M56+M57</f>
        <v>0</v>
      </c>
      <c r="N55" s="1711">
        <f>+N56</f>
        <v>0</v>
      </c>
      <c r="O55" s="1711">
        <f>+O56</f>
        <v>0</v>
      </c>
      <c r="P55" s="1700"/>
      <c r="Q55" s="1700"/>
      <c r="R55" s="1700"/>
      <c r="S55" s="1700"/>
      <c r="T55" s="1700"/>
      <c r="U55" s="1700"/>
      <c r="V55" s="1700"/>
      <c r="W55" s="1700"/>
      <c r="X55" s="1712">
        <f>+X56</f>
        <v>0</v>
      </c>
      <c r="Y55" s="3341"/>
    </row>
    <row r="56" spans="1:25" s="729" customFormat="1" ht="11.25" hidden="1" customHeight="1">
      <c r="A56" s="3366"/>
      <c r="B56" s="1697" t="s">
        <v>25</v>
      </c>
      <c r="C56" s="3356"/>
      <c r="D56" s="1408">
        <f t="shared" ref="D56:D57" si="73">M56+O56+P56+Q56+R56+S56+T56</f>
        <v>0</v>
      </c>
      <c r="E56" s="1694">
        <v>0</v>
      </c>
      <c r="F56" s="1694"/>
      <c r="G56" s="1694"/>
      <c r="H56" s="1694"/>
      <c r="I56" s="1713">
        <v>0</v>
      </c>
      <c r="J56" s="1713">
        <v>0</v>
      </c>
      <c r="K56" s="1694"/>
      <c r="L56" s="1713">
        <v>0</v>
      </c>
      <c r="M56" s="1694">
        <f>E56+I56+J56+K56+L56+N56</f>
        <v>0</v>
      </c>
      <c r="N56" s="1713">
        <v>0</v>
      </c>
      <c r="O56" s="1713">
        <v>0</v>
      </c>
      <c r="P56" s="1694"/>
      <c r="Q56" s="1694"/>
      <c r="R56" s="1694"/>
      <c r="S56" s="1694"/>
      <c r="T56" s="1694"/>
      <c r="U56" s="1694"/>
      <c r="V56" s="1694"/>
      <c r="W56" s="1694"/>
      <c r="X56" s="1714">
        <f>SUM(P56:W56)</f>
        <v>0</v>
      </c>
      <c r="Y56" s="3341"/>
    </row>
    <row r="57" spans="1:25" s="729" customFormat="1" ht="12.95" hidden="1" customHeight="1">
      <c r="A57" s="3366"/>
      <c r="B57" s="503" t="s">
        <v>26</v>
      </c>
      <c r="C57" s="3356"/>
      <c r="D57" s="1408">
        <f t="shared" si="73"/>
        <v>0</v>
      </c>
      <c r="E57" s="1698"/>
      <c r="F57" s="1698"/>
      <c r="G57" s="1698"/>
      <c r="H57" s="1698"/>
      <c r="I57" s="1715">
        <v>0</v>
      </c>
      <c r="J57" s="1715">
        <v>0</v>
      </c>
      <c r="K57" s="1698">
        <v>0</v>
      </c>
      <c r="L57" s="1715">
        <v>0</v>
      </c>
      <c r="M57" s="1694">
        <f>E57+I57+J57+K57+L57+N57</f>
        <v>0</v>
      </c>
      <c r="N57" s="1715">
        <v>0</v>
      </c>
      <c r="O57" s="1715">
        <v>0</v>
      </c>
      <c r="P57" s="1698"/>
      <c r="Q57" s="1698"/>
      <c r="R57" s="1698"/>
      <c r="S57" s="1698"/>
      <c r="T57" s="1698"/>
      <c r="U57" s="1698"/>
      <c r="V57" s="1698"/>
      <c r="W57" s="1698"/>
      <c r="X57" s="1714">
        <f>SUM(P57:W57)</f>
        <v>0</v>
      </c>
      <c r="Y57" s="3341"/>
    </row>
    <row r="58" spans="1:25" s="729" customFormat="1" ht="12" hidden="1" customHeight="1">
      <c r="A58" s="3366"/>
      <c r="B58" s="1699" t="s">
        <v>30</v>
      </c>
      <c r="C58" s="3356"/>
      <c r="D58" s="1700">
        <f t="shared" ref="D58:I58" si="74">D59+D60</f>
        <v>0</v>
      </c>
      <c r="E58" s="1700">
        <f t="shared" si="74"/>
        <v>0</v>
      </c>
      <c r="F58" s="1700">
        <f t="shared" si="74"/>
        <v>0</v>
      </c>
      <c r="G58" s="1700">
        <f t="shared" si="74"/>
        <v>0</v>
      </c>
      <c r="H58" s="1700">
        <f t="shared" si="74"/>
        <v>0</v>
      </c>
      <c r="I58" s="1711">
        <f t="shared" si="74"/>
        <v>0</v>
      </c>
      <c r="J58" s="1711">
        <f t="shared" ref="J58:O58" si="75">J59</f>
        <v>0</v>
      </c>
      <c r="K58" s="1700">
        <f>K59+K60</f>
        <v>0</v>
      </c>
      <c r="L58" s="1711">
        <f t="shared" si="75"/>
        <v>0</v>
      </c>
      <c r="M58" s="1700">
        <f>M59+M60</f>
        <v>0</v>
      </c>
      <c r="N58" s="1711">
        <f t="shared" si="75"/>
        <v>0</v>
      </c>
      <c r="O58" s="1711">
        <f t="shared" si="75"/>
        <v>0</v>
      </c>
      <c r="P58" s="1700"/>
      <c r="Q58" s="1700"/>
      <c r="R58" s="1700"/>
      <c r="S58" s="1700"/>
      <c r="T58" s="1700"/>
      <c r="U58" s="1700"/>
      <c r="V58" s="1700"/>
      <c r="W58" s="1700"/>
      <c r="X58" s="1712">
        <f>X59</f>
        <v>0</v>
      </c>
      <c r="Y58" s="3341"/>
    </row>
    <row r="59" spans="1:25" s="729" customFormat="1" ht="12.95" hidden="1" customHeight="1">
      <c r="A59" s="3366"/>
      <c r="B59" s="503" t="s">
        <v>33</v>
      </c>
      <c r="C59" s="3356"/>
      <c r="D59" s="1408">
        <f t="shared" ref="D59:D60" si="76">M59+O59+P59+Q59+R59+S59+T59</f>
        <v>0</v>
      </c>
      <c r="E59" s="1700"/>
      <c r="F59" s="1700"/>
      <c r="G59" s="1700"/>
      <c r="H59" s="1700"/>
      <c r="I59" s="1716">
        <v>0</v>
      </c>
      <c r="J59" s="1717">
        <v>0</v>
      </c>
      <c r="K59" s="1259"/>
      <c r="L59" s="1718">
        <v>0</v>
      </c>
      <c r="M59" s="1694">
        <f>E59+I59+J59+K59+L59+N59</f>
        <v>0</v>
      </c>
      <c r="N59" s="1717">
        <v>0</v>
      </c>
      <c r="O59" s="1717">
        <v>0</v>
      </c>
      <c r="P59" s="1692"/>
      <c r="Q59" s="1692"/>
      <c r="R59" s="1692"/>
      <c r="S59" s="1692"/>
      <c r="T59" s="1692"/>
      <c r="U59" s="1692"/>
      <c r="V59" s="1692"/>
      <c r="W59" s="1692"/>
      <c r="X59" s="1714">
        <f>SUM(P59:W59)</f>
        <v>0</v>
      </c>
      <c r="Y59" s="3341"/>
    </row>
    <row r="60" spans="1:25" s="729" customFormat="1" ht="12.95" hidden="1" customHeight="1">
      <c r="A60" s="3366"/>
      <c r="B60" s="503" t="s">
        <v>26</v>
      </c>
      <c r="C60" s="2678"/>
      <c r="D60" s="1408">
        <f t="shared" si="76"/>
        <v>0</v>
      </c>
      <c r="E60" s="1702"/>
      <c r="F60" s="1700"/>
      <c r="G60" s="1700"/>
      <c r="H60" s="1700"/>
      <c r="I60" s="1716">
        <v>0</v>
      </c>
      <c r="J60" s="1717">
        <v>0</v>
      </c>
      <c r="K60" s="1259">
        <v>0</v>
      </c>
      <c r="L60" s="1719">
        <v>0</v>
      </c>
      <c r="M60" s="1694">
        <f>E60+I60+J60+K60+L60+N60</f>
        <v>0</v>
      </c>
      <c r="N60" s="1717">
        <v>0</v>
      </c>
      <c r="O60" s="1717"/>
      <c r="P60" s="1692"/>
      <c r="Q60" s="1692"/>
      <c r="R60" s="1692"/>
      <c r="S60" s="1692"/>
      <c r="T60" s="1692"/>
      <c r="U60" s="1692"/>
      <c r="V60" s="1692"/>
      <c r="W60" s="1692"/>
      <c r="X60" s="1714">
        <f>SUM(P60:W60)</f>
        <v>0</v>
      </c>
      <c r="Y60" s="3341"/>
    </row>
    <row r="61" spans="1:25" s="729" customFormat="1" ht="12.95" hidden="1" customHeight="1">
      <c r="A61" s="3366"/>
      <c r="B61" s="505" t="s">
        <v>34</v>
      </c>
      <c r="C61" s="1686"/>
      <c r="D61" s="1687">
        <f>+D62+D65</f>
        <v>0</v>
      </c>
      <c r="E61" s="1687">
        <f>+E62+E65</f>
        <v>0</v>
      </c>
      <c r="F61" s="1687">
        <f>+F62+F65</f>
        <v>0</v>
      </c>
      <c r="G61" s="1687">
        <f>+G62+G65</f>
        <v>0</v>
      </c>
      <c r="H61" s="1687">
        <f>+H62+H65</f>
        <v>0</v>
      </c>
      <c r="I61" s="1708">
        <f t="shared" ref="I61:O61" si="77">+I62+I65</f>
        <v>0</v>
      </c>
      <c r="J61" s="1708">
        <f t="shared" si="77"/>
        <v>0</v>
      </c>
      <c r="K61" s="1687">
        <f t="shared" si="77"/>
        <v>0</v>
      </c>
      <c r="L61" s="1709">
        <f t="shared" si="77"/>
        <v>0</v>
      </c>
      <c r="M61" s="1687">
        <f>+M62+M65</f>
        <v>0</v>
      </c>
      <c r="N61" s="1708">
        <f t="shared" si="77"/>
        <v>0</v>
      </c>
      <c r="O61" s="1708">
        <f t="shared" si="77"/>
        <v>0</v>
      </c>
      <c r="P61" s="1687"/>
      <c r="Q61" s="1687"/>
      <c r="R61" s="1687"/>
      <c r="S61" s="1687"/>
      <c r="T61" s="1687"/>
      <c r="U61" s="1687"/>
      <c r="V61" s="1687"/>
      <c r="W61" s="1687"/>
      <c r="X61" s="3376" t="s">
        <v>77</v>
      </c>
      <c r="Y61" s="3341"/>
    </row>
    <row r="62" spans="1:25" s="729" customFormat="1" ht="12.95" hidden="1" customHeight="1">
      <c r="A62" s="3366"/>
      <c r="B62" s="1690" t="s">
        <v>23</v>
      </c>
      <c r="C62" s="3356" t="s">
        <v>210</v>
      </c>
      <c r="D62" s="1692">
        <f>D63+D64</f>
        <v>0</v>
      </c>
      <c r="E62" s="1692">
        <f>E63+E64</f>
        <v>0</v>
      </c>
      <c r="F62" s="1692">
        <f t="shared" ref="F62:O62" si="78">F63</f>
        <v>0</v>
      </c>
      <c r="G62" s="1692">
        <f t="shared" si="78"/>
        <v>0</v>
      </c>
      <c r="H62" s="1692">
        <f>H68+H72</f>
        <v>0</v>
      </c>
      <c r="I62" s="1716">
        <f t="shared" si="78"/>
        <v>0</v>
      </c>
      <c r="J62" s="1716">
        <f t="shared" si="78"/>
        <v>0</v>
      </c>
      <c r="K62" s="1692">
        <f t="shared" si="78"/>
        <v>0</v>
      </c>
      <c r="L62" s="1720">
        <f t="shared" si="78"/>
        <v>0</v>
      </c>
      <c r="M62" s="1692">
        <f>M63+M64</f>
        <v>0</v>
      </c>
      <c r="N62" s="1716">
        <f t="shared" si="78"/>
        <v>0</v>
      </c>
      <c r="O62" s="1716">
        <f t="shared" si="78"/>
        <v>0</v>
      </c>
      <c r="P62" s="1692"/>
      <c r="Q62" s="1692"/>
      <c r="R62" s="1692"/>
      <c r="S62" s="1692"/>
      <c r="T62" s="1692"/>
      <c r="U62" s="1692"/>
      <c r="V62" s="1692"/>
      <c r="W62" s="1692"/>
      <c r="X62" s="3376"/>
      <c r="Y62" s="3341"/>
    </row>
    <row r="63" spans="1:25" s="729" customFormat="1" ht="12.95" hidden="1" customHeight="1">
      <c r="A63" s="3366"/>
      <c r="B63" s="1697" t="s">
        <v>25</v>
      </c>
      <c r="C63" s="3356"/>
      <c r="D63" s="1408">
        <f t="shared" ref="D63:D64" si="79">M63+O63+P63+Q63+R63+S63+T63</f>
        <v>0</v>
      </c>
      <c r="E63" s="1702">
        <v>0</v>
      </c>
      <c r="F63" s="1702"/>
      <c r="G63" s="1702"/>
      <c r="H63" s="1702"/>
      <c r="I63" s="1717">
        <v>0</v>
      </c>
      <c r="J63" s="1713">
        <v>0</v>
      </c>
      <c r="K63" s="1694"/>
      <c r="L63" s="1721">
        <v>0</v>
      </c>
      <c r="M63" s="1694">
        <f>E63+I63+J63+K63+L63+N63</f>
        <v>0</v>
      </c>
      <c r="N63" s="1717">
        <v>0</v>
      </c>
      <c r="O63" s="1717">
        <v>0</v>
      </c>
      <c r="P63" s="1692"/>
      <c r="Q63" s="1692"/>
      <c r="R63" s="1700"/>
      <c r="S63" s="1700"/>
      <c r="T63" s="1700"/>
      <c r="U63" s="1700"/>
      <c r="V63" s="1700"/>
      <c r="W63" s="1700"/>
      <c r="X63" s="3376"/>
      <c r="Y63" s="3341"/>
    </row>
    <row r="64" spans="1:25" s="729" customFormat="1" ht="11.25" hidden="1" customHeight="1">
      <c r="A64" s="3366"/>
      <c r="B64" s="503" t="s">
        <v>26</v>
      </c>
      <c r="C64" s="3356"/>
      <c r="D64" s="1408">
        <f t="shared" si="79"/>
        <v>0</v>
      </c>
      <c r="E64" s="1702"/>
      <c r="F64" s="1702"/>
      <c r="G64" s="1702"/>
      <c r="H64" s="1702"/>
      <c r="I64" s="1717">
        <v>0</v>
      </c>
      <c r="J64" s="1713">
        <v>0</v>
      </c>
      <c r="K64" s="1717">
        <v>0</v>
      </c>
      <c r="L64" s="1721">
        <v>0</v>
      </c>
      <c r="M64" s="1694">
        <f>E64+I64+J64+K64+L64+N64</f>
        <v>0</v>
      </c>
      <c r="N64" s="1717">
        <v>0</v>
      </c>
      <c r="O64" s="1717">
        <v>0</v>
      </c>
      <c r="P64" s="1692"/>
      <c r="Q64" s="1692"/>
      <c r="R64" s="1692"/>
      <c r="S64" s="1692"/>
      <c r="T64" s="1692"/>
      <c r="U64" s="1692"/>
      <c r="V64" s="1692"/>
      <c r="W64" s="1692"/>
      <c r="X64" s="3376"/>
      <c r="Y64" s="3341"/>
    </row>
    <row r="65" spans="1:25" s="729" customFormat="1" ht="12.95" hidden="1" customHeight="1">
      <c r="A65" s="3366"/>
      <c r="B65" s="1699" t="s">
        <v>30</v>
      </c>
      <c r="C65" s="3356"/>
      <c r="D65" s="1692">
        <f>D66+D67</f>
        <v>0</v>
      </c>
      <c r="E65" s="1692">
        <f>E66+E67</f>
        <v>0</v>
      </c>
      <c r="F65" s="1692">
        <f>F66+F67</f>
        <v>0</v>
      </c>
      <c r="G65" s="1692">
        <f>G66+G67</f>
        <v>0</v>
      </c>
      <c r="H65" s="1692">
        <f>H66+H67</f>
        <v>0</v>
      </c>
      <c r="I65" s="1716">
        <f t="shared" ref="I65:O65" si="80">I66</f>
        <v>0</v>
      </c>
      <c r="J65" s="1716">
        <f t="shared" si="80"/>
        <v>0</v>
      </c>
      <c r="K65" s="1692">
        <f t="shared" si="80"/>
        <v>0</v>
      </c>
      <c r="L65" s="1716">
        <f t="shared" si="80"/>
        <v>0</v>
      </c>
      <c r="M65" s="1692">
        <f>M66+M67</f>
        <v>0</v>
      </c>
      <c r="N65" s="1716">
        <f t="shared" si="80"/>
        <v>0</v>
      </c>
      <c r="O65" s="1716">
        <f t="shared" si="80"/>
        <v>0</v>
      </c>
      <c r="P65" s="1692"/>
      <c r="Q65" s="1692"/>
      <c r="R65" s="1692"/>
      <c r="S65" s="1692"/>
      <c r="T65" s="1692"/>
      <c r="U65" s="1692"/>
      <c r="V65" s="1692"/>
      <c r="W65" s="1692"/>
      <c r="X65" s="3376"/>
      <c r="Y65" s="3341"/>
    </row>
    <row r="66" spans="1:25" s="729" customFormat="1" hidden="1">
      <c r="A66" s="3366"/>
      <c r="B66" s="1697" t="s">
        <v>33</v>
      </c>
      <c r="C66" s="3356"/>
      <c r="D66" s="1408">
        <f t="shared" ref="D66:D67" si="81">M66+O66+P66+Q66+R66+S66+T66</f>
        <v>0</v>
      </c>
      <c r="E66" s="1702">
        <v>0</v>
      </c>
      <c r="F66" s="1702"/>
      <c r="G66" s="1702"/>
      <c r="H66" s="1702"/>
      <c r="I66" s="1717">
        <v>0</v>
      </c>
      <c r="J66" s="1717">
        <v>0</v>
      </c>
      <c r="K66" s="1259"/>
      <c r="L66" s="1717">
        <v>0</v>
      </c>
      <c r="M66" s="1694">
        <f>E66+I66+J66+K66+L66+N66</f>
        <v>0</v>
      </c>
      <c r="N66" s="1717">
        <v>0</v>
      </c>
      <c r="O66" s="1717">
        <v>0</v>
      </c>
      <c r="P66" s="1259"/>
      <c r="Q66" s="1259"/>
      <c r="R66" s="1259"/>
      <c r="S66" s="1259"/>
      <c r="T66" s="1259"/>
      <c r="U66" s="1259"/>
      <c r="V66" s="1259"/>
      <c r="W66" s="1259"/>
      <c r="X66" s="3376"/>
      <c r="Y66" s="3341"/>
    </row>
    <row r="67" spans="1:25" s="729" customFormat="1" ht="12.95" hidden="1" customHeight="1">
      <c r="A67" s="2677"/>
      <c r="B67" s="503" t="s">
        <v>26</v>
      </c>
      <c r="C67" s="1722"/>
      <c r="D67" s="1408">
        <f t="shared" si="81"/>
        <v>0</v>
      </c>
      <c r="E67" s="1702"/>
      <c r="F67" s="1702"/>
      <c r="G67" s="1702"/>
      <c r="H67" s="1702"/>
      <c r="I67" s="1717">
        <v>0</v>
      </c>
      <c r="J67" s="1717">
        <v>0</v>
      </c>
      <c r="K67" s="1259">
        <v>0</v>
      </c>
      <c r="L67" s="1717">
        <v>0</v>
      </c>
      <c r="M67" s="1694">
        <f>E67+I67+J67+K67+L67+N67</f>
        <v>0</v>
      </c>
      <c r="N67" s="1717">
        <v>0</v>
      </c>
      <c r="O67" s="1718">
        <v>0</v>
      </c>
      <c r="P67" s="1703"/>
      <c r="Q67" s="1703"/>
      <c r="R67" s="1703"/>
      <c r="S67" s="1703"/>
      <c r="T67" s="1703"/>
      <c r="U67" s="1703"/>
      <c r="V67" s="1703"/>
      <c r="W67" s="1703"/>
      <c r="X67" s="2679"/>
      <c r="Y67" s="3342"/>
    </row>
    <row r="68" spans="1:25" s="1588" customFormat="1" ht="32.25" customHeight="1">
      <c r="A68" s="3339" t="s">
        <v>79</v>
      </c>
      <c r="B68" s="1684" t="s">
        <v>211</v>
      </c>
      <c r="C68" s="2298" t="s">
        <v>98</v>
      </c>
      <c r="D68" s="2298"/>
      <c r="E68" s="2299"/>
      <c r="F68" s="2299"/>
      <c r="G68" s="2299"/>
      <c r="H68" s="2299"/>
      <c r="I68" s="2300"/>
      <c r="J68" s="2300"/>
      <c r="K68" s="2300"/>
      <c r="L68" s="2300"/>
      <c r="M68" s="2300"/>
      <c r="N68" s="2300"/>
      <c r="O68" s="2016"/>
      <c r="P68" s="2016"/>
      <c r="Q68" s="2016"/>
      <c r="R68" s="2016"/>
      <c r="S68" s="2016"/>
      <c r="T68" s="2016"/>
      <c r="U68" s="2016"/>
      <c r="V68" s="2016"/>
      <c r="W68" s="2016"/>
      <c r="X68" s="2301"/>
      <c r="Y68" s="3382" t="s">
        <v>593</v>
      </c>
    </row>
    <row r="69" spans="1:25" s="2313" customFormat="1" ht="15.75" customHeight="1">
      <c r="A69" s="3339"/>
      <c r="B69" s="505" t="s">
        <v>22</v>
      </c>
      <c r="C69" s="1686"/>
      <c r="D69" s="2302">
        <f t="shared" ref="D69:P69" si="82">+D70+D72</f>
        <v>15220421</v>
      </c>
      <c r="E69" s="2303">
        <f t="shared" si="82"/>
        <v>0</v>
      </c>
      <c r="F69" s="2303">
        <f t="shared" si="82"/>
        <v>0</v>
      </c>
      <c r="G69" s="2303">
        <f t="shared" si="82"/>
        <v>0</v>
      </c>
      <c r="H69" s="2303">
        <f t="shared" si="82"/>
        <v>0</v>
      </c>
      <c r="I69" s="2303">
        <f t="shared" si="82"/>
        <v>0</v>
      </c>
      <c r="J69" s="2304">
        <f t="shared" si="82"/>
        <v>629249</v>
      </c>
      <c r="K69" s="2304">
        <f t="shared" si="82"/>
        <v>5656222</v>
      </c>
      <c r="L69" s="1728">
        <f t="shared" si="82"/>
        <v>2983150</v>
      </c>
      <c r="M69" s="2304">
        <f t="shared" ref="M69" si="83">+M70+M72</f>
        <v>11755762</v>
      </c>
      <c r="N69" s="2304">
        <f t="shared" si="82"/>
        <v>2487141</v>
      </c>
      <c r="O69" s="2305">
        <f t="shared" si="82"/>
        <v>2210811</v>
      </c>
      <c r="P69" s="2305">
        <f t="shared" si="82"/>
        <v>1253848</v>
      </c>
      <c r="Q69" s="2305"/>
      <c r="R69" s="2305"/>
      <c r="S69" s="2305"/>
      <c r="T69" s="2305"/>
      <c r="U69" s="2305"/>
      <c r="V69" s="2305"/>
      <c r="W69" s="2305"/>
      <c r="X69" s="2306">
        <f>+X70+X72</f>
        <v>1253848</v>
      </c>
      <c r="Y69" s="3341"/>
    </row>
    <row r="70" spans="1:25" s="2313" customFormat="1" ht="12.75" customHeight="1">
      <c r="A70" s="3339"/>
      <c r="B70" s="2314" t="s">
        <v>23</v>
      </c>
      <c r="C70" s="3383" t="s">
        <v>213</v>
      </c>
      <c r="D70" s="2307">
        <f>D71</f>
        <v>7209673</v>
      </c>
      <c r="E70" s="2308">
        <f t="shared" ref="E70:N70" si="84">E71</f>
        <v>0</v>
      </c>
      <c r="F70" s="2308">
        <f t="shared" si="84"/>
        <v>0</v>
      </c>
      <c r="G70" s="2308">
        <f t="shared" si="84"/>
        <v>0</v>
      </c>
      <c r="H70" s="2308">
        <f t="shared" si="84"/>
        <v>0</v>
      </c>
      <c r="I70" s="2308">
        <f t="shared" si="84"/>
        <v>0</v>
      </c>
      <c r="J70" s="2308">
        <f t="shared" si="84"/>
        <v>0</v>
      </c>
      <c r="K70" s="2307">
        <f t="shared" si="84"/>
        <v>3801777</v>
      </c>
      <c r="L70" s="2025">
        <f t="shared" si="84"/>
        <v>2588068</v>
      </c>
      <c r="M70" s="2307">
        <f t="shared" si="84"/>
        <v>6389845</v>
      </c>
      <c r="N70" s="2307">
        <f t="shared" si="84"/>
        <v>0</v>
      </c>
      <c r="O70" s="2307">
        <f>O71</f>
        <v>303250</v>
      </c>
      <c r="P70" s="2307">
        <f>P71</f>
        <v>516578</v>
      </c>
      <c r="Q70" s="2307"/>
      <c r="R70" s="2307"/>
      <c r="S70" s="2307"/>
      <c r="T70" s="2307"/>
      <c r="U70" s="2307"/>
      <c r="V70" s="2307"/>
      <c r="W70" s="2307"/>
      <c r="X70" s="2309">
        <f>X71</f>
        <v>516578</v>
      </c>
      <c r="Y70" s="3341"/>
    </row>
    <row r="71" spans="1:25" s="2313" customFormat="1" ht="12.75" customHeight="1">
      <c r="A71" s="3339"/>
      <c r="B71" s="2315" t="s">
        <v>78</v>
      </c>
      <c r="C71" s="3384"/>
      <c r="D71" s="2316">
        <f>M71+O71+P71+Q71+R71+S71+T71</f>
        <v>7209673</v>
      </c>
      <c r="E71" s="2317">
        <v>0</v>
      </c>
      <c r="F71" s="2317"/>
      <c r="G71" s="2317"/>
      <c r="H71" s="2317"/>
      <c r="I71" s="2318">
        <v>0</v>
      </c>
      <c r="J71" s="2318">
        <v>0</v>
      </c>
      <c r="K71" s="2319">
        <f>2852777+949000</f>
        <v>3801777</v>
      </c>
      <c r="L71" s="2320">
        <f>3556234-855353-112812-1</f>
        <v>2588068</v>
      </c>
      <c r="M71" s="2319">
        <f>E71+I71+J71+K71+L71+N71</f>
        <v>6389845</v>
      </c>
      <c r="N71" s="2319">
        <f>202176+69754+112812-384742</f>
        <v>0</v>
      </c>
      <c r="O71" s="2319">
        <f>372688-2013-67425</f>
        <v>303250</v>
      </c>
      <c r="P71" s="2319">
        <f>225798-161388+1+384742+67425</f>
        <v>516578</v>
      </c>
      <c r="Q71" s="2319"/>
      <c r="R71" s="2319"/>
      <c r="S71" s="2319"/>
      <c r="T71" s="2319"/>
      <c r="U71" s="2319"/>
      <c r="V71" s="2319"/>
      <c r="W71" s="2319"/>
      <c r="X71" s="2321">
        <f>SUM(P71:T71)</f>
        <v>516578</v>
      </c>
      <c r="Y71" s="3341"/>
    </row>
    <row r="72" spans="1:25" s="2313" customFormat="1" ht="12.75" customHeight="1">
      <c r="A72" s="3339"/>
      <c r="B72" s="1699" t="s">
        <v>30</v>
      </c>
      <c r="C72" s="3384"/>
      <c r="D72" s="2310">
        <f>D73</f>
        <v>8010748</v>
      </c>
      <c r="E72" s="2311">
        <f t="shared" ref="E72:P72" si="85">E73</f>
        <v>0</v>
      </c>
      <c r="F72" s="2311">
        <f t="shared" si="85"/>
        <v>0</v>
      </c>
      <c r="G72" s="2311">
        <f t="shared" si="85"/>
        <v>0</v>
      </c>
      <c r="H72" s="2311">
        <f t="shared" si="85"/>
        <v>0</v>
      </c>
      <c r="I72" s="2311">
        <f t="shared" si="85"/>
        <v>0</v>
      </c>
      <c r="J72" s="2310">
        <f t="shared" si="85"/>
        <v>629249</v>
      </c>
      <c r="K72" s="2310">
        <f t="shared" si="85"/>
        <v>1854445</v>
      </c>
      <c r="L72" s="1691">
        <f t="shared" si="85"/>
        <v>395082</v>
      </c>
      <c r="M72" s="2307">
        <f t="shared" si="85"/>
        <v>5365917</v>
      </c>
      <c r="N72" s="2310">
        <f t="shared" si="85"/>
        <v>2487141</v>
      </c>
      <c r="O72" s="2310">
        <f t="shared" si="85"/>
        <v>1907561</v>
      </c>
      <c r="P72" s="2310">
        <f t="shared" si="85"/>
        <v>737270</v>
      </c>
      <c r="Q72" s="2310"/>
      <c r="R72" s="2310"/>
      <c r="S72" s="2310"/>
      <c r="T72" s="2310"/>
      <c r="U72" s="2310"/>
      <c r="V72" s="2310"/>
      <c r="W72" s="2310"/>
      <c r="X72" s="2309">
        <f>X73</f>
        <v>737270</v>
      </c>
      <c r="Y72" s="3341"/>
    </row>
    <row r="73" spans="1:25" s="2313" customFormat="1" ht="12.75" customHeight="1">
      <c r="A73" s="3339"/>
      <c r="B73" s="2315" t="s">
        <v>32</v>
      </c>
      <c r="C73" s="3384"/>
      <c r="D73" s="2316">
        <f>M73+O73+P73+Q73+R73+S73+T73</f>
        <v>8010748</v>
      </c>
      <c r="E73" s="2311">
        <v>0</v>
      </c>
      <c r="F73" s="2311"/>
      <c r="G73" s="2311"/>
      <c r="H73" s="2311"/>
      <c r="I73" s="2308">
        <v>0</v>
      </c>
      <c r="J73" s="2312">
        <f>631141-1892</f>
        <v>629249</v>
      </c>
      <c r="K73" s="2312">
        <f>1642504+253578-41637</f>
        <v>1854445</v>
      </c>
      <c r="L73" s="2037">
        <f>456822-39189-22551</f>
        <v>395082</v>
      </c>
      <c r="M73" s="2319">
        <f>E73+I73+J73+K73+L73+N73</f>
        <v>5365917</v>
      </c>
      <c r="N73" s="2312">
        <f>2650107-16771+41637-187832</f>
        <v>2487141</v>
      </c>
      <c r="O73" s="2037">
        <f>2274891-261371-105959</f>
        <v>1907561</v>
      </c>
      <c r="P73" s="2037">
        <f>357175+63753+22551+187832+105959</f>
        <v>737270</v>
      </c>
      <c r="Q73" s="2312"/>
      <c r="R73" s="2312"/>
      <c r="S73" s="2312"/>
      <c r="T73" s="2312"/>
      <c r="U73" s="2312"/>
      <c r="V73" s="2312"/>
      <c r="W73" s="2312"/>
      <c r="X73" s="2321">
        <f>SUM(P73:T73)</f>
        <v>737270</v>
      </c>
      <c r="Y73" s="3341"/>
    </row>
    <row r="74" spans="1:25" s="2313" customFormat="1" ht="15.75" customHeight="1">
      <c r="A74" s="3339"/>
      <c r="B74" s="505" t="s">
        <v>34</v>
      </c>
      <c r="C74" s="1686"/>
      <c r="D74" s="2302">
        <f t="shared" ref="D74:P74" si="86">+D75+D78</f>
        <v>15220421</v>
      </c>
      <c r="E74" s="2303">
        <f t="shared" si="86"/>
        <v>0</v>
      </c>
      <c r="F74" s="2303">
        <f t="shared" si="86"/>
        <v>0</v>
      </c>
      <c r="G74" s="2303">
        <f t="shared" si="86"/>
        <v>0</v>
      </c>
      <c r="H74" s="2303">
        <f t="shared" si="86"/>
        <v>0</v>
      </c>
      <c r="I74" s="2303">
        <f t="shared" si="86"/>
        <v>0</v>
      </c>
      <c r="J74" s="2304">
        <f t="shared" si="86"/>
        <v>3544011</v>
      </c>
      <c r="K74" s="2304">
        <f t="shared" si="86"/>
        <v>3801777</v>
      </c>
      <c r="L74" s="1728">
        <f t="shared" si="86"/>
        <v>5996862</v>
      </c>
      <c r="M74" s="2304">
        <f t="shared" ref="M74" si="87">+M75+M78</f>
        <v>13342650</v>
      </c>
      <c r="N74" s="2304">
        <f t="shared" si="86"/>
        <v>0</v>
      </c>
      <c r="O74" s="2305">
        <f t="shared" si="86"/>
        <v>303250</v>
      </c>
      <c r="P74" s="2305">
        <f t="shared" si="86"/>
        <v>516578</v>
      </c>
      <c r="Q74" s="2305">
        <f>+Q75+Q78</f>
        <v>1057943</v>
      </c>
      <c r="R74" s="2305"/>
      <c r="S74" s="2305"/>
      <c r="T74" s="2305"/>
      <c r="U74" s="2305"/>
      <c r="V74" s="2305"/>
      <c r="W74" s="2305"/>
      <c r="X74" s="3385" t="s">
        <v>77</v>
      </c>
      <c r="Y74" s="3341"/>
    </row>
    <row r="75" spans="1:25" s="2313" customFormat="1" ht="13.5" customHeight="1">
      <c r="A75" s="3339"/>
      <c r="B75" s="2314" t="s">
        <v>23</v>
      </c>
      <c r="C75" s="3383" t="s">
        <v>213</v>
      </c>
      <c r="D75" s="2307">
        <f>D76</f>
        <v>7209673</v>
      </c>
      <c r="E75" s="2308">
        <f t="shared" ref="E75:Q75" si="88">E76</f>
        <v>0</v>
      </c>
      <c r="F75" s="2308">
        <f t="shared" si="88"/>
        <v>0</v>
      </c>
      <c r="G75" s="2308">
        <f t="shared" si="88"/>
        <v>0</v>
      </c>
      <c r="H75" s="2308">
        <f t="shared" si="88"/>
        <v>0</v>
      </c>
      <c r="I75" s="2308">
        <f t="shared" si="88"/>
        <v>0</v>
      </c>
      <c r="J75" s="2308">
        <f t="shared" si="88"/>
        <v>0</v>
      </c>
      <c r="K75" s="2307">
        <f t="shared" si="88"/>
        <v>3801777</v>
      </c>
      <c r="L75" s="2025">
        <f t="shared" si="88"/>
        <v>2588068</v>
      </c>
      <c r="M75" s="2307">
        <f t="shared" si="88"/>
        <v>6389845</v>
      </c>
      <c r="N75" s="2307">
        <f t="shared" si="88"/>
        <v>0</v>
      </c>
      <c r="O75" s="2307">
        <f t="shared" si="88"/>
        <v>303250</v>
      </c>
      <c r="P75" s="2307">
        <f t="shared" si="88"/>
        <v>516578</v>
      </c>
      <c r="Q75" s="2307">
        <f t="shared" si="88"/>
        <v>0</v>
      </c>
      <c r="R75" s="2307"/>
      <c r="S75" s="2307"/>
      <c r="T75" s="2307"/>
      <c r="U75" s="2307"/>
      <c r="V75" s="2307"/>
      <c r="W75" s="2307"/>
      <c r="X75" s="3385"/>
      <c r="Y75" s="3341"/>
    </row>
    <row r="76" spans="1:25" s="2313" customFormat="1" ht="13.5" customHeight="1">
      <c r="A76" s="3339"/>
      <c r="B76" s="2315" t="s">
        <v>28</v>
      </c>
      <c r="C76" s="3384"/>
      <c r="D76" s="2316">
        <f>M76+O76+P76+Q76+R76+S76+T76</f>
        <v>7209673</v>
      </c>
      <c r="E76" s="2317">
        <v>0</v>
      </c>
      <c r="F76" s="2317"/>
      <c r="G76" s="2317"/>
      <c r="H76" s="2317"/>
      <c r="I76" s="2318">
        <v>0</v>
      </c>
      <c r="J76" s="2318">
        <v>0</v>
      </c>
      <c r="K76" s="2319">
        <f>2852777+949000</f>
        <v>3801777</v>
      </c>
      <c r="L76" s="2320">
        <f>3556234-855353-112812-1</f>
        <v>2588068</v>
      </c>
      <c r="M76" s="2319">
        <f>E76+I76+J76+K76+L76+N76</f>
        <v>6389845</v>
      </c>
      <c r="N76" s="2319">
        <f>202176+69754+112812-384742</f>
        <v>0</v>
      </c>
      <c r="O76" s="2319">
        <f>372688-2013-67425</f>
        <v>303250</v>
      </c>
      <c r="P76" s="2319">
        <f>225798-161388+1+384742+67425</f>
        <v>516578</v>
      </c>
      <c r="Q76" s="2319"/>
      <c r="R76" s="2319"/>
      <c r="S76" s="2319"/>
      <c r="T76" s="2319"/>
      <c r="U76" s="2319"/>
      <c r="V76" s="2319"/>
      <c r="W76" s="2319"/>
      <c r="X76" s="3385"/>
      <c r="Y76" s="3341"/>
    </row>
    <row r="77" spans="1:25" s="2313" customFormat="1" ht="13.5" customHeight="1">
      <c r="A77" s="3339"/>
      <c r="B77" s="1731" t="s">
        <v>30</v>
      </c>
      <c r="C77" s="3384"/>
      <c r="D77" s="2307">
        <f>D78</f>
        <v>8010748</v>
      </c>
      <c r="E77" s="2308">
        <f t="shared" ref="E77:Q77" si="89">E78</f>
        <v>0</v>
      </c>
      <c r="F77" s="2308">
        <f t="shared" si="89"/>
        <v>0</v>
      </c>
      <c r="G77" s="2308">
        <f t="shared" si="89"/>
        <v>0</v>
      </c>
      <c r="H77" s="2308">
        <f t="shared" si="89"/>
        <v>0</v>
      </c>
      <c r="I77" s="2308">
        <f t="shared" si="89"/>
        <v>0</v>
      </c>
      <c r="J77" s="2307">
        <f t="shared" si="89"/>
        <v>3544011</v>
      </c>
      <c r="K77" s="2307">
        <f t="shared" si="89"/>
        <v>0</v>
      </c>
      <c r="L77" s="2025">
        <f t="shared" si="89"/>
        <v>3408794</v>
      </c>
      <c r="M77" s="2307">
        <f t="shared" si="89"/>
        <v>6952805</v>
      </c>
      <c r="N77" s="2307">
        <f t="shared" si="89"/>
        <v>0</v>
      </c>
      <c r="O77" s="2307">
        <f t="shared" si="89"/>
        <v>0</v>
      </c>
      <c r="P77" s="2307">
        <f t="shared" si="89"/>
        <v>0</v>
      </c>
      <c r="Q77" s="2307">
        <f t="shared" si="89"/>
        <v>1057943</v>
      </c>
      <c r="R77" s="2307"/>
      <c r="S77" s="2307"/>
      <c r="T77" s="2307"/>
      <c r="U77" s="2307"/>
      <c r="V77" s="2307"/>
      <c r="W77" s="2307"/>
      <c r="X77" s="3385"/>
      <c r="Y77" s="3341"/>
    </row>
    <row r="78" spans="1:25" s="2313" customFormat="1" ht="13.5" customHeight="1" thickBot="1">
      <c r="A78" s="3353"/>
      <c r="B78" s="495" t="s">
        <v>32</v>
      </c>
      <c r="C78" s="3379"/>
      <c r="D78" s="2322">
        <f>M78+O78+P78+Q78+R78+S78+T78</f>
        <v>8010748</v>
      </c>
      <c r="E78" s="2323">
        <v>0</v>
      </c>
      <c r="F78" s="2323"/>
      <c r="G78" s="2323"/>
      <c r="H78" s="2323"/>
      <c r="I78" s="1041">
        <v>0</v>
      </c>
      <c r="J78" s="1040">
        <f>3204300+339711</f>
        <v>3544011</v>
      </c>
      <c r="K78" s="1040">
        <v>0</v>
      </c>
      <c r="L78" s="1040">
        <v>3408794</v>
      </c>
      <c r="M78" s="1040">
        <f>E78+I78+J78+K78+L78+N78</f>
        <v>6952805</v>
      </c>
      <c r="N78" s="1040">
        <f>2403223-2403223</f>
        <v>0</v>
      </c>
      <c r="O78" s="2324">
        <f>2063514-1005571-1057943</f>
        <v>0</v>
      </c>
      <c r="P78" s="2324">
        <v>0</v>
      </c>
      <c r="Q78" s="2324">
        <v>1057943</v>
      </c>
      <c r="R78" s="2324"/>
      <c r="S78" s="2324"/>
      <c r="T78" s="2324"/>
      <c r="U78" s="2324"/>
      <c r="V78" s="2324"/>
      <c r="W78" s="2324"/>
      <c r="X78" s="3381"/>
      <c r="Y78" s="3370"/>
    </row>
    <row r="79" spans="1:25" s="1588" customFormat="1" ht="40.5" customHeight="1">
      <c r="A79" s="3339" t="s">
        <v>80</v>
      </c>
      <c r="B79" s="1684" t="s">
        <v>214</v>
      </c>
      <c r="C79" s="2014" t="s">
        <v>98</v>
      </c>
      <c r="D79" s="2014"/>
      <c r="E79" s="2015"/>
      <c r="F79" s="2015"/>
      <c r="G79" s="2015"/>
      <c r="H79" s="2015"/>
      <c r="I79" s="1543"/>
      <c r="J79" s="1543"/>
      <c r="K79" s="1543"/>
      <c r="L79" s="1543"/>
      <c r="M79" s="1543"/>
      <c r="N79" s="1543"/>
      <c r="O79" s="2016"/>
      <c r="P79" s="2016"/>
      <c r="Q79" s="2016"/>
      <c r="R79" s="2016"/>
      <c r="S79" s="2016"/>
      <c r="T79" s="2016"/>
      <c r="U79" s="2016"/>
      <c r="V79" s="2016"/>
      <c r="W79" s="2016"/>
      <c r="X79" s="1542"/>
      <c r="Y79" s="3341" t="s">
        <v>593</v>
      </c>
    </row>
    <row r="80" spans="1:25" s="1588" customFormat="1" ht="14.25" customHeight="1">
      <c r="A80" s="3339"/>
      <c r="B80" s="505" t="s">
        <v>22</v>
      </c>
      <c r="C80" s="2017"/>
      <c r="D80" s="2018">
        <f t="shared" ref="D80:O80" si="90">+D81+D83</f>
        <v>19723223</v>
      </c>
      <c r="E80" s="2019">
        <f t="shared" si="90"/>
        <v>0</v>
      </c>
      <c r="F80" s="2019">
        <f t="shared" si="90"/>
        <v>0</v>
      </c>
      <c r="G80" s="2019">
        <f t="shared" si="90"/>
        <v>0</v>
      </c>
      <c r="H80" s="2019">
        <f t="shared" si="90"/>
        <v>0</v>
      </c>
      <c r="I80" s="2019">
        <f t="shared" si="90"/>
        <v>0</v>
      </c>
      <c r="J80" s="2019">
        <f t="shared" si="90"/>
        <v>0</v>
      </c>
      <c r="K80" s="2020">
        <f t="shared" si="90"/>
        <v>333872</v>
      </c>
      <c r="L80" s="1728">
        <f t="shared" si="90"/>
        <v>1328289</v>
      </c>
      <c r="M80" s="2020">
        <f t="shared" ref="M80" si="91">+M81+M83</f>
        <v>2279787</v>
      </c>
      <c r="N80" s="2020">
        <f t="shared" si="90"/>
        <v>617626</v>
      </c>
      <c r="O80" s="2020">
        <f t="shared" si="90"/>
        <v>2747420</v>
      </c>
      <c r="P80" s="2020">
        <f>+P81+P83</f>
        <v>4114240</v>
      </c>
      <c r="Q80" s="2020">
        <f>+Q81+Q83</f>
        <v>6133675</v>
      </c>
      <c r="R80" s="2020">
        <f t="shared" ref="R80:S80" si="92">+R81+R83</f>
        <v>3219061</v>
      </c>
      <c r="S80" s="2020">
        <f t="shared" si="92"/>
        <v>1229040</v>
      </c>
      <c r="T80" s="2021"/>
      <c r="U80" s="2021"/>
      <c r="V80" s="2021"/>
      <c r="W80" s="2021"/>
      <c r="X80" s="2022">
        <f>+X81+X83</f>
        <v>14696016</v>
      </c>
      <c r="Y80" s="3341"/>
    </row>
    <row r="81" spans="1:25" s="1588" customFormat="1" ht="14.25" customHeight="1">
      <c r="A81" s="3339"/>
      <c r="B81" s="1690" t="s">
        <v>23</v>
      </c>
      <c r="C81" s="3377" t="s">
        <v>213</v>
      </c>
      <c r="D81" s="2023">
        <f>D82</f>
        <v>9342571</v>
      </c>
      <c r="E81" s="2024">
        <f t="shared" ref="E81:N81" si="93">E82</f>
        <v>0</v>
      </c>
      <c r="F81" s="2024">
        <f t="shared" si="93"/>
        <v>0</v>
      </c>
      <c r="G81" s="2024">
        <f t="shared" si="93"/>
        <v>0</v>
      </c>
      <c r="H81" s="2024">
        <f t="shared" si="93"/>
        <v>0</v>
      </c>
      <c r="I81" s="2024">
        <f t="shared" si="93"/>
        <v>0</v>
      </c>
      <c r="J81" s="2024">
        <f t="shared" si="93"/>
        <v>0</v>
      </c>
      <c r="K81" s="2023">
        <f t="shared" si="93"/>
        <v>0</v>
      </c>
      <c r="L81" s="2025">
        <f t="shared" si="93"/>
        <v>673271</v>
      </c>
      <c r="M81" s="2023">
        <f t="shared" si="93"/>
        <v>673271</v>
      </c>
      <c r="N81" s="1546">
        <f t="shared" si="93"/>
        <v>0</v>
      </c>
      <c r="O81" s="1546">
        <f>O82</f>
        <v>0</v>
      </c>
      <c r="P81" s="1546">
        <f>P82</f>
        <v>1522759</v>
      </c>
      <c r="Q81" s="1546">
        <f>Q82</f>
        <v>5026915</v>
      </c>
      <c r="R81" s="1546">
        <f t="shared" ref="R81:S81" si="94">R82</f>
        <v>1438588</v>
      </c>
      <c r="S81" s="1546">
        <f t="shared" si="94"/>
        <v>681038</v>
      </c>
      <c r="T81" s="2023"/>
      <c r="U81" s="2023"/>
      <c r="V81" s="2023"/>
      <c r="W81" s="2023"/>
      <c r="X81" s="1551">
        <f>X82</f>
        <v>8669300</v>
      </c>
      <c r="Y81" s="3341"/>
    </row>
    <row r="82" spans="1:25" s="1593" customFormat="1">
      <c r="A82" s="3339"/>
      <c r="B82" s="2870" t="s">
        <v>78</v>
      </c>
      <c r="C82" s="3378"/>
      <c r="D82" s="2026">
        <f>M82+O82+P82+Q82+R82+S82+T82</f>
        <v>9342571</v>
      </c>
      <c r="E82" s="2027">
        <v>0</v>
      </c>
      <c r="F82" s="2027"/>
      <c r="G82" s="2027"/>
      <c r="H82" s="2027"/>
      <c r="I82" s="2028">
        <v>0</v>
      </c>
      <c r="J82" s="2028">
        <v>0</v>
      </c>
      <c r="K82" s="2029">
        <v>0</v>
      </c>
      <c r="L82" s="2030">
        <f>2335159-1661887-1</f>
        <v>673271</v>
      </c>
      <c r="M82" s="2031">
        <f>E82+I82+J82+K82+L82+N82</f>
        <v>673271</v>
      </c>
      <c r="N82" s="2032">
        <f>3719572+2918400-6637972</f>
        <v>0</v>
      </c>
      <c r="O82" s="2032">
        <f>129366+6637972-6205919-561419</f>
        <v>0</v>
      </c>
      <c r="P82" s="2032">
        <f>2898095-1376691+4784992+561419-5345056</f>
        <v>1522759</v>
      </c>
      <c r="Q82" s="2032">
        <f>260379+120178+1+1420927+3225430</f>
        <v>5026915</v>
      </c>
      <c r="R82" s="2032">
        <v>1438588</v>
      </c>
      <c r="S82" s="2032">
        <v>681038</v>
      </c>
      <c r="T82" s="2029"/>
      <c r="U82" s="2029"/>
      <c r="V82" s="2029"/>
      <c r="W82" s="2029"/>
      <c r="X82" s="2033">
        <f>SUM(P82:T82)</f>
        <v>8669300</v>
      </c>
      <c r="Y82" s="3341"/>
    </row>
    <row r="83" spans="1:25" s="1588" customFormat="1" ht="14.25" customHeight="1">
      <c r="A83" s="3339"/>
      <c r="B83" s="1699" t="s">
        <v>30</v>
      </c>
      <c r="C83" s="3378"/>
      <c r="D83" s="2034">
        <f>D84</f>
        <v>10380652</v>
      </c>
      <c r="E83" s="2035">
        <f t="shared" ref="E83:S83" si="95">E84</f>
        <v>0</v>
      </c>
      <c r="F83" s="2035">
        <f t="shared" si="95"/>
        <v>0</v>
      </c>
      <c r="G83" s="2035">
        <f t="shared" si="95"/>
        <v>0</v>
      </c>
      <c r="H83" s="2035">
        <f t="shared" si="95"/>
        <v>0</v>
      </c>
      <c r="I83" s="2035">
        <f t="shared" si="95"/>
        <v>0</v>
      </c>
      <c r="J83" s="2035">
        <f t="shared" si="95"/>
        <v>0</v>
      </c>
      <c r="K83" s="2034">
        <f t="shared" si="95"/>
        <v>333872</v>
      </c>
      <c r="L83" s="1691">
        <f t="shared" si="95"/>
        <v>655018</v>
      </c>
      <c r="M83" s="2023">
        <f t="shared" si="95"/>
        <v>1606516</v>
      </c>
      <c r="N83" s="1928">
        <f t="shared" si="95"/>
        <v>617626</v>
      </c>
      <c r="O83" s="1928">
        <f t="shared" si="95"/>
        <v>2747420</v>
      </c>
      <c r="P83" s="1928">
        <f t="shared" si="95"/>
        <v>2591481</v>
      </c>
      <c r="Q83" s="1928">
        <f t="shared" si="95"/>
        <v>1106760</v>
      </c>
      <c r="R83" s="1928">
        <f t="shared" si="95"/>
        <v>1780473</v>
      </c>
      <c r="S83" s="1928">
        <f t="shared" si="95"/>
        <v>548002</v>
      </c>
      <c r="T83" s="2034"/>
      <c r="U83" s="2034"/>
      <c r="V83" s="2034"/>
      <c r="W83" s="2034"/>
      <c r="X83" s="1551">
        <f>X84</f>
        <v>6026716</v>
      </c>
      <c r="Y83" s="3341"/>
    </row>
    <row r="84" spans="1:25" s="1588" customFormat="1">
      <c r="A84" s="3339"/>
      <c r="B84" s="503" t="s">
        <v>32</v>
      </c>
      <c r="C84" s="3378"/>
      <c r="D84" s="2026">
        <f>M84+O84+P84+Q84+R84+S84+T84</f>
        <v>10380652</v>
      </c>
      <c r="E84" s="2035">
        <v>0</v>
      </c>
      <c r="F84" s="2035"/>
      <c r="G84" s="2035"/>
      <c r="H84" s="2035"/>
      <c r="I84" s="2024">
        <v>0</v>
      </c>
      <c r="J84" s="2036">
        <v>0</v>
      </c>
      <c r="K84" s="1548">
        <f>398692-64820</f>
        <v>333872</v>
      </c>
      <c r="L84" s="2037">
        <f>813168-153168-4982</f>
        <v>655018</v>
      </c>
      <c r="M84" s="2031">
        <f>E84+I84+J84+K84+L84+N84</f>
        <v>1606516</v>
      </c>
      <c r="N84" s="1550">
        <f>5432672+64820-1752137-3127729</f>
        <v>617626</v>
      </c>
      <c r="O84" s="2218">
        <f>411879+1905305+3127729-2646073-51420</f>
        <v>2747420</v>
      </c>
      <c r="P84" s="2218">
        <f>3185084+408701+51420-1053724</f>
        <v>2591481</v>
      </c>
      <c r="Q84" s="2218">
        <f>139157+4982+2237372-1274751</f>
        <v>1106760</v>
      </c>
      <c r="R84" s="2218">
        <v>1780473</v>
      </c>
      <c r="S84" s="2218">
        <v>548002</v>
      </c>
      <c r="T84" s="2037"/>
      <c r="U84" s="2037"/>
      <c r="V84" s="2037"/>
      <c r="W84" s="2037"/>
      <c r="X84" s="2033">
        <f>SUM(P84:T84)</f>
        <v>6026716</v>
      </c>
      <c r="Y84" s="3341"/>
    </row>
    <row r="85" spans="1:25" s="1594" customFormat="1" ht="14.25" customHeight="1">
      <c r="A85" s="3339"/>
      <c r="B85" s="505" t="s">
        <v>34</v>
      </c>
      <c r="C85" s="2017"/>
      <c r="D85" s="2038">
        <f t="shared" ref="D85:P85" si="96">+D86+D89</f>
        <v>19723223</v>
      </c>
      <c r="E85" s="2039">
        <f t="shared" si="96"/>
        <v>0</v>
      </c>
      <c r="F85" s="2039">
        <f t="shared" si="96"/>
        <v>0</v>
      </c>
      <c r="G85" s="2039">
        <f t="shared" si="96"/>
        <v>0</v>
      </c>
      <c r="H85" s="2039">
        <f t="shared" si="96"/>
        <v>0</v>
      </c>
      <c r="I85" s="2039">
        <f t="shared" si="96"/>
        <v>0</v>
      </c>
      <c r="J85" s="2039">
        <f t="shared" si="96"/>
        <v>0</v>
      </c>
      <c r="K85" s="2021">
        <f t="shared" si="96"/>
        <v>4405356</v>
      </c>
      <c r="L85" s="1688">
        <f t="shared" si="96"/>
        <v>673271</v>
      </c>
      <c r="M85" s="2021">
        <f t="shared" ref="M85" si="97">+M86+M89</f>
        <v>5078627</v>
      </c>
      <c r="N85" s="2021">
        <f t="shared" si="96"/>
        <v>0</v>
      </c>
      <c r="O85" s="2021">
        <f t="shared" si="96"/>
        <v>0</v>
      </c>
      <c r="P85" s="2021">
        <f t="shared" si="96"/>
        <v>6218524</v>
      </c>
      <c r="Q85" s="2021">
        <f>+Q86+Q89</f>
        <v>3442541</v>
      </c>
      <c r="R85" s="2021">
        <f>+R86+R89</f>
        <v>0</v>
      </c>
      <c r="S85" s="2021">
        <f>+S86+S89</f>
        <v>4983531</v>
      </c>
      <c r="T85" s="2021"/>
      <c r="U85" s="2021"/>
      <c r="V85" s="2021"/>
      <c r="W85" s="2021"/>
      <c r="X85" s="3380" t="s">
        <v>77</v>
      </c>
      <c r="Y85" s="3341"/>
    </row>
    <row r="86" spans="1:25" s="1588" customFormat="1" ht="14.25" customHeight="1">
      <c r="A86" s="3339"/>
      <c r="B86" s="1690" t="s">
        <v>23</v>
      </c>
      <c r="C86" s="3377" t="s">
        <v>213</v>
      </c>
      <c r="D86" s="2023">
        <f>D87</f>
        <v>9342571</v>
      </c>
      <c r="E86" s="2024">
        <f t="shared" ref="E86:S86" si="98">E87</f>
        <v>0</v>
      </c>
      <c r="F86" s="2024">
        <f t="shared" si="98"/>
        <v>0</v>
      </c>
      <c r="G86" s="2024">
        <f t="shared" si="98"/>
        <v>0</v>
      </c>
      <c r="H86" s="2024">
        <f t="shared" si="98"/>
        <v>0</v>
      </c>
      <c r="I86" s="2024">
        <f t="shared" si="98"/>
        <v>0</v>
      </c>
      <c r="J86" s="2024">
        <f t="shared" si="98"/>
        <v>0</v>
      </c>
      <c r="K86" s="2023">
        <f t="shared" si="98"/>
        <v>0</v>
      </c>
      <c r="L86" s="2025">
        <f t="shared" si="98"/>
        <v>673271</v>
      </c>
      <c r="M86" s="2023">
        <f t="shared" si="98"/>
        <v>673271</v>
      </c>
      <c r="N86" s="1546">
        <f t="shared" si="98"/>
        <v>0</v>
      </c>
      <c r="O86" s="2023">
        <f t="shared" si="98"/>
        <v>0</v>
      </c>
      <c r="P86" s="2023">
        <f t="shared" si="98"/>
        <v>1522759</v>
      </c>
      <c r="Q86" s="2023">
        <f t="shared" si="98"/>
        <v>3442541</v>
      </c>
      <c r="R86" s="2023">
        <f t="shared" si="98"/>
        <v>0</v>
      </c>
      <c r="S86" s="2023">
        <f t="shared" si="98"/>
        <v>3704000</v>
      </c>
      <c r="T86" s="2023"/>
      <c r="U86" s="2023"/>
      <c r="V86" s="2023"/>
      <c r="W86" s="2023"/>
      <c r="X86" s="3380"/>
      <c r="Y86" s="3341"/>
    </row>
    <row r="87" spans="1:25" s="1588" customFormat="1" ht="12.75" customHeight="1">
      <c r="A87" s="3339"/>
      <c r="B87" s="503" t="s">
        <v>28</v>
      </c>
      <c r="C87" s="3378"/>
      <c r="D87" s="2026">
        <f>M87+O87+P87+Q87+R87+S87+T87</f>
        <v>9342571</v>
      </c>
      <c r="E87" s="2027">
        <v>0</v>
      </c>
      <c r="F87" s="2027"/>
      <c r="G87" s="2027"/>
      <c r="H87" s="2027"/>
      <c r="I87" s="2028">
        <v>0</v>
      </c>
      <c r="J87" s="2028">
        <v>0</v>
      </c>
      <c r="K87" s="2029">
        <v>0</v>
      </c>
      <c r="L87" s="2030">
        <f>2335159-1661887-1</f>
        <v>673271</v>
      </c>
      <c r="M87" s="2031">
        <f>E87+I87+J87+K87+L87+N87</f>
        <v>673271</v>
      </c>
      <c r="N87" s="2032">
        <f>3719572+2918400-6637972</f>
        <v>0</v>
      </c>
      <c r="O87" s="2029">
        <f>129366+6637972-6205919-561419</f>
        <v>0</v>
      </c>
      <c r="P87" s="2029">
        <f>2898095-1376691+2882477+561419-3442541</f>
        <v>1522759</v>
      </c>
      <c r="Q87" s="2029">
        <f>3442541</f>
        <v>3442541</v>
      </c>
      <c r="R87" s="2029">
        <f>3704000-3704000</f>
        <v>0</v>
      </c>
      <c r="S87" s="2029">
        <v>3704000</v>
      </c>
      <c r="T87" s="2029"/>
      <c r="U87" s="2029"/>
      <c r="V87" s="2029"/>
      <c r="W87" s="2029"/>
      <c r="X87" s="3380"/>
      <c r="Y87" s="3341"/>
    </row>
    <row r="88" spans="1:25" s="1588" customFormat="1" ht="14.25" customHeight="1">
      <c r="A88" s="3339"/>
      <c r="B88" s="1699" t="s">
        <v>30</v>
      </c>
      <c r="C88" s="3378"/>
      <c r="D88" s="2023">
        <f>D89</f>
        <v>10380652</v>
      </c>
      <c r="E88" s="2024">
        <f t="shared" ref="E88:S88" si="99">E89</f>
        <v>0</v>
      </c>
      <c r="F88" s="2024">
        <f t="shared" si="99"/>
        <v>0</v>
      </c>
      <c r="G88" s="2024">
        <f t="shared" si="99"/>
        <v>0</v>
      </c>
      <c r="H88" s="2024">
        <f t="shared" si="99"/>
        <v>0</v>
      </c>
      <c r="I88" s="2024">
        <f t="shared" si="99"/>
        <v>0</v>
      </c>
      <c r="J88" s="2024">
        <f t="shared" si="99"/>
        <v>0</v>
      </c>
      <c r="K88" s="2023">
        <f t="shared" si="99"/>
        <v>4405356</v>
      </c>
      <c r="L88" s="2025">
        <f t="shared" si="99"/>
        <v>0</v>
      </c>
      <c r="M88" s="2023">
        <f t="shared" si="99"/>
        <v>4405356</v>
      </c>
      <c r="N88" s="1546">
        <f t="shared" si="99"/>
        <v>0</v>
      </c>
      <c r="O88" s="2023">
        <f t="shared" si="99"/>
        <v>0</v>
      </c>
      <c r="P88" s="2023">
        <f t="shared" si="99"/>
        <v>4695765</v>
      </c>
      <c r="Q88" s="2023">
        <f t="shared" si="99"/>
        <v>0</v>
      </c>
      <c r="R88" s="2023">
        <f t="shared" si="99"/>
        <v>0</v>
      </c>
      <c r="S88" s="2023">
        <f t="shared" si="99"/>
        <v>1279531</v>
      </c>
      <c r="T88" s="2023"/>
      <c r="U88" s="2023"/>
      <c r="V88" s="2023"/>
      <c r="W88" s="2023"/>
      <c r="X88" s="3380"/>
      <c r="Y88" s="3341"/>
    </row>
    <row r="89" spans="1:25" s="1588" customFormat="1" ht="12.75" thickBot="1">
      <c r="A89" s="3353"/>
      <c r="B89" s="512" t="s">
        <v>32</v>
      </c>
      <c r="C89" s="3379"/>
      <c r="D89" s="2040">
        <f>M89+O89+P89+Q89+R89+S89+T89</f>
        <v>10380652</v>
      </c>
      <c r="E89" s="2041">
        <v>0</v>
      </c>
      <c r="F89" s="2041"/>
      <c r="G89" s="2041"/>
      <c r="H89" s="2041"/>
      <c r="I89" s="2042">
        <v>0</v>
      </c>
      <c r="J89" s="2042">
        <v>0</v>
      </c>
      <c r="K89" s="2043">
        <v>4405356</v>
      </c>
      <c r="L89" s="2043">
        <v>0</v>
      </c>
      <c r="M89" s="2043">
        <f>E89+I89+J89+K89+L89+N89</f>
        <v>4405356</v>
      </c>
      <c r="N89" s="2044">
        <f>4152261-4152261</f>
        <v>0</v>
      </c>
      <c r="O89" s="2045">
        <f>4152261-4152261</f>
        <v>0</v>
      </c>
      <c r="P89" s="2045">
        <f>1823035+2582321+290409</f>
        <v>4695765</v>
      </c>
      <c r="Q89" s="2045">
        <v>0</v>
      </c>
      <c r="R89" s="2045">
        <f>1569940-1569940</f>
        <v>0</v>
      </c>
      <c r="S89" s="2045">
        <v>1279531</v>
      </c>
      <c r="T89" s="2045"/>
      <c r="U89" s="2045"/>
      <c r="V89" s="2045"/>
      <c r="W89" s="2045"/>
      <c r="X89" s="3381"/>
      <c r="Y89" s="3370"/>
    </row>
    <row r="90" spans="1:25" s="1597" customFormat="1" hidden="1">
      <c r="A90" s="3339"/>
      <c r="B90" s="2009"/>
      <c r="C90" s="2010" t="s">
        <v>98</v>
      </c>
      <c r="D90" s="2010"/>
      <c r="E90" s="2011"/>
      <c r="F90" s="2011"/>
      <c r="G90" s="2011"/>
      <c r="H90" s="2011"/>
      <c r="I90" s="2012"/>
      <c r="J90" s="2012"/>
      <c r="K90" s="2012"/>
      <c r="L90" s="2012"/>
      <c r="M90" s="2012"/>
      <c r="N90" s="2012"/>
      <c r="O90" s="523"/>
      <c r="P90" s="523"/>
      <c r="Q90" s="523"/>
      <c r="R90" s="523"/>
      <c r="S90" s="523"/>
      <c r="T90" s="523"/>
      <c r="U90" s="523"/>
      <c r="V90" s="523"/>
      <c r="W90" s="523"/>
      <c r="X90" s="2013"/>
      <c r="Y90" s="3341" t="s">
        <v>212</v>
      </c>
    </row>
    <row r="91" spans="1:25" s="999" customFormat="1" ht="13.5" hidden="1" customHeight="1">
      <c r="A91" s="3339"/>
      <c r="B91" s="505" t="s">
        <v>22</v>
      </c>
      <c r="C91" s="1686"/>
      <c r="D91" s="1725">
        <f>+D92+D94</f>
        <v>0</v>
      </c>
      <c r="E91" s="1727">
        <f>+E92+E94</f>
        <v>0</v>
      </c>
      <c r="F91" s="1727"/>
      <c r="G91" s="1727"/>
      <c r="H91" s="1727">
        <f t="shared" ref="H91:O91" si="100">+H92+H94</f>
        <v>0</v>
      </c>
      <c r="I91" s="1727">
        <f t="shared" si="100"/>
        <v>0</v>
      </c>
      <c r="J91" s="1727">
        <f t="shared" si="100"/>
        <v>0</v>
      </c>
      <c r="K91" s="1727">
        <f t="shared" si="100"/>
        <v>0</v>
      </c>
      <c r="L91" s="1728">
        <f t="shared" si="100"/>
        <v>0</v>
      </c>
      <c r="M91" s="1727">
        <f t="shared" ref="M91" si="101">+M92+M94</f>
        <v>0</v>
      </c>
      <c r="N91" s="1727">
        <f t="shared" si="100"/>
        <v>0</v>
      </c>
      <c r="O91" s="1687">
        <f t="shared" si="100"/>
        <v>0</v>
      </c>
      <c r="P91" s="1687"/>
      <c r="Q91" s="1687"/>
      <c r="R91" s="1687"/>
      <c r="S91" s="1687"/>
      <c r="T91" s="1687"/>
      <c r="U91" s="1687"/>
      <c r="V91" s="1687"/>
      <c r="W91" s="1687"/>
      <c r="X91" s="1689">
        <f>+X92+X94</f>
        <v>0</v>
      </c>
      <c r="Y91" s="3341"/>
    </row>
    <row r="92" spans="1:25" s="999" customFormat="1" ht="13.5" hidden="1" customHeight="1">
      <c r="A92" s="3339"/>
      <c r="B92" s="1690" t="s">
        <v>23</v>
      </c>
      <c r="C92" s="3356" t="s">
        <v>213</v>
      </c>
      <c r="D92" s="1254">
        <f>+D93</f>
        <v>0</v>
      </c>
      <c r="E92" s="1254">
        <f>+E93</f>
        <v>0</v>
      </c>
      <c r="F92" s="1254"/>
      <c r="G92" s="1254"/>
      <c r="H92" s="1254">
        <f>+H93</f>
        <v>0</v>
      </c>
      <c r="I92" s="1253">
        <f t="shared" ref="I92:X92" si="102">SUM(I93:I93)</f>
        <v>0</v>
      </c>
      <c r="J92" s="1253">
        <f t="shared" si="102"/>
        <v>0</v>
      </c>
      <c r="K92" s="1253">
        <f t="shared" si="102"/>
        <v>0</v>
      </c>
      <c r="L92" s="1253">
        <f t="shared" si="102"/>
        <v>0</v>
      </c>
      <c r="M92" s="1253">
        <f t="shared" si="102"/>
        <v>0</v>
      </c>
      <c r="N92" s="1253">
        <f t="shared" si="102"/>
        <v>0</v>
      </c>
      <c r="O92" s="1692">
        <f t="shared" si="102"/>
        <v>0</v>
      </c>
      <c r="P92" s="1692"/>
      <c r="Q92" s="1692"/>
      <c r="R92" s="1692"/>
      <c r="S92" s="1692"/>
      <c r="T92" s="1692"/>
      <c r="U92" s="1692"/>
      <c r="V92" s="1692"/>
      <c r="W92" s="1692"/>
      <c r="X92" s="1693">
        <f t="shared" si="102"/>
        <v>0</v>
      </c>
      <c r="Y92" s="3341"/>
    </row>
    <row r="93" spans="1:25" s="1597" customFormat="1" hidden="1">
      <c r="A93" s="3339"/>
      <c r="B93" s="503" t="s">
        <v>26</v>
      </c>
      <c r="C93" s="3356"/>
      <c r="D93" s="1408">
        <f>M93+O93+P93+Q93+R93+S93+T93</f>
        <v>0</v>
      </c>
      <c r="E93" s="1733"/>
      <c r="F93" s="1733"/>
      <c r="G93" s="1733"/>
      <c r="H93" s="1733"/>
      <c r="I93" s="1732"/>
      <c r="J93" s="1732"/>
      <c r="K93" s="1732"/>
      <c r="L93" s="1732"/>
      <c r="M93" s="1694">
        <f>E93+I93+J93+K93+L93+N93</f>
        <v>0</v>
      </c>
      <c r="N93" s="1732"/>
      <c r="O93" s="1694"/>
      <c r="P93" s="1694"/>
      <c r="Q93" s="1694"/>
      <c r="R93" s="1694"/>
      <c r="S93" s="1694"/>
      <c r="T93" s="1694"/>
      <c r="U93" s="1694"/>
      <c r="V93" s="1694"/>
      <c r="W93" s="1694"/>
      <c r="X93" s="1696">
        <f>SUM(P93:T93)</f>
        <v>0</v>
      </c>
      <c r="Y93" s="3341"/>
    </row>
    <row r="94" spans="1:25" s="1597" customFormat="1" ht="13.5" hidden="1" customHeight="1">
      <c r="A94" s="3339"/>
      <c r="B94" s="1699" t="s">
        <v>30</v>
      </c>
      <c r="C94" s="3356"/>
      <c r="D94" s="1254">
        <f t="shared" ref="D94" si="103">+D95+D96</f>
        <v>0</v>
      </c>
      <c r="E94" s="1700">
        <f>+E95+E96</f>
        <v>0</v>
      </c>
      <c r="F94" s="1700">
        <f t="shared" ref="F94:O94" si="104">+F95+F96</f>
        <v>0</v>
      </c>
      <c r="G94" s="1700">
        <f t="shared" si="104"/>
        <v>0</v>
      </c>
      <c r="H94" s="1700">
        <f t="shared" si="104"/>
        <v>0</v>
      </c>
      <c r="I94" s="1700">
        <f t="shared" si="104"/>
        <v>0</v>
      </c>
      <c r="J94" s="1700">
        <f t="shared" si="104"/>
        <v>0</v>
      </c>
      <c r="K94" s="1700">
        <f t="shared" si="104"/>
        <v>0</v>
      </c>
      <c r="L94" s="1700">
        <f t="shared" si="104"/>
        <v>0</v>
      </c>
      <c r="M94" s="1700">
        <f t="shared" si="104"/>
        <v>0</v>
      </c>
      <c r="N94" s="1700">
        <f t="shared" si="104"/>
        <v>0</v>
      </c>
      <c r="O94" s="1700">
        <f t="shared" si="104"/>
        <v>0</v>
      </c>
      <c r="P94" s="1692"/>
      <c r="Q94" s="1692"/>
      <c r="R94" s="1692"/>
      <c r="S94" s="1692"/>
      <c r="T94" s="1692"/>
      <c r="U94" s="1692"/>
      <c r="V94" s="1692"/>
      <c r="W94" s="1692"/>
      <c r="X94" s="1693">
        <f t="shared" ref="X94" si="105">+X95</f>
        <v>0</v>
      </c>
      <c r="Y94" s="3341"/>
    </row>
    <row r="95" spans="1:25" s="1597" customFormat="1" ht="13.5" hidden="1" customHeight="1">
      <c r="A95" s="3339"/>
      <c r="B95" s="503" t="s">
        <v>33</v>
      </c>
      <c r="C95" s="3356"/>
      <c r="D95" s="1408">
        <f>M95+O95+P95+Q95+R95+S95+T95</f>
        <v>0</v>
      </c>
      <c r="E95" s="1698"/>
      <c r="F95" s="1698"/>
      <c r="G95" s="1698"/>
      <c r="H95" s="1698"/>
      <c r="I95" s="1694"/>
      <c r="J95" s="1694"/>
      <c r="K95" s="1694"/>
      <c r="L95" s="1732"/>
      <c r="M95" s="1694">
        <f>E95+I95+J95+K95+L95+N95</f>
        <v>0</v>
      </c>
      <c r="N95" s="1732"/>
      <c r="O95" s="1694"/>
      <c r="P95" s="1694"/>
      <c r="Q95" s="1694"/>
      <c r="R95" s="1694"/>
      <c r="S95" s="1694"/>
      <c r="T95" s="1694"/>
      <c r="U95" s="1694"/>
      <c r="V95" s="1694"/>
      <c r="W95" s="1694"/>
      <c r="X95" s="1696">
        <f>SUM(P95:T95)</f>
        <v>0</v>
      </c>
      <c r="Y95" s="3341"/>
    </row>
    <row r="96" spans="1:25" s="1597" customFormat="1" ht="12" hidden="1" customHeight="1">
      <c r="A96" s="3339"/>
      <c r="B96" s="503" t="s">
        <v>26</v>
      </c>
      <c r="C96" s="3356"/>
      <c r="D96" s="1408">
        <f>M96+O96+P96+Q96+R96+S96+T96</f>
        <v>0</v>
      </c>
      <c r="E96" s="1698"/>
      <c r="F96" s="1698"/>
      <c r="G96" s="1698"/>
      <c r="H96" s="1698"/>
      <c r="I96" s="1694"/>
      <c r="J96" s="1713">
        <v>0</v>
      </c>
      <c r="K96" s="1713">
        <v>0</v>
      </c>
      <c r="L96" s="1734">
        <v>0</v>
      </c>
      <c r="M96" s="1694">
        <f>E96+I96+J96+K96+L96+N96</f>
        <v>0</v>
      </c>
      <c r="N96" s="1735">
        <v>0</v>
      </c>
      <c r="O96" s="1713">
        <v>0</v>
      </c>
      <c r="P96" s="1694"/>
      <c r="Q96" s="1694"/>
      <c r="R96" s="1694"/>
      <c r="S96" s="1694"/>
      <c r="T96" s="1694"/>
      <c r="U96" s="1694"/>
      <c r="V96" s="1694"/>
      <c r="W96" s="1694"/>
      <c r="X96" s="1696">
        <f>SUM(P96:T96)</f>
        <v>0</v>
      </c>
      <c r="Y96" s="3341"/>
    </row>
    <row r="97" spans="1:29" s="1597" customFormat="1" ht="13.5" hidden="1" customHeight="1">
      <c r="A97" s="3339"/>
      <c r="B97" s="505" t="s">
        <v>34</v>
      </c>
      <c r="C97" s="1686"/>
      <c r="D97" s="1727">
        <f>+D98+D100</f>
        <v>0</v>
      </c>
      <c r="E97" s="1687">
        <f>+E98+E100</f>
        <v>0</v>
      </c>
      <c r="F97" s="1687"/>
      <c r="G97" s="1687"/>
      <c r="H97" s="1687">
        <f t="shared" ref="H97:O97" si="106">+H98+H100</f>
        <v>0</v>
      </c>
      <c r="I97" s="1687">
        <f t="shared" si="106"/>
        <v>0</v>
      </c>
      <c r="J97" s="1687">
        <f t="shared" si="106"/>
        <v>0</v>
      </c>
      <c r="K97" s="1687">
        <f t="shared" si="106"/>
        <v>0</v>
      </c>
      <c r="L97" s="1728">
        <f t="shared" si="106"/>
        <v>0</v>
      </c>
      <c r="M97" s="1727">
        <f t="shared" ref="M97" si="107">+M98+M100</f>
        <v>0</v>
      </c>
      <c r="N97" s="1727">
        <f t="shared" si="106"/>
        <v>0</v>
      </c>
      <c r="O97" s="1687">
        <f t="shared" si="106"/>
        <v>0</v>
      </c>
      <c r="P97" s="1687"/>
      <c r="Q97" s="1687"/>
      <c r="R97" s="1687"/>
      <c r="S97" s="1687"/>
      <c r="T97" s="1687"/>
      <c r="U97" s="1687"/>
      <c r="V97" s="1687"/>
      <c r="W97" s="1687"/>
      <c r="X97" s="3376" t="s">
        <v>77</v>
      </c>
      <c r="Y97" s="3341"/>
      <c r="Z97" s="1598"/>
    </row>
    <row r="98" spans="1:29" s="1588" customFormat="1" ht="14.25" hidden="1" customHeight="1">
      <c r="A98" s="3339"/>
      <c r="B98" s="1690" t="s">
        <v>23</v>
      </c>
      <c r="C98" s="3356" t="s">
        <v>213</v>
      </c>
      <c r="D98" s="1253">
        <f>+D99</f>
        <v>0</v>
      </c>
      <c r="E98" s="1700">
        <f>+E99</f>
        <v>0</v>
      </c>
      <c r="F98" s="1700"/>
      <c r="G98" s="1700"/>
      <c r="H98" s="1700">
        <f>+H99</f>
        <v>0</v>
      </c>
      <c r="I98" s="1692">
        <f t="shared" ref="I98:O98" si="108">SUM(I99:I99)</f>
        <v>0</v>
      </c>
      <c r="J98" s="1692">
        <f t="shared" si="108"/>
        <v>0</v>
      </c>
      <c r="K98" s="1692">
        <f t="shared" si="108"/>
        <v>0</v>
      </c>
      <c r="L98" s="1253">
        <f t="shared" si="108"/>
        <v>0</v>
      </c>
      <c r="M98" s="1253">
        <f t="shared" si="108"/>
        <v>0</v>
      </c>
      <c r="N98" s="1253">
        <f t="shared" si="108"/>
        <v>0</v>
      </c>
      <c r="O98" s="1692">
        <f t="shared" si="108"/>
        <v>0</v>
      </c>
      <c r="P98" s="1692"/>
      <c r="Q98" s="1692"/>
      <c r="R98" s="1692"/>
      <c r="S98" s="1692"/>
      <c r="T98" s="1692"/>
      <c r="U98" s="1692"/>
      <c r="V98" s="1692"/>
      <c r="W98" s="1692"/>
      <c r="X98" s="3376"/>
      <c r="Y98" s="3341"/>
      <c r="Z98" s="1598"/>
    </row>
    <row r="99" spans="1:29" s="1588" customFormat="1" hidden="1">
      <c r="A99" s="3339"/>
      <c r="B99" s="503" t="s">
        <v>26</v>
      </c>
      <c r="C99" s="3356"/>
      <c r="D99" s="1408">
        <f>M99+O99+P99+Q99+R99+S99+T99</f>
        <v>0</v>
      </c>
      <c r="E99" s="1698"/>
      <c r="F99" s="1698"/>
      <c r="G99" s="1698"/>
      <c r="H99" s="1698"/>
      <c r="I99" s="1694"/>
      <c r="J99" s="1694"/>
      <c r="K99" s="1694"/>
      <c r="L99" s="1732"/>
      <c r="M99" s="1694">
        <f>E99+I99+J99+K99+L99+N99</f>
        <v>0</v>
      </c>
      <c r="N99" s="1732"/>
      <c r="O99" s="1694"/>
      <c r="P99" s="1694"/>
      <c r="Q99" s="1694"/>
      <c r="R99" s="1694"/>
      <c r="S99" s="1694"/>
      <c r="T99" s="1694"/>
      <c r="U99" s="1694"/>
      <c r="V99" s="1694"/>
      <c r="W99" s="1694"/>
      <c r="X99" s="3376"/>
      <c r="Y99" s="3341"/>
      <c r="Z99" s="1598"/>
    </row>
    <row r="100" spans="1:29" s="1588" customFormat="1" ht="12.75" hidden="1" customHeight="1">
      <c r="A100" s="3339"/>
      <c r="B100" s="1699" t="s">
        <v>30</v>
      </c>
      <c r="C100" s="3356"/>
      <c r="D100" s="1253">
        <f t="shared" ref="D100:O100" si="109">+D101+D102</f>
        <v>0</v>
      </c>
      <c r="E100" s="1692">
        <f t="shared" si="109"/>
        <v>0</v>
      </c>
      <c r="F100" s="1692">
        <f t="shared" si="109"/>
        <v>0</v>
      </c>
      <c r="G100" s="1692">
        <f t="shared" si="109"/>
        <v>0</v>
      </c>
      <c r="H100" s="1692">
        <f t="shared" si="109"/>
        <v>0</v>
      </c>
      <c r="I100" s="1692">
        <f t="shared" si="109"/>
        <v>0</v>
      </c>
      <c r="J100" s="1692">
        <f t="shared" si="109"/>
        <v>0</v>
      </c>
      <c r="K100" s="1692">
        <f t="shared" si="109"/>
        <v>0</v>
      </c>
      <c r="L100" s="1692">
        <f t="shared" si="109"/>
        <v>0</v>
      </c>
      <c r="M100" s="1692">
        <f t="shared" si="109"/>
        <v>0</v>
      </c>
      <c r="N100" s="1692">
        <f t="shared" si="109"/>
        <v>0</v>
      </c>
      <c r="O100" s="1692">
        <f t="shared" si="109"/>
        <v>0</v>
      </c>
      <c r="P100" s="1692"/>
      <c r="Q100" s="1692"/>
      <c r="R100" s="1692"/>
      <c r="S100" s="1692"/>
      <c r="T100" s="1692"/>
      <c r="U100" s="1692"/>
      <c r="V100" s="1692"/>
      <c r="W100" s="1692"/>
      <c r="X100" s="3376"/>
      <c r="Y100" s="3341"/>
      <c r="Z100" s="1598"/>
    </row>
    <row r="101" spans="1:29" s="1588" customFormat="1" ht="12.75" hidden="1" customHeight="1">
      <c r="A101" s="3339"/>
      <c r="B101" s="1697" t="s">
        <v>33</v>
      </c>
      <c r="C101" s="3356"/>
      <c r="D101" s="1408">
        <f t="shared" ref="D101:D102" si="110">M101+O101+P101+Q101+R101+S101+T101</f>
        <v>0</v>
      </c>
      <c r="E101" s="1698"/>
      <c r="F101" s="1698"/>
      <c r="G101" s="1698"/>
      <c r="H101" s="1698"/>
      <c r="I101" s="1694"/>
      <c r="J101" s="1694"/>
      <c r="K101" s="1694"/>
      <c r="L101" s="1732"/>
      <c r="M101" s="1694">
        <f>E101+I101+J101+K101+L101+N101</f>
        <v>0</v>
      </c>
      <c r="N101" s="1732"/>
      <c r="O101" s="1694"/>
      <c r="P101" s="1694"/>
      <c r="Q101" s="1694"/>
      <c r="R101" s="1694"/>
      <c r="S101" s="1694"/>
      <c r="T101" s="1694"/>
      <c r="U101" s="1694"/>
      <c r="V101" s="1694"/>
      <c r="W101" s="1694"/>
      <c r="X101" s="3376"/>
      <c r="Y101" s="3341"/>
      <c r="Z101" s="1598"/>
    </row>
    <row r="102" spans="1:29" s="1588" customFormat="1" ht="12.75" hidden="1" customHeight="1">
      <c r="A102" s="3339"/>
      <c r="B102" s="503" t="s">
        <v>26</v>
      </c>
      <c r="C102" s="3356"/>
      <c r="D102" s="1408">
        <f t="shared" si="110"/>
        <v>0</v>
      </c>
      <c r="E102" s="1698"/>
      <c r="F102" s="1698"/>
      <c r="G102" s="1698"/>
      <c r="H102" s="1698"/>
      <c r="I102" s="1694"/>
      <c r="J102" s="1713">
        <v>0</v>
      </c>
      <c r="K102" s="1713">
        <v>0</v>
      </c>
      <c r="L102" s="1713">
        <v>0</v>
      </c>
      <c r="M102" s="1694">
        <f>E102+I102+J102+K102+L102+N102</f>
        <v>0</v>
      </c>
      <c r="N102" s="1713">
        <v>0</v>
      </c>
      <c r="O102" s="1721">
        <v>0</v>
      </c>
      <c r="P102" s="1695"/>
      <c r="Q102" s="1695"/>
      <c r="R102" s="1695"/>
      <c r="S102" s="1695"/>
      <c r="T102" s="1695"/>
      <c r="U102" s="1695"/>
      <c r="V102" s="1695"/>
      <c r="W102" s="1695"/>
      <c r="X102" s="3376"/>
      <c r="Y102" s="3342"/>
      <c r="Z102" s="1598"/>
    </row>
    <row r="103" spans="1:29" ht="18.75" hidden="1" customHeight="1">
      <c r="A103" s="3366" t="s">
        <v>81</v>
      </c>
      <c r="B103" s="1684" t="s">
        <v>215</v>
      </c>
      <c r="C103" s="2014" t="s">
        <v>130</v>
      </c>
      <c r="D103" s="2014"/>
      <c r="E103" s="2015"/>
      <c r="F103" s="2015"/>
      <c r="G103" s="2015"/>
      <c r="H103" s="2015"/>
      <c r="I103" s="1543"/>
      <c r="J103" s="1543"/>
      <c r="K103" s="1543"/>
      <c r="L103" s="1543"/>
      <c r="M103" s="1543"/>
      <c r="N103" s="1543"/>
      <c r="O103" s="1543"/>
      <c r="P103" s="1543"/>
      <c r="Q103" s="1543"/>
      <c r="R103" s="1543"/>
      <c r="S103" s="1543"/>
      <c r="T103" s="1543"/>
      <c r="U103" s="1543"/>
      <c r="V103" s="1543"/>
      <c r="W103" s="1543"/>
      <c r="X103" s="1542"/>
      <c r="Y103" s="3369" t="s">
        <v>216</v>
      </c>
    </row>
    <row r="104" spans="1:29" ht="15" hidden="1" customHeight="1">
      <c r="A104" s="3339"/>
      <c r="B104" s="505" t="s">
        <v>22</v>
      </c>
      <c r="C104" s="2550"/>
      <c r="D104" s="2038">
        <f>+D105+D108</f>
        <v>0</v>
      </c>
      <c r="E104" s="2021">
        <f t="shared" ref="E104:O104" si="111">+E105+E108</f>
        <v>0</v>
      </c>
      <c r="F104" s="2021">
        <f t="shared" si="111"/>
        <v>0</v>
      </c>
      <c r="G104" s="2021">
        <f t="shared" si="111"/>
        <v>0</v>
      </c>
      <c r="H104" s="2021">
        <f t="shared" si="111"/>
        <v>0</v>
      </c>
      <c r="I104" s="2021">
        <f t="shared" si="111"/>
        <v>0</v>
      </c>
      <c r="J104" s="2021">
        <f t="shared" si="111"/>
        <v>0</v>
      </c>
      <c r="K104" s="2021">
        <f t="shared" si="111"/>
        <v>0</v>
      </c>
      <c r="L104" s="1688">
        <f>+L105+L108</f>
        <v>0</v>
      </c>
      <c r="M104" s="2551">
        <f>+M105+M108</f>
        <v>0</v>
      </c>
      <c r="N104" s="2021">
        <f t="shared" si="111"/>
        <v>0</v>
      </c>
      <c r="O104" s="2021">
        <f t="shared" si="111"/>
        <v>0</v>
      </c>
      <c r="P104" s="2021"/>
      <c r="Q104" s="2020"/>
      <c r="R104" s="2020"/>
      <c r="S104" s="2020"/>
      <c r="T104" s="2020"/>
      <c r="U104" s="2020"/>
      <c r="V104" s="2020"/>
      <c r="W104" s="2020"/>
      <c r="X104" s="2047">
        <f>+X105+X108</f>
        <v>0</v>
      </c>
      <c r="Y104" s="3341"/>
      <c r="Z104" s="1555"/>
    </row>
    <row r="105" spans="1:29" ht="12" hidden="1" customHeight="1">
      <c r="A105" s="3339"/>
      <c r="B105" s="1690" t="s">
        <v>23</v>
      </c>
      <c r="C105" s="3371" t="s">
        <v>217</v>
      </c>
      <c r="D105" s="2034">
        <f>+D106+D107</f>
        <v>0</v>
      </c>
      <c r="E105" s="2034">
        <f>+E106+E107</f>
        <v>0</v>
      </c>
      <c r="F105" s="2034">
        <f>+F106+F107</f>
        <v>0</v>
      </c>
      <c r="G105" s="2034">
        <f>+G106+G107</f>
        <v>0</v>
      </c>
      <c r="H105" s="2034">
        <f>+H106+H107</f>
        <v>0</v>
      </c>
      <c r="I105" s="2023">
        <f>SUM(I106:I107)</f>
        <v>0</v>
      </c>
      <c r="J105" s="2023">
        <f>SUM(J106:J107)</f>
        <v>0</v>
      </c>
      <c r="K105" s="2023">
        <f>SUM(K106:K107)</f>
        <v>0</v>
      </c>
      <c r="L105" s="2025">
        <f t="shared" ref="L105:O105" si="112">L106+L107</f>
        <v>0</v>
      </c>
      <c r="M105" s="2025">
        <f t="shared" ref="M105" si="113">M106+M107</f>
        <v>0</v>
      </c>
      <c r="N105" s="2023">
        <f t="shared" si="112"/>
        <v>0</v>
      </c>
      <c r="O105" s="2023">
        <f t="shared" si="112"/>
        <v>0</v>
      </c>
      <c r="P105" s="2023"/>
      <c r="Q105" s="2023"/>
      <c r="R105" s="2023"/>
      <c r="S105" s="2023"/>
      <c r="T105" s="2023"/>
      <c r="U105" s="2023"/>
      <c r="V105" s="2023"/>
      <c r="W105" s="2023"/>
      <c r="X105" s="2048">
        <f>X106+X107</f>
        <v>0</v>
      </c>
      <c r="Y105" s="3341"/>
      <c r="Z105" s="1555"/>
    </row>
    <row r="106" spans="1:29" ht="12" hidden="1" customHeight="1">
      <c r="A106" s="3339"/>
      <c r="B106" s="503" t="s">
        <v>24</v>
      </c>
      <c r="C106" s="3372"/>
      <c r="D106" s="2026">
        <f t="shared" ref="D106:D107" si="114">M106+O106+P106+Q106+R106+S106+T106</f>
        <v>0</v>
      </c>
      <c r="E106" s="2050">
        <f>F106+G106+H106</f>
        <v>0</v>
      </c>
      <c r="F106" s="2050"/>
      <c r="G106" s="2050"/>
      <c r="H106" s="2050"/>
      <c r="I106" s="2031"/>
      <c r="J106" s="2031"/>
      <c r="K106" s="2031"/>
      <c r="L106" s="2049"/>
      <c r="M106" s="2031">
        <f>E106+I106+J106+K106+L106+N106</f>
        <v>0</v>
      </c>
      <c r="N106" s="2031"/>
      <c r="O106" s="2031"/>
      <c r="P106" s="2031"/>
      <c r="Q106" s="2031"/>
      <c r="R106" s="2031"/>
      <c r="S106" s="2031"/>
      <c r="T106" s="2031"/>
      <c r="U106" s="2031"/>
      <c r="V106" s="2031"/>
      <c r="W106" s="2031"/>
      <c r="X106" s="2033">
        <f>SUM(P106:T106)</f>
        <v>0</v>
      </c>
      <c r="Y106" s="3341"/>
      <c r="Z106" s="1555">
        <f>D106-D114</f>
        <v>0</v>
      </c>
      <c r="AA106" s="1555"/>
    </row>
    <row r="107" spans="1:29" ht="12" hidden="1" customHeight="1">
      <c r="A107" s="3339"/>
      <c r="B107" s="503" t="s">
        <v>26</v>
      </c>
      <c r="C107" s="3372"/>
      <c r="D107" s="2026">
        <f t="shared" si="114"/>
        <v>0</v>
      </c>
      <c r="E107" s="2050"/>
      <c r="F107" s="2050"/>
      <c r="G107" s="2050"/>
      <c r="H107" s="2050"/>
      <c r="I107" s="2031"/>
      <c r="J107" s="2031"/>
      <c r="K107" s="2031"/>
      <c r="L107" s="2049"/>
      <c r="M107" s="2031">
        <f>E107+I107+J107+K107+L107+N107</f>
        <v>0</v>
      </c>
      <c r="N107" s="2031"/>
      <c r="O107" s="2031"/>
      <c r="P107" s="2031"/>
      <c r="Q107" s="2031"/>
      <c r="R107" s="2031"/>
      <c r="S107" s="2031"/>
      <c r="T107" s="2031"/>
      <c r="U107" s="2031"/>
      <c r="V107" s="2031"/>
      <c r="W107" s="2031"/>
      <c r="X107" s="2033">
        <f>SUM(P107:T107)</f>
        <v>0</v>
      </c>
      <c r="Y107" s="3341"/>
      <c r="Z107" s="1555">
        <f>D109-D117</f>
        <v>0</v>
      </c>
    </row>
    <row r="108" spans="1:29" ht="12" hidden="1" customHeight="1">
      <c r="A108" s="3339"/>
      <c r="B108" s="1699" t="s">
        <v>30</v>
      </c>
      <c r="C108" s="3372"/>
      <c r="D108" s="2034">
        <f>+D110+D109</f>
        <v>0</v>
      </c>
      <c r="E108" s="2034">
        <f t="shared" ref="E108:O108" si="115">+E110+E109</f>
        <v>0</v>
      </c>
      <c r="F108" s="2034">
        <f t="shared" si="115"/>
        <v>0</v>
      </c>
      <c r="G108" s="2034">
        <f t="shared" si="115"/>
        <v>0</v>
      </c>
      <c r="H108" s="2034">
        <f t="shared" si="115"/>
        <v>0</v>
      </c>
      <c r="I108" s="2034">
        <f t="shared" si="115"/>
        <v>0</v>
      </c>
      <c r="J108" s="2034">
        <f t="shared" si="115"/>
        <v>0</v>
      </c>
      <c r="K108" s="2034">
        <f t="shared" si="115"/>
        <v>0</v>
      </c>
      <c r="L108" s="1691">
        <f t="shared" si="115"/>
        <v>0</v>
      </c>
      <c r="M108" s="2025">
        <f t="shared" ref="M108" si="116">+M110+M109</f>
        <v>0</v>
      </c>
      <c r="N108" s="2023">
        <f t="shared" si="115"/>
        <v>0</v>
      </c>
      <c r="O108" s="2034">
        <f t="shared" si="115"/>
        <v>0</v>
      </c>
      <c r="P108" s="2034"/>
      <c r="Q108" s="2034"/>
      <c r="R108" s="1546"/>
      <c r="S108" s="1546"/>
      <c r="T108" s="1546"/>
      <c r="U108" s="1546"/>
      <c r="V108" s="1546"/>
      <c r="W108" s="1546"/>
      <c r="X108" s="2048">
        <f>+X110</f>
        <v>0</v>
      </c>
      <c r="Y108" s="3341"/>
      <c r="Z108" s="1555"/>
      <c r="AA108" s="1555"/>
      <c r="AB108" s="1555"/>
      <c r="AC108" s="1555"/>
    </row>
    <row r="109" spans="1:29" ht="12" hidden="1" customHeight="1">
      <c r="A109" s="3339"/>
      <c r="B109" s="503" t="s">
        <v>24</v>
      </c>
      <c r="C109" s="3372"/>
      <c r="D109" s="2026">
        <f t="shared" ref="D109:D110" si="117">M109+O109+P109+Q109+R109+S109+T109</f>
        <v>0</v>
      </c>
      <c r="E109" s="2050">
        <f>F109+G109+H109</f>
        <v>0</v>
      </c>
      <c r="F109" s="1931"/>
      <c r="G109" s="1931"/>
      <c r="H109" s="1931"/>
      <c r="I109" s="1548"/>
      <c r="J109" s="1548"/>
      <c r="K109" s="1548"/>
      <c r="L109" s="2049"/>
      <c r="M109" s="2031">
        <f>E109+I109+J109+K109+L109+N109</f>
        <v>0</v>
      </c>
      <c r="N109" s="2031"/>
      <c r="O109" s="2024">
        <v>0</v>
      </c>
      <c r="P109" s="2023"/>
      <c r="Q109" s="1546"/>
      <c r="R109" s="1546"/>
      <c r="S109" s="1546"/>
      <c r="T109" s="1546"/>
      <c r="U109" s="1546"/>
      <c r="V109" s="1546"/>
      <c r="W109" s="1546"/>
      <c r="X109" s="2033">
        <f>SUM(P109:T109)</f>
        <v>0</v>
      </c>
      <c r="Y109" s="3341"/>
    </row>
    <row r="110" spans="1:29" ht="12" hidden="1" customHeight="1">
      <c r="A110" s="3367"/>
      <c r="B110" s="503" t="s">
        <v>26</v>
      </c>
      <c r="C110" s="3373"/>
      <c r="D110" s="2026">
        <f t="shared" si="117"/>
        <v>0</v>
      </c>
      <c r="E110" s="2050"/>
      <c r="F110" s="1931"/>
      <c r="G110" s="1931"/>
      <c r="H110" s="2050"/>
      <c r="I110" s="2031"/>
      <c r="J110" s="2031"/>
      <c r="K110" s="2031"/>
      <c r="L110" s="2049"/>
      <c r="M110" s="2031">
        <f>E110+I110+J110+K110+L110+N110</f>
        <v>0</v>
      </c>
      <c r="N110" s="2031"/>
      <c r="O110" s="2031"/>
      <c r="P110" s="2031"/>
      <c r="Q110" s="2031"/>
      <c r="R110" s="2031"/>
      <c r="S110" s="2031"/>
      <c r="T110" s="2031"/>
      <c r="U110" s="2031"/>
      <c r="V110" s="2031"/>
      <c r="W110" s="2031"/>
      <c r="X110" s="2033">
        <f>SUM(P110:T110)</f>
        <v>0</v>
      </c>
      <c r="Y110" s="3341"/>
    </row>
    <row r="111" spans="1:29" ht="14.25" hidden="1" customHeight="1">
      <c r="A111" s="3367"/>
      <c r="B111" s="505" t="s">
        <v>34</v>
      </c>
      <c r="C111" s="2018"/>
      <c r="D111" s="2021">
        <f t="shared" ref="D111:O111" si="118">+D112+D115</f>
        <v>0</v>
      </c>
      <c r="E111" s="2021">
        <f t="shared" si="118"/>
        <v>0</v>
      </c>
      <c r="F111" s="2021">
        <f t="shared" si="118"/>
        <v>0</v>
      </c>
      <c r="G111" s="2021">
        <f t="shared" si="118"/>
        <v>0</v>
      </c>
      <c r="H111" s="2021">
        <f t="shared" si="118"/>
        <v>0</v>
      </c>
      <c r="I111" s="2021">
        <f t="shared" si="118"/>
        <v>0</v>
      </c>
      <c r="J111" s="2021">
        <f t="shared" si="118"/>
        <v>0</v>
      </c>
      <c r="K111" s="2021">
        <f t="shared" si="118"/>
        <v>0</v>
      </c>
      <c r="L111" s="1688">
        <f t="shared" si="118"/>
        <v>0</v>
      </c>
      <c r="M111" s="2551">
        <f t="shared" ref="M111" si="119">+M112+M115</f>
        <v>0</v>
      </c>
      <c r="N111" s="2021">
        <f t="shared" si="118"/>
        <v>0</v>
      </c>
      <c r="O111" s="2021">
        <f t="shared" si="118"/>
        <v>0</v>
      </c>
      <c r="P111" s="2020"/>
      <c r="Q111" s="2020"/>
      <c r="R111" s="2020"/>
      <c r="S111" s="2020"/>
      <c r="T111" s="2020"/>
      <c r="U111" s="2020"/>
      <c r="V111" s="2020"/>
      <c r="W111" s="2020"/>
      <c r="X111" s="3359" t="s">
        <v>77</v>
      </c>
      <c r="Y111" s="3341"/>
    </row>
    <row r="112" spans="1:29" ht="12.95" hidden="1" customHeight="1">
      <c r="A112" s="3367"/>
      <c r="B112" s="1690" t="s">
        <v>23</v>
      </c>
      <c r="C112" s="3374" t="s">
        <v>217</v>
      </c>
      <c r="D112" s="2023">
        <f t="shared" ref="D112:O112" si="120">+D113+D114</f>
        <v>0</v>
      </c>
      <c r="E112" s="2023">
        <f t="shared" si="120"/>
        <v>0</v>
      </c>
      <c r="F112" s="2023">
        <f t="shared" si="120"/>
        <v>0</v>
      </c>
      <c r="G112" s="2023">
        <f t="shared" si="120"/>
        <v>0</v>
      </c>
      <c r="H112" s="2023">
        <f t="shared" si="120"/>
        <v>0</v>
      </c>
      <c r="I112" s="2023">
        <f t="shared" si="120"/>
        <v>0</v>
      </c>
      <c r="J112" s="2023">
        <f t="shared" si="120"/>
        <v>0</v>
      </c>
      <c r="K112" s="2023">
        <f t="shared" si="120"/>
        <v>0</v>
      </c>
      <c r="L112" s="2025">
        <f t="shared" si="120"/>
        <v>0</v>
      </c>
      <c r="M112" s="2025">
        <f t="shared" ref="M112" si="121">+M113+M114</f>
        <v>0</v>
      </c>
      <c r="N112" s="2023">
        <f t="shared" si="120"/>
        <v>0</v>
      </c>
      <c r="O112" s="2023">
        <f t="shared" si="120"/>
        <v>0</v>
      </c>
      <c r="P112" s="1546"/>
      <c r="Q112" s="1546"/>
      <c r="R112" s="1546"/>
      <c r="S112" s="1546"/>
      <c r="T112" s="1546"/>
      <c r="U112" s="1546"/>
      <c r="V112" s="1546"/>
      <c r="W112" s="1546"/>
      <c r="X112" s="3359"/>
      <c r="Y112" s="3341"/>
    </row>
    <row r="113" spans="1:25" ht="12" hidden="1" customHeight="1">
      <c r="A113" s="3367"/>
      <c r="B113" s="503" t="s">
        <v>26</v>
      </c>
      <c r="C113" s="3374"/>
      <c r="D113" s="2026">
        <f t="shared" ref="D113:D114" si="122">M113+O113+P113+Q113+R113+S113+T113</f>
        <v>0</v>
      </c>
      <c r="E113" s="2050"/>
      <c r="F113" s="2050"/>
      <c r="G113" s="2050"/>
      <c r="H113" s="2050"/>
      <c r="I113" s="2031"/>
      <c r="J113" s="2031"/>
      <c r="K113" s="2031"/>
      <c r="L113" s="2049"/>
      <c r="M113" s="2031">
        <f>E113+I113+J113+K113+L113+N113</f>
        <v>0</v>
      </c>
      <c r="N113" s="2031"/>
      <c r="O113" s="2031"/>
      <c r="P113" s="2031"/>
      <c r="Q113" s="2031"/>
      <c r="R113" s="2031"/>
      <c r="S113" s="2031"/>
      <c r="T113" s="2031"/>
      <c r="U113" s="2031"/>
      <c r="V113" s="2031"/>
      <c r="W113" s="2031"/>
      <c r="X113" s="3359"/>
      <c r="Y113" s="3341"/>
    </row>
    <row r="114" spans="1:25" ht="12" hidden="1" customHeight="1">
      <c r="A114" s="3367"/>
      <c r="B114" s="503" t="s">
        <v>37</v>
      </c>
      <c r="C114" s="3374"/>
      <c r="D114" s="2026">
        <f t="shared" si="122"/>
        <v>0</v>
      </c>
      <c r="E114" s="2050">
        <f>+F114+G114+H114</f>
        <v>0</v>
      </c>
      <c r="F114" s="2050"/>
      <c r="G114" s="2050"/>
      <c r="H114" s="2552"/>
      <c r="I114" s="2031"/>
      <c r="J114" s="2031"/>
      <c r="K114" s="2031"/>
      <c r="L114" s="2049"/>
      <c r="M114" s="2031">
        <f>E114+I114+J114+K114+L114+N114</f>
        <v>0</v>
      </c>
      <c r="N114" s="2031"/>
      <c r="O114" s="2031"/>
      <c r="P114" s="2031"/>
      <c r="Q114" s="2031"/>
      <c r="R114" s="2031"/>
      <c r="S114" s="2031"/>
      <c r="T114" s="2031"/>
      <c r="U114" s="2031"/>
      <c r="V114" s="2031"/>
      <c r="W114" s="2031"/>
      <c r="X114" s="3359"/>
      <c r="Y114" s="3341"/>
    </row>
    <row r="115" spans="1:25" ht="12" hidden="1" customHeight="1">
      <c r="A115" s="3367"/>
      <c r="B115" s="1699" t="s">
        <v>30</v>
      </c>
      <c r="C115" s="3374"/>
      <c r="D115" s="2023">
        <f t="shared" ref="D115:O115" si="123">+D116+D117</f>
        <v>0</v>
      </c>
      <c r="E115" s="2023">
        <f t="shared" si="123"/>
        <v>0</v>
      </c>
      <c r="F115" s="2023">
        <f t="shared" si="123"/>
        <v>0</v>
      </c>
      <c r="G115" s="2023">
        <f t="shared" si="123"/>
        <v>0</v>
      </c>
      <c r="H115" s="2023">
        <f t="shared" si="123"/>
        <v>0</v>
      </c>
      <c r="I115" s="2023">
        <f t="shared" si="123"/>
        <v>0</v>
      </c>
      <c r="J115" s="2023">
        <f t="shared" si="123"/>
        <v>0</v>
      </c>
      <c r="K115" s="2023">
        <f t="shared" si="123"/>
        <v>0</v>
      </c>
      <c r="L115" s="2025">
        <f t="shared" si="123"/>
        <v>0</v>
      </c>
      <c r="M115" s="2025">
        <f t="shared" ref="M115" si="124">+M116+M117</f>
        <v>0</v>
      </c>
      <c r="N115" s="2023">
        <f t="shared" si="123"/>
        <v>0</v>
      </c>
      <c r="O115" s="2023">
        <f t="shared" si="123"/>
        <v>0</v>
      </c>
      <c r="P115" s="1546"/>
      <c r="Q115" s="1546"/>
      <c r="R115" s="1546"/>
      <c r="S115" s="1546"/>
      <c r="T115" s="1546"/>
      <c r="U115" s="1546"/>
      <c r="V115" s="1546"/>
      <c r="W115" s="1546"/>
      <c r="X115" s="3359"/>
      <c r="Y115" s="3341"/>
    </row>
    <row r="116" spans="1:25" ht="12" hidden="1" customHeight="1">
      <c r="A116" s="3367"/>
      <c r="B116" s="503" t="s">
        <v>26</v>
      </c>
      <c r="C116" s="3374"/>
      <c r="D116" s="2026">
        <f t="shared" ref="D116:D117" si="125">M116+O116+P116+Q116+R116+S116+T116</f>
        <v>0</v>
      </c>
      <c r="E116" s="2050">
        <f>+F116+G116+H116</f>
        <v>0</v>
      </c>
      <c r="F116" s="2553"/>
      <c r="G116" s="2553"/>
      <c r="H116" s="2553"/>
      <c r="I116" s="2031"/>
      <c r="J116" s="2031"/>
      <c r="K116" s="2031"/>
      <c r="L116" s="2031"/>
      <c r="M116" s="2031">
        <f>E116+I116+J116+K116+L116+N116</f>
        <v>0</v>
      </c>
      <c r="N116" s="2031"/>
      <c r="O116" s="2031"/>
      <c r="P116" s="2031"/>
      <c r="Q116" s="2031"/>
      <c r="R116" s="2031"/>
      <c r="S116" s="2031"/>
      <c r="T116" s="2031"/>
      <c r="U116" s="2031"/>
      <c r="V116" s="2031"/>
      <c r="W116" s="2031"/>
      <c r="X116" s="3359"/>
      <c r="Y116" s="3341"/>
    </row>
    <row r="117" spans="1:25" ht="12" hidden="1" customHeight="1" thickBot="1">
      <c r="A117" s="3368"/>
      <c r="B117" s="2217" t="s">
        <v>32</v>
      </c>
      <c r="C117" s="3375"/>
      <c r="D117" s="2040">
        <f t="shared" si="125"/>
        <v>0</v>
      </c>
      <c r="E117" s="2554">
        <f>+F117+G117+H117</f>
        <v>0</v>
      </c>
      <c r="F117" s="2555"/>
      <c r="G117" s="2555"/>
      <c r="H117" s="492"/>
      <c r="I117" s="491"/>
      <c r="J117" s="1040"/>
      <c r="K117" s="1040"/>
      <c r="L117" s="491"/>
      <c r="M117" s="2043">
        <f>E117+I117+J117+K117+L117+N117</f>
        <v>0</v>
      </c>
      <c r="N117" s="491"/>
      <c r="O117" s="2043"/>
      <c r="P117" s="491"/>
      <c r="Q117" s="491"/>
      <c r="R117" s="491"/>
      <c r="S117" s="491"/>
      <c r="T117" s="491"/>
      <c r="U117" s="491"/>
      <c r="V117" s="491"/>
      <c r="W117" s="491"/>
      <c r="X117" s="3137"/>
      <c r="Y117" s="3370"/>
    </row>
    <row r="118" spans="1:25" ht="26.25" hidden="1" customHeight="1">
      <c r="A118" s="3339" t="s">
        <v>82</v>
      </c>
      <c r="B118" s="2009" t="s">
        <v>218</v>
      </c>
      <c r="C118" s="2010" t="s">
        <v>98</v>
      </c>
      <c r="D118" s="2010"/>
      <c r="E118" s="522"/>
      <c r="F118" s="522"/>
      <c r="G118" s="522"/>
      <c r="H118" s="522"/>
      <c r="I118" s="523"/>
      <c r="J118" s="523"/>
      <c r="K118" s="523"/>
      <c r="L118" s="2556"/>
      <c r="M118" s="523"/>
      <c r="N118" s="523"/>
      <c r="O118" s="523"/>
      <c r="P118" s="523"/>
      <c r="Q118" s="523"/>
      <c r="R118" s="523"/>
      <c r="S118" s="523"/>
      <c r="T118" s="523"/>
      <c r="U118" s="523"/>
      <c r="V118" s="523"/>
      <c r="W118" s="523"/>
      <c r="X118" s="2013"/>
      <c r="Y118" s="3341" t="s">
        <v>219</v>
      </c>
    </row>
    <row r="119" spans="1:25" ht="14.25" hidden="1" customHeight="1">
      <c r="A119" s="3339"/>
      <c r="B119" s="374" t="s">
        <v>22</v>
      </c>
      <c r="C119" s="1736"/>
      <c r="D119" s="1707">
        <f t="shared" ref="D119:N119" si="126">+D120+D123</f>
        <v>0</v>
      </c>
      <c r="E119" s="1708">
        <f t="shared" si="126"/>
        <v>0</v>
      </c>
      <c r="F119" s="1687">
        <f t="shared" si="126"/>
        <v>0</v>
      </c>
      <c r="G119" s="1687">
        <f t="shared" si="126"/>
        <v>0</v>
      </c>
      <c r="H119" s="1687">
        <f t="shared" si="126"/>
        <v>0</v>
      </c>
      <c r="I119" s="1687">
        <f t="shared" si="126"/>
        <v>0</v>
      </c>
      <c r="J119" s="1708">
        <f t="shared" si="126"/>
        <v>0</v>
      </c>
      <c r="K119" s="1708">
        <f t="shared" si="126"/>
        <v>0</v>
      </c>
      <c r="L119" s="1709">
        <f t="shared" si="126"/>
        <v>0</v>
      </c>
      <c r="M119" s="1687">
        <f t="shared" ref="M119" si="127">+M120+M123</f>
        <v>0</v>
      </c>
      <c r="N119" s="1726">
        <f t="shared" si="126"/>
        <v>0</v>
      </c>
      <c r="O119" s="1726">
        <f>+O120+O123</f>
        <v>0</v>
      </c>
      <c r="P119" s="1727"/>
      <c r="Q119" s="1727"/>
      <c r="R119" s="1727"/>
      <c r="S119" s="1727"/>
      <c r="T119" s="1727"/>
      <c r="U119" s="1727"/>
      <c r="V119" s="1727"/>
      <c r="W119" s="1727"/>
      <c r="X119" s="2557">
        <f>+X120+X123</f>
        <v>0</v>
      </c>
      <c r="Y119" s="3341"/>
    </row>
    <row r="120" spans="1:25" ht="12" hidden="1" customHeight="1">
      <c r="A120" s="3339"/>
      <c r="B120" s="1690" t="s">
        <v>23</v>
      </c>
      <c r="C120" s="3343" t="s">
        <v>217</v>
      </c>
      <c r="D120" s="1700">
        <f>+D121+D122</f>
        <v>0</v>
      </c>
      <c r="E120" s="1711">
        <f>+E121+E122</f>
        <v>0</v>
      </c>
      <c r="F120" s="1254">
        <f>+F121+F122</f>
        <v>0</v>
      </c>
      <c r="G120" s="1254">
        <f>+G121+G122</f>
        <v>0</v>
      </c>
      <c r="H120" s="1254">
        <f>+H121+H122</f>
        <v>0</v>
      </c>
      <c r="I120" s="1253">
        <f>SUM(I121:I122)</f>
        <v>0</v>
      </c>
      <c r="J120" s="1268">
        <f>SUM(J121:J122)</f>
        <v>0</v>
      </c>
      <c r="K120" s="1716">
        <f>SUM(K121:K122)</f>
        <v>0</v>
      </c>
      <c r="L120" s="1720">
        <f t="shared" ref="L120:N120" si="128">L121+L122</f>
        <v>0</v>
      </c>
      <c r="M120" s="1692">
        <f>SUM(M121:M122)</f>
        <v>0</v>
      </c>
      <c r="N120" s="1716">
        <f t="shared" si="128"/>
        <v>0</v>
      </c>
      <c r="O120" s="1716">
        <f>O121+O122</f>
        <v>0</v>
      </c>
      <c r="P120" s="1692"/>
      <c r="Q120" s="1692"/>
      <c r="R120" s="1692"/>
      <c r="S120" s="1692"/>
      <c r="T120" s="1692"/>
      <c r="U120" s="1692"/>
      <c r="V120" s="1692"/>
      <c r="W120" s="1692"/>
      <c r="X120" s="2558">
        <f>X121+X122</f>
        <v>0</v>
      </c>
      <c r="Y120" s="3341"/>
    </row>
    <row r="121" spans="1:25" ht="12" hidden="1" customHeight="1">
      <c r="A121" s="3339"/>
      <c r="B121" s="503" t="s">
        <v>24</v>
      </c>
      <c r="C121" s="3362"/>
      <c r="D121" s="1408">
        <f t="shared" ref="D121:D122" si="129">M121+O121+P121+Q121+R121+S121+T121</f>
        <v>0</v>
      </c>
      <c r="E121" s="1715">
        <v>0</v>
      </c>
      <c r="F121" s="1698"/>
      <c r="G121" s="1698"/>
      <c r="H121" s="1698"/>
      <c r="I121" s="1694"/>
      <c r="J121" s="1713">
        <v>0</v>
      </c>
      <c r="K121" s="1713">
        <v>0</v>
      </c>
      <c r="L121" s="1721">
        <v>0</v>
      </c>
      <c r="M121" s="1694">
        <f>E121+I121+J121+K121+L121+N121</f>
        <v>0</v>
      </c>
      <c r="N121" s="1735">
        <v>0</v>
      </c>
      <c r="O121" s="1735">
        <v>0</v>
      </c>
      <c r="P121" s="1694"/>
      <c r="Q121" s="1694"/>
      <c r="R121" s="1694"/>
      <c r="S121" s="1694"/>
      <c r="T121" s="1694"/>
      <c r="U121" s="1694"/>
      <c r="V121" s="1694"/>
      <c r="W121" s="1694"/>
      <c r="X121" s="1714">
        <f>+P121+Q121+R121+S121</f>
        <v>0</v>
      </c>
      <c r="Y121" s="3341"/>
    </row>
    <row r="122" spans="1:25" ht="12" hidden="1" customHeight="1">
      <c r="A122" s="3339"/>
      <c r="B122" s="503" t="s">
        <v>26</v>
      </c>
      <c r="C122" s="3362"/>
      <c r="D122" s="1408">
        <f t="shared" si="129"/>
        <v>0</v>
      </c>
      <c r="E122" s="1715">
        <v>0</v>
      </c>
      <c r="F122" s="1698"/>
      <c r="G122" s="1698"/>
      <c r="H122" s="1698"/>
      <c r="I122" s="1694"/>
      <c r="J122" s="1713">
        <v>0</v>
      </c>
      <c r="K122" s="1713">
        <v>0</v>
      </c>
      <c r="L122" s="1721">
        <f>10000-10000</f>
        <v>0</v>
      </c>
      <c r="M122" s="1694">
        <f>E122+I122+J122+K122+L122+N122</f>
        <v>0</v>
      </c>
      <c r="N122" s="1735">
        <v>0</v>
      </c>
      <c r="O122" s="1735">
        <v>0</v>
      </c>
      <c r="P122" s="1694"/>
      <c r="Q122" s="1694"/>
      <c r="R122" s="1694"/>
      <c r="S122" s="1694"/>
      <c r="T122" s="1694"/>
      <c r="U122" s="1694"/>
      <c r="V122" s="1694"/>
      <c r="W122" s="1694"/>
      <c r="X122" s="1714">
        <f>+P122+Q122+R122+S122</f>
        <v>0</v>
      </c>
      <c r="Y122" s="3341"/>
    </row>
    <row r="123" spans="1:25" ht="12" hidden="1" customHeight="1">
      <c r="A123" s="3339"/>
      <c r="B123" s="1731" t="s">
        <v>30</v>
      </c>
      <c r="C123" s="3362"/>
      <c r="D123" s="1700">
        <f>+D124</f>
        <v>0</v>
      </c>
      <c r="E123" s="1711">
        <f t="shared" ref="E123:M123" si="130">+E124</f>
        <v>0</v>
      </c>
      <c r="F123" s="1700">
        <f t="shared" si="130"/>
        <v>0</v>
      </c>
      <c r="G123" s="1700">
        <f t="shared" si="130"/>
        <v>0</v>
      </c>
      <c r="H123" s="1700">
        <f t="shared" si="130"/>
        <v>0</v>
      </c>
      <c r="I123" s="1700">
        <f t="shared" si="130"/>
        <v>0</v>
      </c>
      <c r="J123" s="1711">
        <f t="shared" si="130"/>
        <v>0</v>
      </c>
      <c r="K123" s="1711">
        <f t="shared" si="130"/>
        <v>0</v>
      </c>
      <c r="L123" s="2559">
        <f t="shared" si="130"/>
        <v>0</v>
      </c>
      <c r="M123" s="1692">
        <f t="shared" si="130"/>
        <v>0</v>
      </c>
      <c r="N123" s="1268">
        <f>+N124</f>
        <v>0</v>
      </c>
      <c r="O123" s="1268">
        <f>+O124</f>
        <v>0</v>
      </c>
      <c r="P123" s="1253"/>
      <c r="Q123" s="1253"/>
      <c r="R123" s="1253"/>
      <c r="S123" s="1253"/>
      <c r="T123" s="1253"/>
      <c r="U123" s="1253"/>
      <c r="V123" s="1253"/>
      <c r="W123" s="1253"/>
      <c r="X123" s="2558">
        <f>+X124</f>
        <v>0</v>
      </c>
      <c r="Y123" s="3341"/>
    </row>
    <row r="124" spans="1:25" ht="12" hidden="1" customHeight="1">
      <c r="A124" s="3339"/>
      <c r="B124" s="503" t="s">
        <v>26</v>
      </c>
      <c r="C124" s="3363"/>
      <c r="D124" s="1408">
        <f>M124+O124+P124+Q124+R124+S124+T124</f>
        <v>0</v>
      </c>
      <c r="E124" s="1715">
        <v>0</v>
      </c>
      <c r="F124" s="1270"/>
      <c r="G124" s="1270"/>
      <c r="H124" s="1698"/>
      <c r="I124" s="1694"/>
      <c r="J124" s="1713">
        <v>0</v>
      </c>
      <c r="K124" s="1713">
        <v>0</v>
      </c>
      <c r="L124" s="1721">
        <f>30000-30000</f>
        <v>0</v>
      </c>
      <c r="M124" s="1694">
        <f>E124+I124+J124+K124+L124+N124</f>
        <v>0</v>
      </c>
      <c r="N124" s="1735">
        <v>0</v>
      </c>
      <c r="O124" s="1735">
        <v>0</v>
      </c>
      <c r="P124" s="1694"/>
      <c r="Q124" s="1694"/>
      <c r="R124" s="1694"/>
      <c r="S124" s="1694"/>
      <c r="T124" s="1694"/>
      <c r="U124" s="1694"/>
      <c r="V124" s="1694"/>
      <c r="W124" s="1694"/>
      <c r="X124" s="1714">
        <f>+P124+Q124+R124+S124</f>
        <v>0</v>
      </c>
      <c r="Y124" s="3341"/>
    </row>
    <row r="125" spans="1:25" ht="13.5" hidden="1" customHeight="1">
      <c r="A125" s="3339"/>
      <c r="B125" s="374" t="s">
        <v>34</v>
      </c>
      <c r="C125" s="1725"/>
      <c r="D125" s="1687">
        <f t="shared" ref="D125:N125" si="131">+D126+D128</f>
        <v>0</v>
      </c>
      <c r="E125" s="1708">
        <f t="shared" si="131"/>
        <v>0</v>
      </c>
      <c r="F125" s="1687">
        <f t="shared" si="131"/>
        <v>0</v>
      </c>
      <c r="G125" s="1687">
        <f t="shared" si="131"/>
        <v>0</v>
      </c>
      <c r="H125" s="1687">
        <f t="shared" si="131"/>
        <v>0</v>
      </c>
      <c r="I125" s="1687">
        <f t="shared" si="131"/>
        <v>0</v>
      </c>
      <c r="J125" s="1708">
        <f t="shared" si="131"/>
        <v>0</v>
      </c>
      <c r="K125" s="1708">
        <f t="shared" si="131"/>
        <v>0</v>
      </c>
      <c r="L125" s="1709">
        <f t="shared" si="131"/>
        <v>0</v>
      </c>
      <c r="M125" s="1687">
        <f t="shared" ref="M125" si="132">+M126+M128</f>
        <v>0</v>
      </c>
      <c r="N125" s="1726">
        <f t="shared" si="131"/>
        <v>0</v>
      </c>
      <c r="O125" s="1726">
        <f>+O126+O128</f>
        <v>0</v>
      </c>
      <c r="P125" s="1727"/>
      <c r="Q125" s="1727"/>
      <c r="R125" s="1727"/>
      <c r="S125" s="1727"/>
      <c r="T125" s="1727"/>
      <c r="U125" s="1727"/>
      <c r="V125" s="1727"/>
      <c r="W125" s="1727"/>
      <c r="X125" s="3365" t="s">
        <v>77</v>
      </c>
      <c r="Y125" s="3341"/>
    </row>
    <row r="126" spans="1:25" ht="12.75" hidden="1" customHeight="1">
      <c r="A126" s="3339"/>
      <c r="B126" s="1690" t="s">
        <v>23</v>
      </c>
      <c r="C126" s="3364" t="s">
        <v>217</v>
      </c>
      <c r="D126" s="1692">
        <f>+D127</f>
        <v>0</v>
      </c>
      <c r="E126" s="1716">
        <f t="shared" ref="E126:O126" si="133">+E127</f>
        <v>0</v>
      </c>
      <c r="F126" s="1692">
        <f t="shared" si="133"/>
        <v>0</v>
      </c>
      <c r="G126" s="1692">
        <f t="shared" si="133"/>
        <v>0</v>
      </c>
      <c r="H126" s="1692">
        <f t="shared" si="133"/>
        <v>0</v>
      </c>
      <c r="I126" s="1692">
        <f t="shared" si="133"/>
        <v>0</v>
      </c>
      <c r="J126" s="1716">
        <f t="shared" si="133"/>
        <v>0</v>
      </c>
      <c r="K126" s="1716">
        <f t="shared" si="133"/>
        <v>0</v>
      </c>
      <c r="L126" s="1720">
        <f t="shared" si="133"/>
        <v>0</v>
      </c>
      <c r="M126" s="1692">
        <f t="shared" si="133"/>
        <v>0</v>
      </c>
      <c r="N126" s="1716">
        <f t="shared" si="133"/>
        <v>0</v>
      </c>
      <c r="O126" s="1716">
        <f t="shared" si="133"/>
        <v>0</v>
      </c>
      <c r="P126" s="1692"/>
      <c r="Q126" s="1692"/>
      <c r="R126" s="1692"/>
      <c r="S126" s="1692"/>
      <c r="T126" s="1692"/>
      <c r="U126" s="1692"/>
      <c r="V126" s="1692"/>
      <c r="W126" s="1692"/>
      <c r="X126" s="3365"/>
      <c r="Y126" s="3341"/>
    </row>
    <row r="127" spans="1:25" ht="12.75" hidden="1" customHeight="1">
      <c r="A127" s="3339"/>
      <c r="B127" s="503" t="s">
        <v>26</v>
      </c>
      <c r="C127" s="3364"/>
      <c r="D127" s="1408">
        <f>M127+O127+P127+Q127+R127+S127+T127</f>
        <v>0</v>
      </c>
      <c r="E127" s="1715">
        <v>0</v>
      </c>
      <c r="F127" s="1698"/>
      <c r="G127" s="1698"/>
      <c r="H127" s="1698"/>
      <c r="I127" s="1694"/>
      <c r="J127" s="1713">
        <v>0</v>
      </c>
      <c r="K127" s="1713">
        <v>0</v>
      </c>
      <c r="L127" s="1721">
        <f>10000-10000</f>
        <v>0</v>
      </c>
      <c r="M127" s="1694">
        <f>E127+I127+J127+K127+L127+N127</f>
        <v>0</v>
      </c>
      <c r="N127" s="1735">
        <v>0</v>
      </c>
      <c r="O127" s="1735">
        <v>0</v>
      </c>
      <c r="P127" s="1694"/>
      <c r="Q127" s="1694"/>
      <c r="R127" s="1694"/>
      <c r="S127" s="1694"/>
      <c r="T127" s="1694"/>
      <c r="U127" s="1694"/>
      <c r="V127" s="1694"/>
      <c r="W127" s="1694"/>
      <c r="X127" s="3365"/>
      <c r="Y127" s="3341"/>
    </row>
    <row r="128" spans="1:25" ht="12.75" hidden="1" customHeight="1">
      <c r="A128" s="3339"/>
      <c r="B128" s="1731" t="s">
        <v>30</v>
      </c>
      <c r="C128" s="3364"/>
      <c r="D128" s="1692">
        <f>+D129</f>
        <v>0</v>
      </c>
      <c r="E128" s="1716">
        <f t="shared" ref="E128:O128" si="134">+E129</f>
        <v>0</v>
      </c>
      <c r="F128" s="1692">
        <f t="shared" si="134"/>
        <v>0</v>
      </c>
      <c r="G128" s="1692">
        <f t="shared" si="134"/>
        <v>0</v>
      </c>
      <c r="H128" s="1692">
        <f t="shared" si="134"/>
        <v>0</v>
      </c>
      <c r="I128" s="1692">
        <f t="shared" si="134"/>
        <v>0</v>
      </c>
      <c r="J128" s="1716">
        <f t="shared" si="134"/>
        <v>0</v>
      </c>
      <c r="K128" s="1716">
        <f t="shared" si="134"/>
        <v>0</v>
      </c>
      <c r="L128" s="1720">
        <f t="shared" si="134"/>
        <v>0</v>
      </c>
      <c r="M128" s="1692">
        <f t="shared" si="134"/>
        <v>0</v>
      </c>
      <c r="N128" s="1716">
        <f t="shared" si="134"/>
        <v>0</v>
      </c>
      <c r="O128" s="1716">
        <f t="shared" si="134"/>
        <v>0</v>
      </c>
      <c r="P128" s="1692"/>
      <c r="Q128" s="1692"/>
      <c r="R128" s="1692"/>
      <c r="S128" s="1692"/>
      <c r="T128" s="1692"/>
      <c r="U128" s="1692"/>
      <c r="V128" s="1692"/>
      <c r="W128" s="1692"/>
      <c r="X128" s="3365"/>
      <c r="Y128" s="3341"/>
    </row>
    <row r="129" spans="1:27" ht="12.75" hidden="1" customHeight="1">
      <c r="A129" s="3339"/>
      <c r="B129" s="503" t="s">
        <v>26</v>
      </c>
      <c r="C129" s="3364"/>
      <c r="D129" s="1408">
        <f>M129+O129+P129+Q129+R129+S129+T129</f>
        <v>0</v>
      </c>
      <c r="E129" s="1715">
        <v>0</v>
      </c>
      <c r="F129" s="2560"/>
      <c r="G129" s="2560"/>
      <c r="H129" s="2560"/>
      <c r="I129" s="1694"/>
      <c r="J129" s="1713">
        <v>0</v>
      </c>
      <c r="K129" s="1713">
        <v>0</v>
      </c>
      <c r="L129" s="1721">
        <f>30000-30000</f>
        <v>0</v>
      </c>
      <c r="M129" s="1694">
        <f>E129+I129+J129+K129+L129+N129</f>
        <v>0</v>
      </c>
      <c r="N129" s="1735">
        <v>0</v>
      </c>
      <c r="O129" s="1735">
        <v>0</v>
      </c>
      <c r="P129" s="1694"/>
      <c r="Q129" s="1694"/>
      <c r="R129" s="1694"/>
      <c r="S129" s="1694"/>
      <c r="T129" s="1694"/>
      <c r="U129" s="1694"/>
      <c r="V129" s="1694"/>
      <c r="W129" s="1694"/>
      <c r="X129" s="3365"/>
      <c r="Y129" s="3342"/>
    </row>
    <row r="130" spans="1:27" s="729" customFormat="1" ht="30" hidden="1" customHeight="1">
      <c r="A130" s="3263"/>
      <c r="B130" s="1599"/>
      <c r="C130" s="1587" t="s">
        <v>130</v>
      </c>
      <c r="D130" s="1043"/>
      <c r="E130" s="1043"/>
      <c r="F130" s="1043"/>
      <c r="G130" s="1043"/>
      <c r="H130" s="1043"/>
      <c r="I130" s="1043"/>
      <c r="J130" s="1043"/>
      <c r="K130" s="1043"/>
      <c r="L130" s="1043"/>
      <c r="M130" s="1043"/>
      <c r="N130" s="1600"/>
      <c r="O130" s="1600"/>
      <c r="P130" s="1601"/>
      <c r="Q130" s="1601"/>
      <c r="R130" s="1601"/>
      <c r="S130" s="1601"/>
      <c r="T130" s="1601"/>
      <c r="U130" s="1601"/>
      <c r="V130" s="1601"/>
      <c r="W130" s="1601"/>
      <c r="X130" s="1602"/>
      <c r="Y130" s="3361" t="s">
        <v>131</v>
      </c>
    </row>
    <row r="131" spans="1:27" s="729" customFormat="1" ht="16.5" hidden="1" customHeight="1">
      <c r="A131" s="3360"/>
      <c r="B131" s="1603" t="s">
        <v>22</v>
      </c>
      <c r="C131" s="1574"/>
      <c r="D131" s="1179">
        <f>+D132</f>
        <v>0</v>
      </c>
      <c r="E131" s="1179">
        <f t="shared" ref="E131:O131" si="135">+E132</f>
        <v>0</v>
      </c>
      <c r="F131" s="1179">
        <f t="shared" si="135"/>
        <v>0</v>
      </c>
      <c r="G131" s="1179">
        <f t="shared" si="135"/>
        <v>0</v>
      </c>
      <c r="H131" s="1179">
        <f t="shared" si="135"/>
        <v>0</v>
      </c>
      <c r="I131" s="1179">
        <f t="shared" si="135"/>
        <v>0</v>
      </c>
      <c r="J131" s="1179">
        <f t="shared" si="135"/>
        <v>0</v>
      </c>
      <c r="K131" s="1179">
        <f t="shared" si="135"/>
        <v>0</v>
      </c>
      <c r="L131" s="1179">
        <f t="shared" si="135"/>
        <v>0</v>
      </c>
      <c r="M131" s="1179">
        <f t="shared" si="135"/>
        <v>0</v>
      </c>
      <c r="N131" s="1179">
        <f t="shared" si="135"/>
        <v>0</v>
      </c>
      <c r="O131" s="1179">
        <f t="shared" si="135"/>
        <v>0</v>
      </c>
      <c r="P131" s="1179"/>
      <c r="Q131" s="1179"/>
      <c r="R131" s="1604"/>
      <c r="S131" s="1604"/>
      <c r="T131" s="1604"/>
      <c r="U131" s="1604"/>
      <c r="V131" s="1604"/>
      <c r="W131" s="1604"/>
      <c r="X131" s="1567">
        <f>+X132</f>
        <v>0</v>
      </c>
      <c r="Y131" s="3361"/>
      <c r="Z131" s="1584"/>
      <c r="AA131" s="1584"/>
    </row>
    <row r="132" spans="1:27" s="729" customFormat="1" ht="14.25" hidden="1" customHeight="1">
      <c r="A132" s="3360"/>
      <c r="B132" s="1605" t="s">
        <v>30</v>
      </c>
      <c r="C132" s="3040" t="s">
        <v>220</v>
      </c>
      <c r="D132" s="1606">
        <f t="shared" ref="D132:X132" si="136">+D133</f>
        <v>0</v>
      </c>
      <c r="E132" s="1606">
        <f t="shared" si="136"/>
        <v>0</v>
      </c>
      <c r="F132" s="1606">
        <f t="shared" si="136"/>
        <v>0</v>
      </c>
      <c r="G132" s="1606">
        <f t="shared" si="136"/>
        <v>0</v>
      </c>
      <c r="H132" s="1606">
        <f t="shared" si="136"/>
        <v>0</v>
      </c>
      <c r="I132" s="1606">
        <f t="shared" si="136"/>
        <v>0</v>
      </c>
      <c r="J132" s="1606">
        <f t="shared" si="136"/>
        <v>0</v>
      </c>
      <c r="K132" s="1606">
        <f t="shared" si="136"/>
        <v>0</v>
      </c>
      <c r="L132" s="1606">
        <f t="shared" si="136"/>
        <v>0</v>
      </c>
      <c r="M132" s="1606">
        <f t="shared" si="136"/>
        <v>0</v>
      </c>
      <c r="N132" s="501">
        <f>N133</f>
        <v>0</v>
      </c>
      <c r="O132" s="501">
        <f>O133</f>
        <v>0</v>
      </c>
      <c r="P132" s="501"/>
      <c r="Q132" s="501"/>
      <c r="R132" s="501"/>
      <c r="S132" s="501"/>
      <c r="T132" s="501"/>
      <c r="U132" s="501"/>
      <c r="V132" s="501"/>
      <c r="W132" s="501"/>
      <c r="X132" s="1591">
        <f t="shared" si="136"/>
        <v>0</v>
      </c>
      <c r="Y132" s="3325"/>
    </row>
    <row r="133" spans="1:27" s="729" customFormat="1" ht="13.5" hidden="1" customHeight="1" thickBot="1">
      <c r="A133" s="3360"/>
      <c r="B133" s="1607" t="s">
        <v>32</v>
      </c>
      <c r="C133" s="2994"/>
      <c r="D133" s="1581">
        <v>0</v>
      </c>
      <c r="E133" s="1608">
        <v>0</v>
      </c>
      <c r="F133" s="1608">
        <v>0</v>
      </c>
      <c r="G133" s="1608"/>
      <c r="H133" s="1608"/>
      <c r="I133" s="1608">
        <v>0</v>
      </c>
      <c r="J133" s="1608">
        <v>0</v>
      </c>
      <c r="K133" s="1608">
        <v>0</v>
      </c>
      <c r="L133" s="1608">
        <v>0</v>
      </c>
      <c r="M133" s="1582">
        <f t="shared" ref="M133" si="137">E133+I133+J133+K133+L133</f>
        <v>0</v>
      </c>
      <c r="N133" s="1586">
        <v>0</v>
      </c>
      <c r="O133" s="1586">
        <f>7680-7680</f>
        <v>0</v>
      </c>
      <c r="P133" s="1586"/>
      <c r="Q133" s="1586"/>
      <c r="R133" s="1586"/>
      <c r="S133" s="1586"/>
      <c r="T133" s="1586"/>
      <c r="U133" s="1586"/>
      <c r="V133" s="1586"/>
      <c r="W133" s="1586"/>
      <c r="X133" s="1583">
        <f>SUM(P133:T133)</f>
        <v>0</v>
      </c>
      <c r="Y133" s="3325"/>
    </row>
    <row r="134" spans="1:27" s="729" customFormat="1" ht="15.75" hidden="1" customHeight="1">
      <c r="A134" s="3360"/>
      <c r="B134" s="1578" t="s">
        <v>34</v>
      </c>
      <c r="C134" s="1574"/>
      <c r="D134" s="1179">
        <f>+D135</f>
        <v>0</v>
      </c>
      <c r="E134" s="1179">
        <f t="shared" ref="E134:N135" si="138">+E135</f>
        <v>0</v>
      </c>
      <c r="F134" s="1179">
        <f t="shared" si="138"/>
        <v>0</v>
      </c>
      <c r="G134" s="1179">
        <f t="shared" si="138"/>
        <v>0</v>
      </c>
      <c r="H134" s="1179">
        <f t="shared" si="138"/>
        <v>0</v>
      </c>
      <c r="I134" s="1179">
        <f t="shared" si="138"/>
        <v>0</v>
      </c>
      <c r="J134" s="1179">
        <f t="shared" si="138"/>
        <v>0</v>
      </c>
      <c r="K134" s="1179">
        <f t="shared" si="138"/>
        <v>0</v>
      </c>
      <c r="L134" s="1179">
        <f t="shared" si="138"/>
        <v>0</v>
      </c>
      <c r="M134" s="1179">
        <f t="shared" si="138"/>
        <v>0</v>
      </c>
      <c r="N134" s="1179">
        <f t="shared" si="138"/>
        <v>0</v>
      </c>
      <c r="O134" s="1179">
        <f>O135</f>
        <v>0</v>
      </c>
      <c r="P134" s="1179"/>
      <c r="Q134" s="1179"/>
      <c r="R134" s="1604"/>
      <c r="S134" s="1604"/>
      <c r="T134" s="1604"/>
      <c r="U134" s="1604"/>
      <c r="V134" s="1604"/>
      <c r="W134" s="1604"/>
      <c r="X134" s="2953" t="s">
        <v>77</v>
      </c>
      <c r="Y134" s="3325"/>
    </row>
    <row r="135" spans="1:27" s="729" customFormat="1" ht="12.75" hidden="1" customHeight="1">
      <c r="A135" s="3360"/>
      <c r="B135" s="1605" t="s">
        <v>30</v>
      </c>
      <c r="C135" s="3040" t="s">
        <v>220</v>
      </c>
      <c r="D135" s="1606">
        <f>+D136</f>
        <v>0</v>
      </c>
      <c r="E135" s="1606">
        <f t="shared" si="138"/>
        <v>0</v>
      </c>
      <c r="F135" s="1606">
        <f t="shared" si="138"/>
        <v>0</v>
      </c>
      <c r="G135" s="1606">
        <f t="shared" si="138"/>
        <v>0</v>
      </c>
      <c r="H135" s="1606">
        <f t="shared" si="138"/>
        <v>0</v>
      </c>
      <c r="I135" s="1606">
        <f t="shared" si="138"/>
        <v>0</v>
      </c>
      <c r="J135" s="1606">
        <f t="shared" si="138"/>
        <v>0</v>
      </c>
      <c r="K135" s="1606">
        <f t="shared" si="138"/>
        <v>0</v>
      </c>
      <c r="L135" s="1606">
        <f t="shared" si="138"/>
        <v>0</v>
      </c>
      <c r="M135" s="1606">
        <f t="shared" si="138"/>
        <v>0</v>
      </c>
      <c r="N135" s="1173">
        <f t="shared" si="138"/>
        <v>0</v>
      </c>
      <c r="O135" s="1173">
        <f>O136</f>
        <v>0</v>
      </c>
      <c r="P135" s="1173"/>
      <c r="Q135" s="1173"/>
      <c r="R135" s="1173"/>
      <c r="S135" s="1173"/>
      <c r="T135" s="1173"/>
      <c r="U135" s="1173"/>
      <c r="V135" s="1173"/>
      <c r="W135" s="1173"/>
      <c r="X135" s="2953"/>
      <c r="Y135" s="3325"/>
    </row>
    <row r="136" spans="1:27" s="729" customFormat="1" ht="15.75" hidden="1" customHeight="1" thickBot="1">
      <c r="A136" s="3360"/>
      <c r="B136" s="1607" t="s">
        <v>32</v>
      </c>
      <c r="C136" s="2994"/>
      <c r="D136" s="1581">
        <v>0</v>
      </c>
      <c r="E136" s="1609">
        <v>0</v>
      </c>
      <c r="F136" s="1609"/>
      <c r="G136" s="1609"/>
      <c r="H136" s="1609"/>
      <c r="I136" s="1609">
        <v>0</v>
      </c>
      <c r="J136" s="1609">
        <v>0</v>
      </c>
      <c r="K136" s="1609">
        <f>20000-2100-17900</f>
        <v>0</v>
      </c>
      <c r="L136" s="1609">
        <v>0</v>
      </c>
      <c r="M136" s="1582">
        <f t="shared" ref="M136" si="139">E136+I136+J136+K136+L136</f>
        <v>0</v>
      </c>
      <c r="N136" s="1610">
        <v>0</v>
      </c>
      <c r="O136" s="1610">
        <v>0</v>
      </c>
      <c r="P136" s="1610"/>
      <c r="Q136" s="1610"/>
      <c r="R136" s="1610"/>
      <c r="S136" s="1610"/>
      <c r="T136" s="1610"/>
      <c r="U136" s="1610"/>
      <c r="V136" s="1610"/>
      <c r="W136" s="1610"/>
      <c r="X136" s="2953"/>
      <c r="Y136" s="3325"/>
    </row>
    <row r="137" spans="1:27" ht="21.75" customHeight="1">
      <c r="A137" s="3339" t="s">
        <v>81</v>
      </c>
      <c r="B137" s="1684" t="s">
        <v>470</v>
      </c>
      <c r="C137" s="2561" t="s">
        <v>130</v>
      </c>
      <c r="D137" s="2561"/>
      <c r="E137" s="2561"/>
      <c r="F137" s="2561"/>
      <c r="G137" s="2561"/>
      <c r="H137" s="2561"/>
      <c r="I137" s="2561"/>
      <c r="J137" s="2561"/>
      <c r="K137" s="2561"/>
      <c r="L137" s="2561"/>
      <c r="M137" s="2561"/>
      <c r="N137" s="2561"/>
      <c r="O137" s="1543"/>
      <c r="P137" s="1543"/>
      <c r="Q137" s="1543"/>
      <c r="R137" s="1543"/>
      <c r="S137" s="1543"/>
      <c r="T137" s="1543"/>
      <c r="U137" s="1543"/>
      <c r="V137" s="1543"/>
      <c r="W137" s="1543"/>
      <c r="X137" s="2562"/>
      <c r="Y137" s="3354" t="s">
        <v>594</v>
      </c>
    </row>
    <row r="138" spans="1:27" ht="13.5" customHeight="1">
      <c r="A138" s="3339"/>
      <c r="B138" s="505" t="s">
        <v>22</v>
      </c>
      <c r="C138" s="2563"/>
      <c r="D138" s="2038">
        <f t="shared" ref="D138:W138" si="140">+D139+D142</f>
        <v>25156056</v>
      </c>
      <c r="E138" s="2038">
        <f t="shared" si="140"/>
        <v>0</v>
      </c>
      <c r="F138" s="2038">
        <f t="shared" si="140"/>
        <v>0</v>
      </c>
      <c r="G138" s="2038">
        <f t="shared" si="140"/>
        <v>0</v>
      </c>
      <c r="H138" s="2038">
        <f t="shared" si="140"/>
        <v>0</v>
      </c>
      <c r="I138" s="2038">
        <f t="shared" si="140"/>
        <v>0</v>
      </c>
      <c r="J138" s="2038">
        <f t="shared" si="140"/>
        <v>0</v>
      </c>
      <c r="K138" s="2038">
        <f t="shared" si="140"/>
        <v>0</v>
      </c>
      <c r="L138" s="2038">
        <f t="shared" si="140"/>
        <v>0</v>
      </c>
      <c r="M138" s="2038">
        <f t="shared" ref="M138" si="141">+M139+M142</f>
        <v>0</v>
      </c>
      <c r="N138" s="2038">
        <f t="shared" si="140"/>
        <v>0</v>
      </c>
      <c r="O138" s="2021">
        <f t="shared" si="140"/>
        <v>2071007</v>
      </c>
      <c r="P138" s="2021">
        <f t="shared" si="140"/>
        <v>5500000</v>
      </c>
      <c r="Q138" s="2021">
        <f t="shared" si="140"/>
        <v>3063610</v>
      </c>
      <c r="R138" s="2021">
        <f t="shared" si="140"/>
        <v>2500000</v>
      </c>
      <c r="S138" s="2021">
        <f t="shared" si="140"/>
        <v>2500000</v>
      </c>
      <c r="T138" s="2021">
        <f t="shared" si="140"/>
        <v>2720411</v>
      </c>
      <c r="U138" s="2021">
        <f t="shared" si="140"/>
        <v>2720411</v>
      </c>
      <c r="V138" s="2021">
        <f t="shared" si="140"/>
        <v>2720411</v>
      </c>
      <c r="W138" s="2021">
        <f t="shared" si="140"/>
        <v>1360206</v>
      </c>
      <c r="X138" s="2047">
        <f>+X139+X142</f>
        <v>23085049</v>
      </c>
      <c r="Y138" s="3354"/>
    </row>
    <row r="139" spans="1:27" ht="13.5" customHeight="1">
      <c r="A139" s="3339"/>
      <c r="B139" s="1690" t="s">
        <v>23</v>
      </c>
      <c r="C139" s="3356" t="s">
        <v>217</v>
      </c>
      <c r="D139" s="2034">
        <f>+D140+D141</f>
        <v>9149279</v>
      </c>
      <c r="E139" s="2034">
        <f t="shared" ref="E139:W139" si="142">+E140+E141</f>
        <v>0</v>
      </c>
      <c r="F139" s="2034">
        <f t="shared" si="142"/>
        <v>0</v>
      </c>
      <c r="G139" s="2034">
        <f t="shared" si="142"/>
        <v>0</v>
      </c>
      <c r="H139" s="2034">
        <f t="shared" si="142"/>
        <v>0</v>
      </c>
      <c r="I139" s="2034">
        <f t="shared" si="142"/>
        <v>0</v>
      </c>
      <c r="J139" s="2034">
        <f t="shared" si="142"/>
        <v>0</v>
      </c>
      <c r="K139" s="2034">
        <f t="shared" si="142"/>
        <v>0</v>
      </c>
      <c r="L139" s="2034">
        <f t="shared" si="142"/>
        <v>0</v>
      </c>
      <c r="M139" s="2034">
        <f t="shared" ref="M139" si="143">+M140+M141</f>
        <v>0</v>
      </c>
      <c r="N139" s="2034">
        <f t="shared" si="142"/>
        <v>0</v>
      </c>
      <c r="O139" s="2023">
        <f t="shared" si="142"/>
        <v>753226</v>
      </c>
      <c r="P139" s="2023">
        <f t="shared" si="142"/>
        <v>2000000</v>
      </c>
      <c r="Q139" s="2023">
        <f t="shared" si="142"/>
        <v>1114604</v>
      </c>
      <c r="R139" s="2023">
        <f t="shared" si="142"/>
        <v>909250</v>
      </c>
      <c r="S139" s="2023">
        <f t="shared" si="142"/>
        <v>909250</v>
      </c>
      <c r="T139" s="2023">
        <f t="shared" si="142"/>
        <v>989414</v>
      </c>
      <c r="U139" s="2023">
        <f t="shared" si="142"/>
        <v>989414</v>
      </c>
      <c r="V139" s="2023">
        <f t="shared" si="142"/>
        <v>989414</v>
      </c>
      <c r="W139" s="2023">
        <f t="shared" si="142"/>
        <v>494707</v>
      </c>
      <c r="X139" s="2048">
        <f>SUM(X140:X141)</f>
        <v>8396053</v>
      </c>
      <c r="Y139" s="3354"/>
    </row>
    <row r="140" spans="1:27" ht="12.6" hidden="1" customHeight="1">
      <c r="A140" s="3339"/>
      <c r="B140" s="503" t="s">
        <v>24</v>
      </c>
      <c r="C140" s="3356"/>
      <c r="D140" s="2026">
        <f>M140+O140+P140+Q140+R140+S140+T140</f>
        <v>0</v>
      </c>
      <c r="E140" s="2564">
        <v>0</v>
      </c>
      <c r="F140" s="2564"/>
      <c r="G140" s="2564"/>
      <c r="H140" s="2564"/>
      <c r="I140" s="2564">
        <v>0</v>
      </c>
      <c r="J140" s="2564">
        <v>0</v>
      </c>
      <c r="K140" s="2564">
        <v>0</v>
      </c>
      <c r="L140" s="2564">
        <v>0</v>
      </c>
      <c r="M140" s="2031">
        <f>E140+I140+J140+K140+L140+N140</f>
        <v>0</v>
      </c>
      <c r="N140" s="2564">
        <v>0</v>
      </c>
      <c r="O140" s="2031">
        <f>250000-250000</f>
        <v>0</v>
      </c>
      <c r="P140" s="2031">
        <f>500000-500000</f>
        <v>0</v>
      </c>
      <c r="Q140" s="2031">
        <f>450000-450000</f>
        <v>0</v>
      </c>
      <c r="R140" s="2031">
        <f>500000-500000</f>
        <v>0</v>
      </c>
      <c r="S140" s="2031">
        <v>0</v>
      </c>
      <c r="T140" s="2031"/>
      <c r="U140" s="2031"/>
      <c r="V140" s="2031"/>
      <c r="W140" s="2031"/>
      <c r="X140" s="2033">
        <f>SUM(P140:T140)</f>
        <v>0</v>
      </c>
      <c r="Y140" s="3354"/>
    </row>
    <row r="141" spans="1:27" ht="13.5" customHeight="1">
      <c r="A141" s="3339"/>
      <c r="B141" s="2565" t="s">
        <v>335</v>
      </c>
      <c r="C141" s="3356"/>
      <c r="D141" s="2026">
        <f>M141+O141+P141+Q141+R141+S141+T141+U141+V141+W141</f>
        <v>9149279</v>
      </c>
      <c r="E141" s="2564">
        <v>0</v>
      </c>
      <c r="F141" s="2564"/>
      <c r="G141" s="2564"/>
      <c r="H141" s="2564">
        <v>0</v>
      </c>
      <c r="I141" s="2564">
        <v>0</v>
      </c>
      <c r="J141" s="2564">
        <v>0</v>
      </c>
      <c r="K141" s="2564">
        <v>0</v>
      </c>
      <c r="L141" s="2564">
        <v>0</v>
      </c>
      <c r="M141" s="2031">
        <f>E141+I141+J141+K141+L141+N141</f>
        <v>0</v>
      </c>
      <c r="N141" s="2564">
        <v>0</v>
      </c>
      <c r="O141" s="2031">
        <f>1455000-496420-205354</f>
        <v>753226</v>
      </c>
      <c r="P141" s="2031">
        <f>2910000-909650-350</f>
        <v>2000000</v>
      </c>
      <c r="Q141" s="2031">
        <f>2546000-1636750+205354</f>
        <v>1114604</v>
      </c>
      <c r="R141" s="2031">
        <f>2910000-2000750</f>
        <v>909250</v>
      </c>
      <c r="S141" s="2031">
        <v>909250</v>
      </c>
      <c r="T141" s="2031">
        <v>989414</v>
      </c>
      <c r="U141" s="2031">
        <v>989414</v>
      </c>
      <c r="V141" s="2031">
        <v>989414</v>
      </c>
      <c r="W141" s="2031">
        <v>494707</v>
      </c>
      <c r="X141" s="2033">
        <f>SUM(P141:W141)</f>
        <v>8396053</v>
      </c>
      <c r="Y141" s="3354"/>
    </row>
    <row r="142" spans="1:27" ht="13.5" customHeight="1">
      <c r="A142" s="3339"/>
      <c r="B142" s="1699" t="s">
        <v>30</v>
      </c>
      <c r="C142" s="3356"/>
      <c r="D142" s="2034">
        <f>+D143</f>
        <v>16006777</v>
      </c>
      <c r="E142" s="2034">
        <f t="shared" ref="E142:W142" si="144">+E143</f>
        <v>0</v>
      </c>
      <c r="F142" s="2034">
        <f t="shared" si="144"/>
        <v>0</v>
      </c>
      <c r="G142" s="2034">
        <f t="shared" si="144"/>
        <v>0</v>
      </c>
      <c r="H142" s="2034">
        <f t="shared" si="144"/>
        <v>0</v>
      </c>
      <c r="I142" s="2034">
        <f t="shared" si="144"/>
        <v>0</v>
      </c>
      <c r="J142" s="2034">
        <f t="shared" si="144"/>
        <v>0</v>
      </c>
      <c r="K142" s="2034">
        <f t="shared" si="144"/>
        <v>0</v>
      </c>
      <c r="L142" s="2034">
        <f t="shared" si="144"/>
        <v>0</v>
      </c>
      <c r="M142" s="2034">
        <f t="shared" si="144"/>
        <v>0</v>
      </c>
      <c r="N142" s="2034">
        <f t="shared" si="144"/>
        <v>0</v>
      </c>
      <c r="O142" s="2034">
        <f t="shared" si="144"/>
        <v>1317781</v>
      </c>
      <c r="P142" s="2034">
        <f t="shared" si="144"/>
        <v>3500000</v>
      </c>
      <c r="Q142" s="2034">
        <f t="shared" si="144"/>
        <v>1949006</v>
      </c>
      <c r="R142" s="2034">
        <f t="shared" si="144"/>
        <v>1590750</v>
      </c>
      <c r="S142" s="2034">
        <f t="shared" si="144"/>
        <v>1590750</v>
      </c>
      <c r="T142" s="2034">
        <f t="shared" si="144"/>
        <v>1730997</v>
      </c>
      <c r="U142" s="2034">
        <f t="shared" si="144"/>
        <v>1730997</v>
      </c>
      <c r="V142" s="2034">
        <f t="shared" si="144"/>
        <v>1730997</v>
      </c>
      <c r="W142" s="2034">
        <f t="shared" si="144"/>
        <v>865499</v>
      </c>
      <c r="X142" s="1944">
        <f>+X143</f>
        <v>14688996</v>
      </c>
      <c r="Y142" s="3354"/>
    </row>
    <row r="143" spans="1:27" ht="13.5" customHeight="1">
      <c r="A143" s="3339"/>
      <c r="B143" s="2565" t="s">
        <v>336</v>
      </c>
      <c r="C143" s="3356"/>
      <c r="D143" s="2026">
        <f>M143+O143+P143+Q143+R143+S143+T143+U143+V143+W143</f>
        <v>16006777</v>
      </c>
      <c r="E143" s="2564">
        <v>0</v>
      </c>
      <c r="F143" s="2564"/>
      <c r="G143" s="2564"/>
      <c r="H143" s="2564">
        <v>0</v>
      </c>
      <c r="I143" s="2564">
        <v>0</v>
      </c>
      <c r="J143" s="2564">
        <v>0</v>
      </c>
      <c r="K143" s="2564">
        <v>0</v>
      </c>
      <c r="L143" s="2564">
        <v>0</v>
      </c>
      <c r="M143" s="2031">
        <f>E143+I143+J143+K143+L143+N143</f>
        <v>0</v>
      </c>
      <c r="N143" s="2564">
        <v>0</v>
      </c>
      <c r="O143" s="2031">
        <f>2545000-868963-358256</f>
        <v>1317781</v>
      </c>
      <c r="P143" s="2031">
        <f>5090000-1590350+350</f>
        <v>3500000</v>
      </c>
      <c r="Q143" s="2031">
        <f>4454000-2863250+358256</f>
        <v>1949006</v>
      </c>
      <c r="R143" s="2031">
        <f>5090000-3499250</f>
        <v>1590750</v>
      </c>
      <c r="S143" s="2031">
        <v>1590750</v>
      </c>
      <c r="T143" s="2031">
        <v>1730997</v>
      </c>
      <c r="U143" s="2031">
        <v>1730997</v>
      </c>
      <c r="V143" s="2031">
        <v>1730997</v>
      </c>
      <c r="W143" s="2031">
        <v>865499</v>
      </c>
      <c r="X143" s="2033">
        <f>SUM(P143:W143)</f>
        <v>14688996</v>
      </c>
      <c r="Y143" s="3354"/>
    </row>
    <row r="144" spans="1:27" ht="14.25" customHeight="1">
      <c r="A144" s="3339"/>
      <c r="B144" s="505" t="s">
        <v>34</v>
      </c>
      <c r="C144" s="2563"/>
      <c r="D144" s="2021">
        <f>+D145+D148</f>
        <v>25156056</v>
      </c>
      <c r="E144" s="2021">
        <f>+E145+E148</f>
        <v>0</v>
      </c>
      <c r="F144" s="2021"/>
      <c r="G144" s="2021"/>
      <c r="H144" s="2021"/>
      <c r="I144" s="2021">
        <f t="shared" ref="I144:W144" si="145">+I145+I148</f>
        <v>0</v>
      </c>
      <c r="J144" s="2021">
        <f t="shared" si="145"/>
        <v>0</v>
      </c>
      <c r="K144" s="2021">
        <f t="shared" si="145"/>
        <v>0</v>
      </c>
      <c r="L144" s="2021">
        <f t="shared" si="145"/>
        <v>0</v>
      </c>
      <c r="M144" s="2021">
        <f t="shared" ref="M144" si="146">+M145+M148</f>
        <v>0</v>
      </c>
      <c r="N144" s="2021">
        <f t="shared" si="145"/>
        <v>0</v>
      </c>
      <c r="O144" s="2021">
        <f t="shared" si="145"/>
        <v>2071007</v>
      </c>
      <c r="P144" s="2021">
        <f t="shared" si="145"/>
        <v>5500000</v>
      </c>
      <c r="Q144" s="2021">
        <f t="shared" si="145"/>
        <v>3063610</v>
      </c>
      <c r="R144" s="2021">
        <f t="shared" si="145"/>
        <v>2500000</v>
      </c>
      <c r="S144" s="2021">
        <f t="shared" si="145"/>
        <v>2500000</v>
      </c>
      <c r="T144" s="2021">
        <f t="shared" si="145"/>
        <v>2720411</v>
      </c>
      <c r="U144" s="2021">
        <f t="shared" si="145"/>
        <v>2720411</v>
      </c>
      <c r="V144" s="2021">
        <f t="shared" si="145"/>
        <v>2720411</v>
      </c>
      <c r="W144" s="2021">
        <f t="shared" si="145"/>
        <v>1360206</v>
      </c>
      <c r="X144" s="3359" t="s">
        <v>77</v>
      </c>
      <c r="Y144" s="3354"/>
    </row>
    <row r="145" spans="1:25" ht="13.5" customHeight="1">
      <c r="A145" s="3339"/>
      <c r="B145" s="1690" t="s">
        <v>23</v>
      </c>
      <c r="C145" s="3357" t="s">
        <v>217</v>
      </c>
      <c r="D145" s="2034">
        <f>+D146</f>
        <v>9149279</v>
      </c>
      <c r="E145" s="2034">
        <f t="shared" ref="E145:W145" si="147">+E146</f>
        <v>0</v>
      </c>
      <c r="F145" s="2034">
        <f t="shared" si="147"/>
        <v>0</v>
      </c>
      <c r="G145" s="2034">
        <f t="shared" si="147"/>
        <v>0</v>
      </c>
      <c r="H145" s="2034">
        <f t="shared" si="147"/>
        <v>0</v>
      </c>
      <c r="I145" s="2034">
        <f t="shared" si="147"/>
        <v>0</v>
      </c>
      <c r="J145" s="2034">
        <f t="shared" si="147"/>
        <v>0</v>
      </c>
      <c r="K145" s="2034">
        <f t="shared" si="147"/>
        <v>0</v>
      </c>
      <c r="L145" s="2034">
        <f t="shared" si="147"/>
        <v>0</v>
      </c>
      <c r="M145" s="2034">
        <f t="shared" si="147"/>
        <v>0</v>
      </c>
      <c r="N145" s="2034">
        <f t="shared" si="147"/>
        <v>0</v>
      </c>
      <c r="O145" s="2023">
        <f t="shared" si="147"/>
        <v>753226</v>
      </c>
      <c r="P145" s="2023">
        <f t="shared" si="147"/>
        <v>2000000</v>
      </c>
      <c r="Q145" s="2023">
        <f t="shared" si="147"/>
        <v>1114604</v>
      </c>
      <c r="R145" s="2023">
        <f t="shared" si="147"/>
        <v>909250</v>
      </c>
      <c r="S145" s="2023">
        <f t="shared" si="147"/>
        <v>909250</v>
      </c>
      <c r="T145" s="2023">
        <f t="shared" si="147"/>
        <v>989414</v>
      </c>
      <c r="U145" s="2023">
        <f t="shared" si="147"/>
        <v>989414</v>
      </c>
      <c r="V145" s="2023">
        <f t="shared" si="147"/>
        <v>989414</v>
      </c>
      <c r="W145" s="2023">
        <f t="shared" si="147"/>
        <v>494707</v>
      </c>
      <c r="X145" s="3359"/>
      <c r="Y145" s="3354"/>
    </row>
    <row r="146" spans="1:25" ht="12.75" customHeight="1">
      <c r="A146" s="3339"/>
      <c r="B146" s="2565" t="s">
        <v>335</v>
      </c>
      <c r="C146" s="3357"/>
      <c r="D146" s="2026">
        <f>M146+O146+P146+Q146+R146+S146+T146+U146+V146+W146</f>
        <v>9149279</v>
      </c>
      <c r="E146" s="2564">
        <v>0</v>
      </c>
      <c r="F146" s="2564"/>
      <c r="G146" s="2564"/>
      <c r="H146" s="2564"/>
      <c r="I146" s="2564">
        <v>0</v>
      </c>
      <c r="J146" s="2564">
        <v>0</v>
      </c>
      <c r="K146" s="2564">
        <v>0</v>
      </c>
      <c r="L146" s="2564">
        <v>0</v>
      </c>
      <c r="M146" s="2031">
        <f>E146+I146+J146+K146+L146+N146</f>
        <v>0</v>
      </c>
      <c r="N146" s="2564">
        <v>0</v>
      </c>
      <c r="O146" s="2031">
        <f>1455000-496420-205354</f>
        <v>753226</v>
      </c>
      <c r="P146" s="2031">
        <f>2910000-909650-350</f>
        <v>2000000</v>
      </c>
      <c r="Q146" s="2031">
        <f>2546000-1636750+205354</f>
        <v>1114604</v>
      </c>
      <c r="R146" s="2031">
        <f>2910000-2000750</f>
        <v>909250</v>
      </c>
      <c r="S146" s="2031">
        <v>909250</v>
      </c>
      <c r="T146" s="2031">
        <v>989414</v>
      </c>
      <c r="U146" s="2031">
        <v>989414</v>
      </c>
      <c r="V146" s="2031">
        <v>989414</v>
      </c>
      <c r="W146" s="2031">
        <v>494707</v>
      </c>
      <c r="X146" s="3359"/>
      <c r="Y146" s="3354"/>
    </row>
    <row r="147" spans="1:25" ht="11.25" hidden="1" customHeight="1">
      <c r="A147" s="3339"/>
      <c r="B147" s="503" t="s">
        <v>37</v>
      </c>
      <c r="C147" s="3357"/>
      <c r="D147" s="2564">
        <f>+E147+I147+J147+K147+L147+N147</f>
        <v>0</v>
      </c>
      <c r="E147" s="2564">
        <v>0</v>
      </c>
      <c r="F147" s="2564"/>
      <c r="G147" s="2564"/>
      <c r="H147" s="2564"/>
      <c r="I147" s="2564"/>
      <c r="J147" s="2564"/>
      <c r="K147" s="2564">
        <v>0</v>
      </c>
      <c r="L147" s="2564">
        <v>0</v>
      </c>
      <c r="M147" s="2564">
        <v>0</v>
      </c>
      <c r="N147" s="2564"/>
      <c r="O147" s="2566"/>
      <c r="P147" s="2031"/>
      <c r="Q147" s="2031"/>
      <c r="R147" s="2031"/>
      <c r="S147" s="2031"/>
      <c r="T147" s="2031"/>
      <c r="U147" s="2031"/>
      <c r="V147" s="2031"/>
      <c r="W147" s="2031"/>
      <c r="X147" s="3359"/>
      <c r="Y147" s="3354"/>
    </row>
    <row r="148" spans="1:25" ht="12.75" customHeight="1">
      <c r="A148" s="3339"/>
      <c r="B148" s="1699" t="s">
        <v>30</v>
      </c>
      <c r="C148" s="3357"/>
      <c r="D148" s="2034">
        <f>+D149</f>
        <v>16006777</v>
      </c>
      <c r="E148" s="2034">
        <f t="shared" ref="E148:W148" si="148">+E149</f>
        <v>0</v>
      </c>
      <c r="F148" s="2034">
        <f t="shared" si="148"/>
        <v>0</v>
      </c>
      <c r="G148" s="2034">
        <f t="shared" si="148"/>
        <v>0</v>
      </c>
      <c r="H148" s="2034">
        <f t="shared" si="148"/>
        <v>0</v>
      </c>
      <c r="I148" s="2034">
        <f t="shared" si="148"/>
        <v>0</v>
      </c>
      <c r="J148" s="2034">
        <f t="shared" si="148"/>
        <v>0</v>
      </c>
      <c r="K148" s="2034">
        <f t="shared" si="148"/>
        <v>0</v>
      </c>
      <c r="L148" s="2034">
        <f t="shared" si="148"/>
        <v>0</v>
      </c>
      <c r="M148" s="2034">
        <f t="shared" si="148"/>
        <v>0</v>
      </c>
      <c r="N148" s="2034">
        <f t="shared" si="148"/>
        <v>0</v>
      </c>
      <c r="O148" s="2023">
        <f t="shared" si="148"/>
        <v>1317781</v>
      </c>
      <c r="P148" s="2023">
        <f t="shared" si="148"/>
        <v>3500000</v>
      </c>
      <c r="Q148" s="2023">
        <f t="shared" si="148"/>
        <v>1949006</v>
      </c>
      <c r="R148" s="2023">
        <f t="shared" si="148"/>
        <v>1590750</v>
      </c>
      <c r="S148" s="2023">
        <f t="shared" si="148"/>
        <v>1590750</v>
      </c>
      <c r="T148" s="2023">
        <f t="shared" si="148"/>
        <v>1730997</v>
      </c>
      <c r="U148" s="2023">
        <f t="shared" si="148"/>
        <v>1730997</v>
      </c>
      <c r="V148" s="2023">
        <f t="shared" si="148"/>
        <v>1730997</v>
      </c>
      <c r="W148" s="2023">
        <f t="shared" si="148"/>
        <v>865499</v>
      </c>
      <c r="X148" s="3359"/>
      <c r="Y148" s="3354"/>
    </row>
    <row r="149" spans="1:25" ht="12.75" customHeight="1" thickBot="1">
      <c r="A149" s="3353"/>
      <c r="B149" s="2567" t="s">
        <v>336</v>
      </c>
      <c r="C149" s="3358"/>
      <c r="D149" s="2040">
        <f>M149+O149+P149+Q149+R149+S149+T149+U149+V149+W149</f>
        <v>16006777</v>
      </c>
      <c r="E149" s="2040">
        <v>0</v>
      </c>
      <c r="F149" s="2040"/>
      <c r="G149" s="2040"/>
      <c r="H149" s="2040"/>
      <c r="I149" s="2040">
        <v>0</v>
      </c>
      <c r="J149" s="2040">
        <v>0</v>
      </c>
      <c r="K149" s="2040">
        <v>0</v>
      </c>
      <c r="L149" s="2040">
        <v>0</v>
      </c>
      <c r="M149" s="2043">
        <f>E149+I149+J149+K149+L149+N149</f>
        <v>0</v>
      </c>
      <c r="N149" s="2040">
        <v>0</v>
      </c>
      <c r="O149" s="2043">
        <f>2545000-868963-358256</f>
        <v>1317781</v>
      </c>
      <c r="P149" s="2043">
        <f>5090000-1590350+350</f>
        <v>3500000</v>
      </c>
      <c r="Q149" s="2043">
        <f>4454000-2863250+358256</f>
        <v>1949006</v>
      </c>
      <c r="R149" s="2043">
        <f>5090000-3499250</f>
        <v>1590750</v>
      </c>
      <c r="S149" s="2043">
        <v>1590750</v>
      </c>
      <c r="T149" s="2043">
        <v>1730997</v>
      </c>
      <c r="U149" s="2043">
        <v>1730997</v>
      </c>
      <c r="V149" s="2043">
        <v>1730997</v>
      </c>
      <c r="W149" s="2043">
        <v>865499</v>
      </c>
      <c r="X149" s="3137"/>
      <c r="Y149" s="3355"/>
    </row>
    <row r="150" spans="1:25" ht="11.25" hidden="1" customHeight="1" thickBot="1">
      <c r="A150" s="1777"/>
      <c r="B150" s="1580" t="s">
        <v>32</v>
      </c>
      <c r="C150" s="1613"/>
      <c r="D150" s="1614">
        <f>+E150+I150+J150+K150+L150+N150</f>
        <v>0</v>
      </c>
      <c r="E150" s="1615">
        <v>0</v>
      </c>
      <c r="F150" s="1615"/>
      <c r="G150" s="1615"/>
      <c r="H150" s="1615"/>
      <c r="I150" s="1616"/>
      <c r="J150" s="1617"/>
      <c r="K150" s="1616"/>
      <c r="L150" s="1616"/>
      <c r="M150" s="1616"/>
      <c r="N150" s="1616"/>
      <c r="O150" s="1616"/>
      <c r="P150" s="1616"/>
      <c r="Q150" s="1616"/>
      <c r="R150" s="1616"/>
      <c r="S150" s="1616"/>
      <c r="T150" s="1616"/>
      <c r="U150" s="1616"/>
      <c r="V150" s="1616"/>
      <c r="W150" s="1616"/>
      <c r="X150" s="1618"/>
      <c r="Y150" s="1778"/>
    </row>
    <row r="151" spans="1:25" ht="27" hidden="1" customHeight="1">
      <c r="A151" s="3339" t="s">
        <v>107</v>
      </c>
      <c r="B151" s="1576" t="s">
        <v>329</v>
      </c>
      <c r="C151" s="1587" t="s">
        <v>98</v>
      </c>
      <c r="D151" s="1611"/>
      <c r="E151" s="1587"/>
      <c r="F151" s="1587"/>
      <c r="G151" s="1587"/>
      <c r="H151" s="1587"/>
      <c r="I151" s="1587"/>
      <c r="J151" s="1587"/>
      <c r="K151" s="1587"/>
      <c r="L151" s="1587"/>
      <c r="M151" s="1587"/>
      <c r="N151" s="1587"/>
      <c r="O151" s="1596"/>
      <c r="P151" s="1596"/>
      <c r="Q151" s="1596"/>
      <c r="R151" s="1596"/>
      <c r="S151" s="1596"/>
      <c r="T151" s="1596"/>
      <c r="U151" s="1596"/>
      <c r="V151" s="1596"/>
      <c r="W151" s="1596"/>
      <c r="X151" s="1619"/>
      <c r="Y151" s="3350" t="s">
        <v>216</v>
      </c>
    </row>
    <row r="152" spans="1:25" ht="11.25" hidden="1" customHeight="1">
      <c r="A152" s="3339"/>
      <c r="B152" s="1578" t="s">
        <v>22</v>
      </c>
      <c r="C152" s="1620"/>
      <c r="D152" s="1589">
        <f t="shared" ref="D152:R152" si="149">+D153+D156</f>
        <v>0</v>
      </c>
      <c r="E152" s="1589">
        <f t="shared" si="149"/>
        <v>0</v>
      </c>
      <c r="F152" s="1589">
        <f t="shared" si="149"/>
        <v>0</v>
      </c>
      <c r="G152" s="1589">
        <f t="shared" si="149"/>
        <v>0</v>
      </c>
      <c r="H152" s="1589">
        <f t="shared" si="149"/>
        <v>0</v>
      </c>
      <c r="I152" s="1589">
        <f t="shared" si="149"/>
        <v>0</v>
      </c>
      <c r="J152" s="1589">
        <f t="shared" si="149"/>
        <v>0</v>
      </c>
      <c r="K152" s="1589">
        <f t="shared" si="149"/>
        <v>0</v>
      </c>
      <c r="L152" s="1589">
        <f t="shared" si="149"/>
        <v>0</v>
      </c>
      <c r="M152" s="1589">
        <f t="shared" ref="M152" si="150">+M153+M156</f>
        <v>0</v>
      </c>
      <c r="N152" s="1589">
        <f t="shared" si="149"/>
        <v>0</v>
      </c>
      <c r="O152" s="1575">
        <f t="shared" si="149"/>
        <v>0</v>
      </c>
      <c r="P152" s="1575">
        <f t="shared" si="149"/>
        <v>0</v>
      </c>
      <c r="Q152" s="1575">
        <f t="shared" si="149"/>
        <v>0</v>
      </c>
      <c r="R152" s="1575">
        <f t="shared" si="149"/>
        <v>0</v>
      </c>
      <c r="S152" s="1575"/>
      <c r="T152" s="1575"/>
      <c r="U152" s="1575"/>
      <c r="V152" s="1575"/>
      <c r="W152" s="1575"/>
      <c r="X152" s="1590">
        <f t="shared" ref="X152" si="151">+X153+X156</f>
        <v>0</v>
      </c>
      <c r="Y152" s="3350"/>
    </row>
    <row r="153" spans="1:25" ht="12.75" hidden="1" customHeight="1">
      <c r="A153" s="3339"/>
      <c r="B153" s="1579" t="s">
        <v>23</v>
      </c>
      <c r="C153" s="3040" t="s">
        <v>217</v>
      </c>
      <c r="D153" s="501">
        <f t="shared" ref="D153:R153" si="152">+D154+D155</f>
        <v>0</v>
      </c>
      <c r="E153" s="501">
        <f t="shared" si="152"/>
        <v>0</v>
      </c>
      <c r="F153" s="501">
        <f t="shared" si="152"/>
        <v>0</v>
      </c>
      <c r="G153" s="501">
        <f t="shared" si="152"/>
        <v>0</v>
      </c>
      <c r="H153" s="501">
        <f t="shared" si="152"/>
        <v>0</v>
      </c>
      <c r="I153" s="501">
        <f t="shared" si="152"/>
        <v>0</v>
      </c>
      <c r="J153" s="501">
        <f t="shared" si="152"/>
        <v>0</v>
      </c>
      <c r="K153" s="501">
        <f t="shared" si="152"/>
        <v>0</v>
      </c>
      <c r="L153" s="501">
        <f t="shared" si="152"/>
        <v>0</v>
      </c>
      <c r="M153" s="501">
        <f t="shared" ref="M153" si="153">+M154+M155</f>
        <v>0</v>
      </c>
      <c r="N153" s="501">
        <f t="shared" si="152"/>
        <v>0</v>
      </c>
      <c r="O153" s="1592">
        <f t="shared" si="152"/>
        <v>0</v>
      </c>
      <c r="P153" s="1592">
        <f t="shared" si="152"/>
        <v>0</v>
      </c>
      <c r="Q153" s="1592">
        <f t="shared" si="152"/>
        <v>0</v>
      </c>
      <c r="R153" s="1592">
        <f t="shared" si="152"/>
        <v>0</v>
      </c>
      <c r="S153" s="1592"/>
      <c r="T153" s="1592"/>
      <c r="U153" s="1592"/>
      <c r="V153" s="1592"/>
      <c r="W153" s="1592"/>
      <c r="X153" s="1591">
        <f>SUM(X154:X155)</f>
        <v>0</v>
      </c>
      <c r="Y153" s="3350"/>
    </row>
    <row r="154" spans="1:25" ht="12.75" hidden="1" customHeight="1">
      <c r="A154" s="3339"/>
      <c r="B154" s="1580" t="s">
        <v>24</v>
      </c>
      <c r="C154" s="2994"/>
      <c r="D154" s="1581">
        <f t="shared" ref="D154:D155" si="154">M154+N154+O154+P154+Q154+R154</f>
        <v>0</v>
      </c>
      <c r="E154" s="1621">
        <v>0</v>
      </c>
      <c r="F154" s="1621"/>
      <c r="G154" s="1621"/>
      <c r="H154" s="1621"/>
      <c r="I154" s="1621">
        <v>0</v>
      </c>
      <c r="J154" s="1621">
        <v>0</v>
      </c>
      <c r="K154" s="1621">
        <v>0</v>
      </c>
      <c r="L154" s="1621">
        <v>0</v>
      </c>
      <c r="M154" s="1582">
        <f t="shared" ref="M154:M155" si="155">E154+I154+J154+K154+L154</f>
        <v>0</v>
      </c>
      <c r="N154" s="1621">
        <v>0</v>
      </c>
      <c r="O154" s="1595">
        <f>23000-23000</f>
        <v>0</v>
      </c>
      <c r="P154" s="1595">
        <f>12000-12000</f>
        <v>0</v>
      </c>
      <c r="Q154" s="1595">
        <v>0</v>
      </c>
      <c r="R154" s="1595">
        <v>0</v>
      </c>
      <c r="S154" s="1595"/>
      <c r="T154" s="1595"/>
      <c r="U154" s="1595"/>
      <c r="V154" s="1595"/>
      <c r="W154" s="1595"/>
      <c r="X154" s="1583">
        <f>SUM(P154:T154)</f>
        <v>0</v>
      </c>
      <c r="Y154" s="3350"/>
    </row>
    <row r="155" spans="1:25" ht="12.75" hidden="1" customHeight="1">
      <c r="A155" s="3339"/>
      <c r="B155" s="1612" t="s">
        <v>335</v>
      </c>
      <c r="C155" s="2994"/>
      <c r="D155" s="1581">
        <f t="shared" si="154"/>
        <v>0</v>
      </c>
      <c r="E155" s="1621">
        <v>0</v>
      </c>
      <c r="F155" s="1621"/>
      <c r="G155" s="1621"/>
      <c r="H155" s="1621">
        <v>0</v>
      </c>
      <c r="I155" s="1621">
        <v>0</v>
      </c>
      <c r="J155" s="1621">
        <v>0</v>
      </c>
      <c r="K155" s="1621">
        <v>0</v>
      </c>
      <c r="L155" s="1621">
        <v>0</v>
      </c>
      <c r="M155" s="1582">
        <f t="shared" si="155"/>
        <v>0</v>
      </c>
      <c r="N155" s="1621">
        <v>0</v>
      </c>
      <c r="O155" s="1595">
        <f>36000-36000</f>
        <v>0</v>
      </c>
      <c r="P155" s="1595">
        <f>18000-18000</f>
        <v>0</v>
      </c>
      <c r="Q155" s="1595">
        <v>0</v>
      </c>
      <c r="R155" s="1595">
        <v>0</v>
      </c>
      <c r="S155" s="1595"/>
      <c r="T155" s="1595"/>
      <c r="U155" s="1595"/>
      <c r="V155" s="1595"/>
      <c r="W155" s="1595"/>
      <c r="X155" s="1583">
        <f>SUM(P155:T155)</f>
        <v>0</v>
      </c>
      <c r="Y155" s="3350"/>
    </row>
    <row r="156" spans="1:25" ht="12.75" hidden="1" customHeight="1">
      <c r="A156" s="3339"/>
      <c r="B156" s="1585" t="s">
        <v>30</v>
      </c>
      <c r="C156" s="2994"/>
      <c r="D156" s="501">
        <f t="shared" ref="D156:X156" si="156">+D157</f>
        <v>0</v>
      </c>
      <c r="E156" s="501">
        <f t="shared" si="156"/>
        <v>0</v>
      </c>
      <c r="F156" s="501">
        <f t="shared" si="156"/>
        <v>0</v>
      </c>
      <c r="G156" s="501">
        <f t="shared" si="156"/>
        <v>0</v>
      </c>
      <c r="H156" s="501">
        <f t="shared" si="156"/>
        <v>0</v>
      </c>
      <c r="I156" s="501">
        <f t="shared" si="156"/>
        <v>0</v>
      </c>
      <c r="J156" s="501">
        <f t="shared" si="156"/>
        <v>0</v>
      </c>
      <c r="K156" s="501">
        <f t="shared" si="156"/>
        <v>0</v>
      </c>
      <c r="L156" s="501">
        <f t="shared" si="156"/>
        <v>0</v>
      </c>
      <c r="M156" s="501">
        <f t="shared" si="156"/>
        <v>0</v>
      </c>
      <c r="N156" s="501">
        <f t="shared" si="156"/>
        <v>0</v>
      </c>
      <c r="O156" s="501">
        <f t="shared" si="156"/>
        <v>0</v>
      </c>
      <c r="P156" s="501">
        <f t="shared" si="156"/>
        <v>0</v>
      </c>
      <c r="Q156" s="501">
        <f t="shared" si="156"/>
        <v>0</v>
      </c>
      <c r="R156" s="501">
        <f t="shared" si="156"/>
        <v>0</v>
      </c>
      <c r="S156" s="501"/>
      <c r="T156" s="501"/>
      <c r="U156" s="501"/>
      <c r="V156" s="501"/>
      <c r="W156" s="501"/>
      <c r="X156" s="1622">
        <f t="shared" si="156"/>
        <v>0</v>
      </c>
      <c r="Y156" s="3350"/>
    </row>
    <row r="157" spans="1:25" ht="12.75" hidden="1" customHeight="1">
      <c r="A157" s="3339"/>
      <c r="B157" s="1612" t="s">
        <v>336</v>
      </c>
      <c r="C157" s="2994"/>
      <c r="D157" s="1581">
        <f>M157+N157+O157+P157+Q157+R157</f>
        <v>0</v>
      </c>
      <c r="E157" s="1621">
        <v>0</v>
      </c>
      <c r="F157" s="1621"/>
      <c r="G157" s="1621"/>
      <c r="H157" s="1621">
        <v>0</v>
      </c>
      <c r="I157" s="1621">
        <v>0</v>
      </c>
      <c r="J157" s="1621">
        <v>0</v>
      </c>
      <c r="K157" s="1621">
        <v>0</v>
      </c>
      <c r="L157" s="1621">
        <v>0</v>
      </c>
      <c r="M157" s="1582">
        <f t="shared" ref="M157" si="157">E157+I157+J157+K157+L157</f>
        <v>0</v>
      </c>
      <c r="N157" s="1621">
        <v>0</v>
      </c>
      <c r="O157" s="1595">
        <f>64000-64000</f>
        <v>0</v>
      </c>
      <c r="P157" s="1595">
        <f>32000-32000</f>
        <v>0</v>
      </c>
      <c r="Q157" s="1595">
        <v>0</v>
      </c>
      <c r="R157" s="1595">
        <v>0</v>
      </c>
      <c r="S157" s="1595"/>
      <c r="T157" s="1595"/>
      <c r="U157" s="1595"/>
      <c r="V157" s="1595"/>
      <c r="W157" s="1595"/>
      <c r="X157" s="1583">
        <f>SUM(P157:T157)</f>
        <v>0</v>
      </c>
      <c r="Y157" s="3350"/>
    </row>
    <row r="158" spans="1:25" ht="13.5" hidden="1" customHeight="1">
      <c r="A158" s="3339"/>
      <c r="B158" s="1578" t="s">
        <v>34</v>
      </c>
      <c r="C158" s="1620"/>
      <c r="D158" s="1575">
        <f>+D159+D162</f>
        <v>0</v>
      </c>
      <c r="E158" s="1575">
        <f>+E159+E162</f>
        <v>0</v>
      </c>
      <c r="F158" s="1575"/>
      <c r="G158" s="1575"/>
      <c r="H158" s="1575"/>
      <c r="I158" s="1575">
        <f t="shared" ref="I158:R158" si="158">+I159+I162</f>
        <v>0</v>
      </c>
      <c r="J158" s="1575">
        <f t="shared" si="158"/>
        <v>0</v>
      </c>
      <c r="K158" s="1575">
        <f t="shared" si="158"/>
        <v>0</v>
      </c>
      <c r="L158" s="1575">
        <f t="shared" si="158"/>
        <v>0</v>
      </c>
      <c r="M158" s="1575">
        <f t="shared" ref="M158" si="159">+M159+M162</f>
        <v>0</v>
      </c>
      <c r="N158" s="1575">
        <f t="shared" si="158"/>
        <v>0</v>
      </c>
      <c r="O158" s="1575">
        <f t="shared" si="158"/>
        <v>0</v>
      </c>
      <c r="P158" s="1575">
        <f t="shared" si="158"/>
        <v>0</v>
      </c>
      <c r="Q158" s="1575">
        <f t="shared" si="158"/>
        <v>0</v>
      </c>
      <c r="R158" s="1575">
        <f t="shared" si="158"/>
        <v>0</v>
      </c>
      <c r="S158" s="1575"/>
      <c r="T158" s="1575"/>
      <c r="U158" s="1575"/>
      <c r="V158" s="1575"/>
      <c r="W158" s="1575"/>
      <c r="X158" s="3352" t="s">
        <v>77</v>
      </c>
      <c r="Y158" s="3350"/>
    </row>
    <row r="159" spans="1:25" ht="12.75" hidden="1" customHeight="1">
      <c r="A159" s="3339"/>
      <c r="B159" s="1579" t="s">
        <v>23</v>
      </c>
      <c r="C159" s="3351" t="s">
        <v>217</v>
      </c>
      <c r="D159" s="501">
        <f t="shared" ref="D159:R159" si="160">+D160</f>
        <v>0</v>
      </c>
      <c r="E159" s="501">
        <f t="shared" si="160"/>
        <v>0</v>
      </c>
      <c r="F159" s="501">
        <f t="shared" si="160"/>
        <v>0</v>
      </c>
      <c r="G159" s="501">
        <f t="shared" si="160"/>
        <v>0</v>
      </c>
      <c r="H159" s="501">
        <f t="shared" si="160"/>
        <v>0</v>
      </c>
      <c r="I159" s="501">
        <f t="shared" si="160"/>
        <v>0</v>
      </c>
      <c r="J159" s="501">
        <f t="shared" si="160"/>
        <v>0</v>
      </c>
      <c r="K159" s="501">
        <f t="shared" si="160"/>
        <v>0</v>
      </c>
      <c r="L159" s="501">
        <f t="shared" si="160"/>
        <v>0</v>
      </c>
      <c r="M159" s="501">
        <f t="shared" si="160"/>
        <v>0</v>
      </c>
      <c r="N159" s="501">
        <f t="shared" si="160"/>
        <v>0</v>
      </c>
      <c r="O159" s="1592">
        <f t="shared" si="160"/>
        <v>0</v>
      </c>
      <c r="P159" s="1592">
        <f t="shared" si="160"/>
        <v>0</v>
      </c>
      <c r="Q159" s="1592">
        <f t="shared" si="160"/>
        <v>0</v>
      </c>
      <c r="R159" s="1592">
        <f t="shared" si="160"/>
        <v>0</v>
      </c>
      <c r="S159" s="1592"/>
      <c r="T159" s="1592"/>
      <c r="U159" s="1592"/>
      <c r="V159" s="1592"/>
      <c r="W159" s="1592"/>
      <c r="X159" s="3352"/>
      <c r="Y159" s="3350"/>
    </row>
    <row r="160" spans="1:25" ht="12.75" hidden="1" customHeight="1">
      <c r="A160" s="3339"/>
      <c r="B160" s="1612" t="s">
        <v>335</v>
      </c>
      <c r="C160" s="3351"/>
      <c r="D160" s="1581">
        <f>M160+N160+O160+P160+Q160+R160</f>
        <v>0</v>
      </c>
      <c r="E160" s="1621">
        <v>0</v>
      </c>
      <c r="F160" s="1621"/>
      <c r="G160" s="1621"/>
      <c r="H160" s="1621"/>
      <c r="I160" s="1621">
        <v>0</v>
      </c>
      <c r="J160" s="1621">
        <v>0</v>
      </c>
      <c r="K160" s="1621">
        <v>0</v>
      </c>
      <c r="L160" s="1621">
        <v>0</v>
      </c>
      <c r="M160" s="1582">
        <f t="shared" ref="M160" si="161">E160+I160+J160+K160+L160</f>
        <v>0</v>
      </c>
      <c r="N160" s="1621">
        <v>0</v>
      </c>
      <c r="O160" s="1595">
        <f>36000-36000</f>
        <v>0</v>
      </c>
      <c r="P160" s="1595">
        <f>18000-18000</f>
        <v>0</v>
      </c>
      <c r="Q160" s="1595">
        <v>0</v>
      </c>
      <c r="R160" s="1595">
        <v>0</v>
      </c>
      <c r="S160" s="1595"/>
      <c r="T160" s="1595"/>
      <c r="U160" s="1595"/>
      <c r="V160" s="1595"/>
      <c r="W160" s="1595"/>
      <c r="X160" s="3352"/>
      <c r="Y160" s="3350"/>
    </row>
    <row r="161" spans="1:25" ht="11.25" hidden="1" customHeight="1">
      <c r="A161" s="3339"/>
      <c r="B161" s="1580" t="s">
        <v>37</v>
      </c>
      <c r="C161" s="3351"/>
      <c r="D161" s="1621">
        <f>+E161+I161+J161+K161+L161+N161</f>
        <v>0</v>
      </c>
      <c r="E161" s="1621">
        <v>0</v>
      </c>
      <c r="F161" s="1621"/>
      <c r="G161" s="1621"/>
      <c r="H161" s="1621"/>
      <c r="I161" s="1621"/>
      <c r="J161" s="1621"/>
      <c r="K161" s="1621">
        <v>0</v>
      </c>
      <c r="L161" s="1621">
        <v>0</v>
      </c>
      <c r="M161" s="1621">
        <v>0</v>
      </c>
      <c r="N161" s="1621"/>
      <c r="O161" s="1623"/>
      <c r="P161" s="1595"/>
      <c r="Q161" s="1595"/>
      <c r="R161" s="1595"/>
      <c r="S161" s="1595"/>
      <c r="T161" s="1595"/>
      <c r="U161" s="1595"/>
      <c r="V161" s="1595"/>
      <c r="W161" s="1595"/>
      <c r="X161" s="3352"/>
      <c r="Y161" s="3350"/>
    </row>
    <row r="162" spans="1:25" ht="12.75" hidden="1" customHeight="1">
      <c r="A162" s="3339"/>
      <c r="B162" s="1585" t="s">
        <v>30</v>
      </c>
      <c r="C162" s="3351"/>
      <c r="D162" s="501">
        <f t="shared" ref="D162:R162" si="162">+D163</f>
        <v>0</v>
      </c>
      <c r="E162" s="501">
        <f t="shared" si="162"/>
        <v>0</v>
      </c>
      <c r="F162" s="501">
        <f t="shared" si="162"/>
        <v>0</v>
      </c>
      <c r="G162" s="501">
        <f t="shared" si="162"/>
        <v>0</v>
      </c>
      <c r="H162" s="501">
        <f t="shared" si="162"/>
        <v>0</v>
      </c>
      <c r="I162" s="501">
        <f t="shared" si="162"/>
        <v>0</v>
      </c>
      <c r="J162" s="501">
        <f t="shared" si="162"/>
        <v>0</v>
      </c>
      <c r="K162" s="501">
        <f t="shared" si="162"/>
        <v>0</v>
      </c>
      <c r="L162" s="501">
        <f t="shared" si="162"/>
        <v>0</v>
      </c>
      <c r="M162" s="501">
        <f t="shared" si="162"/>
        <v>0</v>
      </c>
      <c r="N162" s="501">
        <f t="shared" si="162"/>
        <v>0</v>
      </c>
      <c r="O162" s="1592">
        <f t="shared" si="162"/>
        <v>0</v>
      </c>
      <c r="P162" s="1592">
        <f t="shared" si="162"/>
        <v>0</v>
      </c>
      <c r="Q162" s="1592">
        <f t="shared" si="162"/>
        <v>0</v>
      </c>
      <c r="R162" s="1592">
        <f t="shared" si="162"/>
        <v>0</v>
      </c>
      <c r="S162" s="1592"/>
      <c r="T162" s="1592"/>
      <c r="U162" s="1592"/>
      <c r="V162" s="1592"/>
      <c r="W162" s="1592"/>
      <c r="X162" s="3352"/>
      <c r="Y162" s="3350"/>
    </row>
    <row r="163" spans="1:25" s="1626" customFormat="1" ht="15.75" hidden="1" customHeight="1" thickBot="1">
      <c r="A163" s="3339"/>
      <c r="B163" s="1612" t="s">
        <v>336</v>
      </c>
      <c r="C163" s="3351"/>
      <c r="D163" s="1581">
        <f>M163+N163+O163+P163+Q163+R163</f>
        <v>0</v>
      </c>
      <c r="E163" s="1624">
        <v>0</v>
      </c>
      <c r="F163" s="1624"/>
      <c r="G163" s="1624"/>
      <c r="H163" s="1624"/>
      <c r="I163" s="1624">
        <v>0</v>
      </c>
      <c r="J163" s="1624">
        <v>0</v>
      </c>
      <c r="K163" s="1624">
        <v>0</v>
      </c>
      <c r="L163" s="1624">
        <v>0</v>
      </c>
      <c r="M163" s="1582">
        <f t="shared" ref="M163" si="163">E163+I163+J163+K163+L163</f>
        <v>0</v>
      </c>
      <c r="N163" s="1624">
        <v>0</v>
      </c>
      <c r="O163" s="1625">
        <f>64000-64000</f>
        <v>0</v>
      </c>
      <c r="P163" s="1625">
        <f>32000-32000</f>
        <v>0</v>
      </c>
      <c r="Q163" s="1625">
        <v>0</v>
      </c>
      <c r="R163" s="1625">
        <v>0</v>
      </c>
      <c r="S163" s="1625"/>
      <c r="T163" s="1625"/>
      <c r="U163" s="1625"/>
      <c r="V163" s="1625"/>
      <c r="W163" s="1625"/>
      <c r="X163" s="3352"/>
      <c r="Y163" s="3350"/>
    </row>
    <row r="164" spans="1:25" ht="35.25" hidden="1" customHeight="1">
      <c r="A164" s="3339">
        <v>0</v>
      </c>
      <c r="B164" s="1627" t="s">
        <v>221</v>
      </c>
      <c r="C164" s="1628" t="s">
        <v>98</v>
      </c>
      <c r="D164" s="1628"/>
      <c r="E164" s="1629"/>
      <c r="F164" s="1629"/>
      <c r="G164" s="1629"/>
      <c r="H164" s="1629"/>
      <c r="I164" s="1630"/>
      <c r="J164" s="1630"/>
      <c r="K164" s="1630"/>
      <c r="L164" s="1630"/>
      <c r="M164" s="1630"/>
      <c r="N164" s="1630"/>
      <c r="O164" s="1630"/>
      <c r="P164" s="1630"/>
      <c r="Q164" s="1630"/>
      <c r="R164" s="1630"/>
      <c r="S164" s="1630"/>
      <c r="T164" s="1630"/>
      <c r="U164" s="1630"/>
      <c r="V164" s="1630"/>
      <c r="W164" s="1630"/>
      <c r="X164" s="1631"/>
      <c r="Y164" s="3341" t="s">
        <v>222</v>
      </c>
    </row>
    <row r="165" spans="1:25" ht="11.25" hidden="1" customHeight="1">
      <c r="A165" s="3339"/>
      <c r="B165" s="1632" t="s">
        <v>22</v>
      </c>
      <c r="C165" s="1620"/>
      <c r="D165" s="1633">
        <f t="shared" ref="D165:L165" si="164">+D166+D169</f>
        <v>0</v>
      </c>
      <c r="E165" s="1634">
        <f t="shared" si="164"/>
        <v>0</v>
      </c>
      <c r="F165" s="1635">
        <f t="shared" si="164"/>
        <v>0</v>
      </c>
      <c r="G165" s="1635">
        <f t="shared" si="164"/>
        <v>0</v>
      </c>
      <c r="H165" s="1635">
        <f t="shared" si="164"/>
        <v>0</v>
      </c>
      <c r="I165" s="1635">
        <f t="shared" si="164"/>
        <v>0</v>
      </c>
      <c r="J165" s="1635">
        <f t="shared" si="164"/>
        <v>0</v>
      </c>
      <c r="K165" s="1635">
        <f t="shared" si="164"/>
        <v>0</v>
      </c>
      <c r="L165" s="1635">
        <f t="shared" si="164"/>
        <v>0</v>
      </c>
      <c r="M165" s="1636"/>
      <c r="N165" s="1637"/>
      <c r="O165" s="1638"/>
      <c r="P165" s="1638"/>
      <c r="Q165" s="1638"/>
      <c r="R165" s="1638"/>
      <c r="S165" s="1638"/>
      <c r="T165" s="1638"/>
      <c r="U165" s="1638"/>
      <c r="V165" s="1638"/>
      <c r="W165" s="1638"/>
      <c r="X165" s="1639"/>
      <c r="Y165" s="3341"/>
    </row>
    <row r="166" spans="1:25" ht="11.25" hidden="1" customHeight="1">
      <c r="A166" s="3339"/>
      <c r="B166" s="1640" t="s">
        <v>23</v>
      </c>
      <c r="C166" s="3347" t="s">
        <v>213</v>
      </c>
      <c r="D166" s="1641">
        <f>+D167+D168</f>
        <v>0</v>
      </c>
      <c r="E166" s="1642">
        <f>+E167+E168</f>
        <v>0</v>
      </c>
      <c r="F166" s="1641">
        <f>+F167+F168</f>
        <v>0</v>
      </c>
      <c r="G166" s="1641">
        <f>+G167+G168</f>
        <v>0</v>
      </c>
      <c r="H166" s="1641">
        <f>+H167+H168</f>
        <v>0</v>
      </c>
      <c r="I166" s="1643">
        <f>SUM(I167:I168)</f>
        <v>0</v>
      </c>
      <c r="J166" s="1643">
        <f>SUM(J167:J168)</f>
        <v>0</v>
      </c>
      <c r="K166" s="1643">
        <f>SUM(K167:K168)</f>
        <v>0</v>
      </c>
      <c r="L166" s="1643">
        <f>SUM(L167:L168)</f>
        <v>0</v>
      </c>
      <c r="M166" s="1643"/>
      <c r="N166" s="1644"/>
      <c r="O166" s="1645"/>
      <c r="P166" s="1645"/>
      <c r="Q166" s="1645"/>
      <c r="R166" s="1645"/>
      <c r="S166" s="1645"/>
      <c r="T166" s="1645"/>
      <c r="U166" s="1645"/>
      <c r="V166" s="1645"/>
      <c r="W166" s="1645"/>
      <c r="X166" s="1646"/>
      <c r="Y166" s="3341"/>
    </row>
    <row r="167" spans="1:25" ht="11.25" hidden="1" customHeight="1">
      <c r="A167" s="3339"/>
      <c r="B167" s="1647" t="s">
        <v>24</v>
      </c>
      <c r="C167" s="3055"/>
      <c r="D167" s="1648">
        <f>+E167+I167+J167+K167+L167+N167</f>
        <v>0</v>
      </c>
      <c r="E167" s="1649"/>
      <c r="F167" s="1650"/>
      <c r="G167" s="1650"/>
      <c r="H167" s="1650"/>
      <c r="I167" s="1651">
        <v>0</v>
      </c>
      <c r="J167" s="1651">
        <v>0</v>
      </c>
      <c r="K167" s="1651">
        <v>0</v>
      </c>
      <c r="L167" s="1651">
        <v>0</v>
      </c>
      <c r="M167" s="1651"/>
      <c r="N167" s="1652"/>
      <c r="O167" s="1651"/>
      <c r="P167" s="1651"/>
      <c r="Q167" s="1651"/>
      <c r="R167" s="1651"/>
      <c r="S167" s="1651"/>
      <c r="T167" s="1651"/>
      <c r="U167" s="1651"/>
      <c r="V167" s="1651"/>
      <c r="W167" s="1651"/>
      <c r="X167" s="1618"/>
      <c r="Y167" s="3341"/>
    </row>
    <row r="168" spans="1:25" ht="11.25" hidden="1" customHeight="1">
      <c r="A168" s="3339"/>
      <c r="B168" s="1653" t="s">
        <v>25</v>
      </c>
      <c r="C168" s="3055"/>
      <c r="D168" s="1648">
        <f>+E168+I168+J168+K168+L168+N168</f>
        <v>0</v>
      </c>
      <c r="E168" s="1654">
        <v>0</v>
      </c>
      <c r="F168" s="1655"/>
      <c r="G168" s="1655"/>
      <c r="H168" s="1655">
        <v>0</v>
      </c>
      <c r="I168" s="1656"/>
      <c r="J168" s="1656"/>
      <c r="K168" s="1651"/>
      <c r="L168" s="1651"/>
      <c r="M168" s="1651"/>
      <c r="N168" s="1652"/>
      <c r="O168" s="1651"/>
      <c r="P168" s="1651"/>
      <c r="Q168" s="1651"/>
      <c r="R168" s="1651"/>
      <c r="S168" s="1651"/>
      <c r="T168" s="1651"/>
      <c r="U168" s="1651"/>
      <c r="V168" s="1651"/>
      <c r="W168" s="1651"/>
      <c r="X168" s="1618"/>
      <c r="Y168" s="3341"/>
    </row>
    <row r="169" spans="1:25" ht="11.25" hidden="1" customHeight="1">
      <c r="A169" s="3339"/>
      <c r="B169" s="1657" t="s">
        <v>30</v>
      </c>
      <c r="C169" s="3055"/>
      <c r="D169" s="1641">
        <f t="shared" ref="D169:L169" si="165">+D170</f>
        <v>0</v>
      </c>
      <c r="E169" s="1642">
        <f t="shared" si="165"/>
        <v>0</v>
      </c>
      <c r="F169" s="1641"/>
      <c r="G169" s="1641"/>
      <c r="H169" s="1641">
        <f t="shared" si="165"/>
        <v>0</v>
      </c>
      <c r="I169" s="1658">
        <f t="shared" si="165"/>
        <v>0</v>
      </c>
      <c r="J169" s="1658">
        <f t="shared" si="165"/>
        <v>0</v>
      </c>
      <c r="K169" s="1658">
        <f>+K170</f>
        <v>0</v>
      </c>
      <c r="L169" s="1658">
        <f t="shared" si="165"/>
        <v>0</v>
      </c>
      <c r="M169" s="1658"/>
      <c r="N169" s="1659"/>
      <c r="O169" s="1641"/>
      <c r="P169" s="1641"/>
      <c r="Q169" s="1641"/>
      <c r="R169" s="1641"/>
      <c r="S169" s="1641"/>
      <c r="T169" s="1641"/>
      <c r="U169" s="1641"/>
      <c r="V169" s="1641"/>
      <c r="W169" s="1641"/>
      <c r="X169" s="1140"/>
      <c r="Y169" s="3341"/>
    </row>
    <row r="170" spans="1:25" ht="11.25" hidden="1" customHeight="1">
      <c r="A170" s="3339"/>
      <c r="B170" s="1647" t="s">
        <v>33</v>
      </c>
      <c r="C170" s="3055"/>
      <c r="D170" s="1648">
        <f>+E170+I170+J170+K170+L170+N170</f>
        <v>0</v>
      </c>
      <c r="E170" s="1654">
        <v>0</v>
      </c>
      <c r="F170" s="1655"/>
      <c r="G170" s="1655"/>
      <c r="H170" s="1655">
        <v>0</v>
      </c>
      <c r="I170" s="1656"/>
      <c r="J170" s="1656"/>
      <c r="K170" s="1651"/>
      <c r="L170" s="1651"/>
      <c r="M170" s="1651"/>
      <c r="N170" s="1652"/>
      <c r="O170" s="1651"/>
      <c r="P170" s="1651"/>
      <c r="Q170" s="1651"/>
      <c r="R170" s="1651"/>
      <c r="S170" s="1651"/>
      <c r="T170" s="1651"/>
      <c r="U170" s="1651"/>
      <c r="V170" s="1651"/>
      <c r="W170" s="1651"/>
      <c r="X170" s="1618"/>
      <c r="Y170" s="3341"/>
    </row>
    <row r="171" spans="1:25" ht="11.25" hidden="1" customHeight="1">
      <c r="A171" s="3339"/>
      <c r="B171" s="1632" t="s">
        <v>34</v>
      </c>
      <c r="C171" s="1620"/>
      <c r="D171" s="1638">
        <f>+D172+D175</f>
        <v>0</v>
      </c>
      <c r="E171" s="1660">
        <f>+E172+E175</f>
        <v>0</v>
      </c>
      <c r="F171" s="1660"/>
      <c r="G171" s="1660"/>
      <c r="H171" s="1660"/>
      <c r="I171" s="1638">
        <f>+I172+I175</f>
        <v>0</v>
      </c>
      <c r="J171" s="1638">
        <f>+J172+J175</f>
        <v>0</v>
      </c>
      <c r="K171" s="1638">
        <f>+K172+K175</f>
        <v>0</v>
      </c>
      <c r="L171" s="1635">
        <f>+L172+L175</f>
        <v>0</v>
      </c>
      <c r="M171" s="1636"/>
      <c r="N171" s="1637"/>
      <c r="O171" s="1638"/>
      <c r="P171" s="1638"/>
      <c r="Q171" s="1638"/>
      <c r="R171" s="1638"/>
      <c r="S171" s="1638"/>
      <c r="T171" s="1638"/>
      <c r="U171" s="1638"/>
      <c r="V171" s="1638"/>
      <c r="W171" s="1638"/>
      <c r="X171" s="1661"/>
      <c r="Y171" s="3341"/>
    </row>
    <row r="172" spans="1:25" ht="11.25" hidden="1" customHeight="1">
      <c r="A172" s="3339"/>
      <c r="B172" s="1640" t="s">
        <v>23</v>
      </c>
      <c r="C172" s="3348" t="s">
        <v>213</v>
      </c>
      <c r="D172" s="1641">
        <f>+D173+D174</f>
        <v>0</v>
      </c>
      <c r="E172" s="1642">
        <f>+E173+E174</f>
        <v>0</v>
      </c>
      <c r="F172" s="1642"/>
      <c r="G172" s="1642"/>
      <c r="H172" s="1642"/>
      <c r="I172" s="1643">
        <f>+I173+I174</f>
        <v>0</v>
      </c>
      <c r="J172" s="1643">
        <f>+J173+J174</f>
        <v>0</v>
      </c>
      <c r="K172" s="1645">
        <f>+K173+K174</f>
        <v>0</v>
      </c>
      <c r="L172" s="1643">
        <f>+L173+L174</f>
        <v>0</v>
      </c>
      <c r="M172" s="1643"/>
      <c r="N172" s="1644"/>
      <c r="O172" s="1645"/>
      <c r="P172" s="1645"/>
      <c r="Q172" s="1645"/>
      <c r="R172" s="1645"/>
      <c r="S172" s="1645"/>
      <c r="T172" s="1645"/>
      <c r="U172" s="1645"/>
      <c r="V172" s="1645"/>
      <c r="W172" s="1645"/>
      <c r="X172" s="1661"/>
      <c r="Y172" s="3341"/>
    </row>
    <row r="173" spans="1:25" ht="11.25" hidden="1" customHeight="1">
      <c r="A173" s="3339"/>
      <c r="B173" s="1653" t="s">
        <v>25</v>
      </c>
      <c r="C173" s="3349"/>
      <c r="D173" s="1648">
        <f>+E173+I173+J173+K173+L173+N173</f>
        <v>0</v>
      </c>
      <c r="E173" s="1654">
        <v>0</v>
      </c>
      <c r="F173" s="1654"/>
      <c r="G173" s="1654"/>
      <c r="H173" s="1654"/>
      <c r="I173" s="1656"/>
      <c r="J173" s="1656"/>
      <c r="K173" s="1656"/>
      <c r="L173" s="1651"/>
      <c r="M173" s="1651"/>
      <c r="N173" s="1652"/>
      <c r="O173" s="1651"/>
      <c r="P173" s="1651"/>
      <c r="Q173" s="1651"/>
      <c r="R173" s="1651"/>
      <c r="S173" s="1651"/>
      <c r="T173" s="1651"/>
      <c r="U173" s="1651"/>
      <c r="V173" s="1651"/>
      <c r="W173" s="1651"/>
      <c r="X173" s="1661"/>
      <c r="Y173" s="3341"/>
    </row>
    <row r="174" spans="1:25" ht="11.25" hidden="1" customHeight="1">
      <c r="A174" s="3339"/>
      <c r="B174" s="1647" t="s">
        <v>37</v>
      </c>
      <c r="C174" s="3349"/>
      <c r="D174" s="1648">
        <f>+E174+I174+J174+K174+L174+N174</f>
        <v>0</v>
      </c>
      <c r="E174" s="1654">
        <v>0</v>
      </c>
      <c r="F174" s="1654"/>
      <c r="G174" s="1654"/>
      <c r="H174" s="1654"/>
      <c r="I174" s="1651"/>
      <c r="J174" s="1662"/>
      <c r="K174" s="1656">
        <v>0</v>
      </c>
      <c r="L174" s="1651">
        <v>0</v>
      </c>
      <c r="M174" s="1651"/>
      <c r="N174" s="1651"/>
      <c r="O174" s="1651"/>
      <c r="P174" s="1651"/>
      <c r="Q174" s="1651"/>
      <c r="R174" s="1651"/>
      <c r="S174" s="1651"/>
      <c r="T174" s="1651"/>
      <c r="U174" s="1651"/>
      <c r="V174" s="1651"/>
      <c r="W174" s="1651"/>
      <c r="X174" s="1661"/>
      <c r="Y174" s="3341"/>
    </row>
    <row r="175" spans="1:25" ht="11.25" hidden="1" customHeight="1">
      <c r="A175" s="3339"/>
      <c r="B175" s="1657" t="s">
        <v>30</v>
      </c>
      <c r="C175" s="3349"/>
      <c r="D175" s="1641">
        <f>+D176+D177</f>
        <v>0</v>
      </c>
      <c r="E175" s="1663">
        <f>+E176</f>
        <v>0</v>
      </c>
      <c r="F175" s="1663"/>
      <c r="G175" s="1663"/>
      <c r="H175" s="1663"/>
      <c r="I175" s="1643">
        <f>+I176+I177</f>
        <v>0</v>
      </c>
      <c r="J175" s="1643">
        <f>+J176+J177</f>
        <v>0</v>
      </c>
      <c r="K175" s="1645">
        <f>+K176+K177</f>
        <v>0</v>
      </c>
      <c r="L175" s="1643">
        <f>+L176+L177</f>
        <v>0</v>
      </c>
      <c r="M175" s="1643"/>
      <c r="N175" s="1643"/>
      <c r="O175" s="1645"/>
      <c r="P175" s="1645"/>
      <c r="Q175" s="1645"/>
      <c r="R175" s="1645"/>
      <c r="S175" s="1645"/>
      <c r="T175" s="1645"/>
      <c r="U175" s="1645"/>
      <c r="V175" s="1645"/>
      <c r="W175" s="1645"/>
      <c r="X175" s="1661"/>
      <c r="Y175" s="3341"/>
    </row>
    <row r="176" spans="1:25" ht="11.25" hidden="1" customHeight="1">
      <c r="A176" s="3339"/>
      <c r="B176" s="1653" t="s">
        <v>33</v>
      </c>
      <c r="C176" s="3349"/>
      <c r="D176" s="1648">
        <f>+E176+I176+J176+K176+L176+N176</f>
        <v>0</v>
      </c>
      <c r="E176" s="1614">
        <v>0</v>
      </c>
      <c r="F176" s="1614"/>
      <c r="G176" s="1614"/>
      <c r="H176" s="1614"/>
      <c r="I176" s="1664"/>
      <c r="J176" s="1664"/>
      <c r="K176" s="1664"/>
      <c r="L176" s="1665"/>
      <c r="M176" s="1665"/>
      <c r="N176" s="1652"/>
      <c r="O176" s="1651"/>
      <c r="P176" s="1651"/>
      <c r="Q176" s="1651"/>
      <c r="R176" s="1651"/>
      <c r="S176" s="1651"/>
      <c r="T176" s="1651"/>
      <c r="U176" s="1651"/>
      <c r="V176" s="1651"/>
      <c r="W176" s="1651"/>
      <c r="X176" s="1661"/>
      <c r="Y176" s="3341"/>
    </row>
    <row r="177" spans="1:26" ht="11.25" hidden="1" customHeight="1" thickBot="1">
      <c r="A177" s="3339"/>
      <c r="B177" s="1653" t="s">
        <v>32</v>
      </c>
      <c r="C177" s="3349"/>
      <c r="D177" s="1648">
        <f>+E177+I177+J177+K177+L177+N177</f>
        <v>0</v>
      </c>
      <c r="E177" s="1615">
        <v>0</v>
      </c>
      <c r="F177" s="1615"/>
      <c r="G177" s="1615"/>
      <c r="H177" s="1615"/>
      <c r="I177" s="1616"/>
      <c r="J177" s="1617"/>
      <c r="K177" s="1616"/>
      <c r="L177" s="1616"/>
      <c r="M177" s="1616"/>
      <c r="N177" s="1616"/>
      <c r="O177" s="1616"/>
      <c r="P177" s="1616"/>
      <c r="Q177" s="1616"/>
      <c r="R177" s="1616"/>
      <c r="S177" s="1616"/>
      <c r="T177" s="1616"/>
      <c r="U177" s="1616"/>
      <c r="V177" s="1616"/>
      <c r="W177" s="1616"/>
      <c r="X177" s="1618"/>
      <c r="Y177" s="3341"/>
    </row>
    <row r="178" spans="1:26" s="1626" customFormat="1" ht="36" hidden="1" customHeight="1">
      <c r="A178" s="1779" t="s">
        <v>223</v>
      </c>
      <c r="B178" s="1666"/>
      <c r="C178" s="1666"/>
      <c r="D178" s="1666"/>
      <c r="E178" s="1667"/>
      <c r="F178" s="1667">
        <f>+D182-D189</f>
        <v>0</v>
      </c>
      <c r="G178" s="1667"/>
      <c r="H178" s="1667"/>
      <c r="I178" s="1666"/>
      <c r="J178" s="1666"/>
      <c r="K178" s="1666"/>
      <c r="L178" s="1666"/>
      <c r="M178" s="1666"/>
      <c r="N178" s="1666"/>
      <c r="O178" s="1666"/>
      <c r="P178" s="1666"/>
      <c r="Q178" s="1666"/>
      <c r="R178" s="1666"/>
      <c r="S178" s="1666"/>
      <c r="T178" s="1666"/>
      <c r="U178" s="1666"/>
      <c r="V178" s="1666"/>
      <c r="W178" s="1666"/>
      <c r="X178" s="1668"/>
      <c r="Y178" s="1780"/>
    </row>
    <row r="179" spans="1:26" s="2667" customFormat="1" ht="19.5" hidden="1" customHeight="1">
      <c r="A179" s="1769"/>
      <c r="B179" s="1738" t="s">
        <v>92</v>
      </c>
      <c r="C179" s="1739"/>
      <c r="D179" s="1740">
        <f>+D180+D181</f>
        <v>0</v>
      </c>
      <c r="E179" s="1740">
        <f t="shared" ref="E179:X179" si="166">+E180+E181</f>
        <v>0</v>
      </c>
      <c r="F179" s="1740">
        <f t="shared" si="166"/>
        <v>0</v>
      </c>
      <c r="G179" s="1740">
        <f t="shared" si="166"/>
        <v>0</v>
      </c>
      <c r="H179" s="1740">
        <f t="shared" si="166"/>
        <v>0</v>
      </c>
      <c r="I179" s="1740">
        <f t="shared" si="166"/>
        <v>0</v>
      </c>
      <c r="J179" s="1740">
        <f t="shared" si="166"/>
        <v>0</v>
      </c>
      <c r="K179" s="1740">
        <f t="shared" si="166"/>
        <v>0</v>
      </c>
      <c r="L179" s="1740">
        <f t="shared" si="166"/>
        <v>0</v>
      </c>
      <c r="M179" s="1740">
        <f t="shared" ref="M179" si="167">+M180+M181</f>
        <v>0</v>
      </c>
      <c r="N179" s="1740">
        <f t="shared" si="166"/>
        <v>0</v>
      </c>
      <c r="O179" s="1740">
        <f t="shared" si="166"/>
        <v>0</v>
      </c>
      <c r="P179" s="1740">
        <f t="shared" si="166"/>
        <v>0</v>
      </c>
      <c r="Q179" s="1740">
        <f t="shared" si="166"/>
        <v>0</v>
      </c>
      <c r="R179" s="1740">
        <f t="shared" si="166"/>
        <v>0</v>
      </c>
      <c r="S179" s="1740"/>
      <c r="T179" s="1740"/>
      <c r="U179" s="1740"/>
      <c r="V179" s="1740"/>
      <c r="W179" s="1740"/>
      <c r="X179" s="1741">
        <f t="shared" si="166"/>
        <v>0</v>
      </c>
      <c r="Y179" s="1784"/>
    </row>
    <row r="180" spans="1:26" s="2667" customFormat="1" ht="12.75" hidden="1" customHeight="1">
      <c r="A180" s="1771"/>
      <c r="B180" s="1738" t="s">
        <v>93</v>
      </c>
      <c r="C180" s="1739"/>
      <c r="D180" s="1740">
        <v>0</v>
      </c>
      <c r="E180" s="1740">
        <v>0</v>
      </c>
      <c r="F180" s="1740">
        <v>0</v>
      </c>
      <c r="G180" s="1740">
        <v>0</v>
      </c>
      <c r="H180" s="1740">
        <v>0</v>
      </c>
      <c r="I180" s="1740">
        <v>0</v>
      </c>
      <c r="J180" s="1740">
        <v>0</v>
      </c>
      <c r="K180" s="1740">
        <v>0</v>
      </c>
      <c r="L180" s="1740">
        <v>0</v>
      </c>
      <c r="M180" s="1740">
        <v>0</v>
      </c>
      <c r="N180" s="1740">
        <v>0</v>
      </c>
      <c r="O180" s="1740">
        <v>0</v>
      </c>
      <c r="P180" s="1740">
        <v>0</v>
      </c>
      <c r="Q180" s="1740">
        <v>0</v>
      </c>
      <c r="R180" s="1740">
        <v>0</v>
      </c>
      <c r="S180" s="1740"/>
      <c r="T180" s="1740"/>
      <c r="U180" s="1740"/>
      <c r="V180" s="1740"/>
      <c r="W180" s="1740"/>
      <c r="X180" s="1741">
        <f>SUM(P180:S180)</f>
        <v>0</v>
      </c>
      <c r="Y180" s="1770"/>
    </row>
    <row r="181" spans="1:26" s="2667" customFormat="1" ht="15" hidden="1" customHeight="1">
      <c r="A181" s="1771"/>
      <c r="B181" s="1742" t="s">
        <v>21</v>
      </c>
      <c r="C181" s="1743"/>
      <c r="D181" s="1744">
        <f>+D196+D208+D215</f>
        <v>0</v>
      </c>
      <c r="E181" s="1744">
        <f t="shared" ref="E181:R181" si="168">+E196+E208+E215</f>
        <v>0</v>
      </c>
      <c r="F181" s="1744">
        <f t="shared" si="168"/>
        <v>0</v>
      </c>
      <c r="G181" s="1744">
        <f t="shared" si="168"/>
        <v>0</v>
      </c>
      <c r="H181" s="1744">
        <f t="shared" si="168"/>
        <v>0</v>
      </c>
      <c r="I181" s="1744">
        <f t="shared" si="168"/>
        <v>0</v>
      </c>
      <c r="J181" s="1744">
        <f t="shared" si="168"/>
        <v>0</v>
      </c>
      <c r="K181" s="1744">
        <f t="shared" si="168"/>
        <v>0</v>
      </c>
      <c r="L181" s="1744">
        <f t="shared" si="168"/>
        <v>0</v>
      </c>
      <c r="M181" s="1744">
        <f t="shared" ref="M181" si="169">+M196+M208+M215</f>
        <v>0</v>
      </c>
      <c r="N181" s="1744">
        <f t="shared" si="168"/>
        <v>0</v>
      </c>
      <c r="O181" s="1744">
        <f t="shared" si="168"/>
        <v>0</v>
      </c>
      <c r="P181" s="1744">
        <f t="shared" si="168"/>
        <v>0</v>
      </c>
      <c r="Q181" s="1744">
        <f t="shared" si="168"/>
        <v>0</v>
      </c>
      <c r="R181" s="1744">
        <f t="shared" si="168"/>
        <v>0</v>
      </c>
      <c r="S181" s="1744"/>
      <c r="T181" s="1744"/>
      <c r="U181" s="1744"/>
      <c r="V181" s="1744"/>
      <c r="W181" s="1744"/>
      <c r="X181" s="1741">
        <f>SUM(P181:S181)</f>
        <v>0</v>
      </c>
      <c r="Y181" s="1770"/>
      <c r="Z181" s="1322"/>
    </row>
    <row r="182" spans="1:26" ht="14.25" hidden="1" customHeight="1">
      <c r="A182" s="1771"/>
      <c r="B182" s="374" t="s">
        <v>22</v>
      </c>
      <c r="C182" s="1745"/>
      <c r="D182" s="1746">
        <f>+D183</f>
        <v>0</v>
      </c>
      <c r="E182" s="1747">
        <f t="shared" ref="E182:O182" si="170">+E183</f>
        <v>0</v>
      </c>
      <c r="F182" s="1746">
        <f t="shared" si="170"/>
        <v>0</v>
      </c>
      <c r="G182" s="1746">
        <f t="shared" si="170"/>
        <v>0</v>
      </c>
      <c r="H182" s="1746">
        <f t="shared" si="170"/>
        <v>0</v>
      </c>
      <c r="I182" s="1747">
        <f t="shared" si="170"/>
        <v>0</v>
      </c>
      <c r="J182" s="1747">
        <f t="shared" si="170"/>
        <v>0</v>
      </c>
      <c r="K182" s="1747">
        <f t="shared" si="170"/>
        <v>0</v>
      </c>
      <c r="L182" s="1747">
        <f t="shared" si="170"/>
        <v>0</v>
      </c>
      <c r="M182" s="1747">
        <f t="shared" si="170"/>
        <v>0</v>
      </c>
      <c r="N182" s="1747">
        <f t="shared" si="170"/>
        <v>0</v>
      </c>
      <c r="O182" s="1747">
        <f t="shared" si="170"/>
        <v>0</v>
      </c>
      <c r="P182" s="1747"/>
      <c r="Q182" s="1747"/>
      <c r="R182" s="1434"/>
      <c r="S182" s="1434"/>
      <c r="T182" s="1434"/>
      <c r="U182" s="1434"/>
      <c r="V182" s="1434"/>
      <c r="W182" s="1434"/>
      <c r="X182" s="1413">
        <f>+X183</f>
        <v>0</v>
      </c>
      <c r="Y182" s="1770"/>
      <c r="Z182" s="1555"/>
    </row>
    <row r="183" spans="1:26" ht="12.95" hidden="1" customHeight="1">
      <c r="A183" s="1781"/>
      <c r="B183" s="1673" t="s">
        <v>23</v>
      </c>
      <c r="C183" s="1674"/>
      <c r="D183" s="1675">
        <f>+D187+D188</f>
        <v>0</v>
      </c>
      <c r="E183" s="1675">
        <f t="shared" ref="E183:N183" si="171">+E187+E188</f>
        <v>0</v>
      </c>
      <c r="F183" s="1675">
        <f t="shared" si="171"/>
        <v>0</v>
      </c>
      <c r="G183" s="1675">
        <f t="shared" si="171"/>
        <v>0</v>
      </c>
      <c r="H183" s="1675">
        <f t="shared" si="171"/>
        <v>0</v>
      </c>
      <c r="I183" s="1675">
        <f t="shared" si="171"/>
        <v>0</v>
      </c>
      <c r="J183" s="1675">
        <f t="shared" si="171"/>
        <v>0</v>
      </c>
      <c r="K183" s="1675">
        <f t="shared" si="171"/>
        <v>0</v>
      </c>
      <c r="L183" s="1675">
        <f t="shared" si="171"/>
        <v>0</v>
      </c>
      <c r="M183" s="1675">
        <f t="shared" ref="M183" si="172">+M187+M188</f>
        <v>0</v>
      </c>
      <c r="N183" s="1675">
        <f t="shared" si="171"/>
        <v>0</v>
      </c>
      <c r="O183" s="1675">
        <f>+O187+O188</f>
        <v>0</v>
      </c>
      <c r="P183" s="1675"/>
      <c r="Q183" s="1675"/>
      <c r="R183" s="1675"/>
      <c r="S183" s="1675"/>
      <c r="T183" s="1675"/>
      <c r="U183" s="1675"/>
      <c r="V183" s="1675"/>
      <c r="W183" s="1675"/>
      <c r="X183" s="1676">
        <f>+X187+X188</f>
        <v>0</v>
      </c>
      <c r="Y183" s="1770"/>
    </row>
    <row r="184" spans="1:26" ht="12.95" hidden="1" customHeight="1">
      <c r="A184" s="1775"/>
      <c r="B184" s="1682" t="s">
        <v>24</v>
      </c>
      <c r="C184" s="1748"/>
      <c r="D184" s="1683">
        <v>0</v>
      </c>
      <c r="E184" s="1683">
        <v>0</v>
      </c>
      <c r="F184" s="1683">
        <v>0</v>
      </c>
      <c r="G184" s="1683">
        <v>0</v>
      </c>
      <c r="H184" s="1683">
        <v>0</v>
      </c>
      <c r="I184" s="1683">
        <v>0</v>
      </c>
      <c r="J184" s="1683">
        <v>0</v>
      </c>
      <c r="K184" s="1683">
        <v>0</v>
      </c>
      <c r="L184" s="1749">
        <v>0</v>
      </c>
      <c r="M184" s="1749">
        <v>0</v>
      </c>
      <c r="N184" s="1749">
        <v>0</v>
      </c>
      <c r="O184" s="1683"/>
      <c r="P184" s="1683"/>
      <c r="Q184" s="1683"/>
      <c r="R184" s="1683"/>
      <c r="S184" s="1683"/>
      <c r="T184" s="1683"/>
      <c r="U184" s="1683"/>
      <c r="V184" s="1683"/>
      <c r="W184" s="1683"/>
      <c r="X184" s="1696"/>
      <c r="Y184" s="1770"/>
    </row>
    <row r="185" spans="1:26" ht="13.5" hidden="1" customHeight="1">
      <c r="A185" s="1775"/>
      <c r="B185" s="1750" t="s">
        <v>25</v>
      </c>
      <c r="C185" s="1751"/>
      <c r="D185" s="1752">
        <v>0</v>
      </c>
      <c r="E185" s="1752">
        <v>0</v>
      </c>
      <c r="F185" s="1752">
        <v>0</v>
      </c>
      <c r="G185" s="1752">
        <v>0</v>
      </c>
      <c r="H185" s="1752">
        <v>0</v>
      </c>
      <c r="I185" s="1752">
        <v>0</v>
      </c>
      <c r="J185" s="1752">
        <v>0</v>
      </c>
      <c r="K185" s="1752">
        <v>0</v>
      </c>
      <c r="L185" s="1753">
        <v>0</v>
      </c>
      <c r="M185" s="1753">
        <v>0</v>
      </c>
      <c r="N185" s="1753">
        <v>0</v>
      </c>
      <c r="O185" s="1752"/>
      <c r="P185" s="1752"/>
      <c r="Q185" s="1752"/>
      <c r="R185" s="1752"/>
      <c r="S185" s="1752"/>
      <c r="T185" s="1752"/>
      <c r="U185" s="1752"/>
      <c r="V185" s="1752"/>
      <c r="W185" s="1752"/>
      <c r="X185" s="1696"/>
      <c r="Y185" s="1770"/>
    </row>
    <row r="186" spans="1:26" ht="12.75" hidden="1" customHeight="1">
      <c r="A186" s="1775"/>
      <c r="B186" s="373" t="s">
        <v>25</v>
      </c>
      <c r="C186" s="1751"/>
      <c r="D186" s="1752">
        <v>0</v>
      </c>
      <c r="E186" s="1752">
        <v>0</v>
      </c>
      <c r="F186" s="1752">
        <v>0</v>
      </c>
      <c r="G186" s="1752">
        <v>0</v>
      </c>
      <c r="H186" s="1752">
        <v>0</v>
      </c>
      <c r="I186" s="1752">
        <v>0</v>
      </c>
      <c r="J186" s="1752">
        <v>0</v>
      </c>
      <c r="K186" s="1752">
        <v>0</v>
      </c>
      <c r="L186" s="1753">
        <v>0</v>
      </c>
      <c r="M186" s="1753">
        <v>0</v>
      </c>
      <c r="N186" s="1753">
        <v>0</v>
      </c>
      <c r="O186" s="1752"/>
      <c r="P186" s="1752"/>
      <c r="Q186" s="1752"/>
      <c r="R186" s="1752"/>
      <c r="S186" s="1752"/>
      <c r="T186" s="1752"/>
      <c r="U186" s="1752"/>
      <c r="V186" s="1752"/>
      <c r="W186" s="1752"/>
      <c r="X186" s="1696"/>
      <c r="Y186" s="1770"/>
    </row>
    <row r="187" spans="1:26" s="1626" customFormat="1" ht="12.75" hidden="1" customHeight="1">
      <c r="A187" s="1782"/>
      <c r="B187" s="1754" t="s">
        <v>26</v>
      </c>
      <c r="C187" s="1751"/>
      <c r="D187" s="1752">
        <f>+D199+D217</f>
        <v>0</v>
      </c>
      <c r="E187" s="1752">
        <f t="shared" ref="E187:O187" si="173">+E199+E217</f>
        <v>0</v>
      </c>
      <c r="F187" s="1752">
        <f t="shared" si="173"/>
        <v>0</v>
      </c>
      <c r="G187" s="1752">
        <f t="shared" si="173"/>
        <v>0</v>
      </c>
      <c r="H187" s="1752">
        <f t="shared" si="173"/>
        <v>0</v>
      </c>
      <c r="I187" s="1752">
        <f t="shared" si="173"/>
        <v>0</v>
      </c>
      <c r="J187" s="1752">
        <f t="shared" si="173"/>
        <v>0</v>
      </c>
      <c r="K187" s="1752">
        <f t="shared" ref="K187:L187" si="174">+K199+K217</f>
        <v>0</v>
      </c>
      <c r="L187" s="1752">
        <f t="shared" si="174"/>
        <v>0</v>
      </c>
      <c r="M187" s="1752">
        <f t="shared" ref="M187" si="175">+M199+M217</f>
        <v>0</v>
      </c>
      <c r="N187" s="1752">
        <f t="shared" si="173"/>
        <v>0</v>
      </c>
      <c r="O187" s="1752">
        <f t="shared" si="173"/>
        <v>0</v>
      </c>
      <c r="P187" s="1752"/>
      <c r="Q187" s="1752"/>
      <c r="R187" s="1752"/>
      <c r="S187" s="1752"/>
      <c r="T187" s="1752"/>
      <c r="U187" s="1752"/>
      <c r="V187" s="1752"/>
      <c r="W187" s="1752"/>
      <c r="X187" s="1696">
        <f>SUM(P187:T187)</f>
        <v>0</v>
      </c>
      <c r="Y187" s="1783"/>
    </row>
    <row r="188" spans="1:26" ht="12.75" hidden="1" customHeight="1">
      <c r="A188" s="1775"/>
      <c r="B188" s="1682" t="s">
        <v>78</v>
      </c>
      <c r="C188" s="368"/>
      <c r="D188" s="1683">
        <f>+D200+D210+D218</f>
        <v>0</v>
      </c>
      <c r="E188" s="1683">
        <f t="shared" ref="E188:O188" si="176">+E200+E210+E218</f>
        <v>0</v>
      </c>
      <c r="F188" s="1683">
        <f t="shared" si="176"/>
        <v>0</v>
      </c>
      <c r="G188" s="1683">
        <f t="shared" si="176"/>
        <v>0</v>
      </c>
      <c r="H188" s="1683">
        <f t="shared" si="176"/>
        <v>0</v>
      </c>
      <c r="I188" s="1683">
        <f t="shared" si="176"/>
        <v>0</v>
      </c>
      <c r="J188" s="1683">
        <f t="shared" si="176"/>
        <v>0</v>
      </c>
      <c r="K188" s="1683">
        <f t="shared" ref="K188:L188" si="177">+K200+K210+K218</f>
        <v>0</v>
      </c>
      <c r="L188" s="1683">
        <f t="shared" si="177"/>
        <v>0</v>
      </c>
      <c r="M188" s="1683">
        <f t="shared" ref="M188" si="178">+M200+M210+M218</f>
        <v>0</v>
      </c>
      <c r="N188" s="1683"/>
      <c r="O188" s="1683">
        <f t="shared" si="176"/>
        <v>0</v>
      </c>
      <c r="P188" s="1683"/>
      <c r="Q188" s="1683"/>
      <c r="R188" s="1683"/>
      <c r="S188" s="1683"/>
      <c r="T188" s="1683"/>
      <c r="U188" s="1683"/>
      <c r="V188" s="1683"/>
      <c r="W188" s="1683"/>
      <c r="X188" s="1696">
        <f>SUM(P188:T188)</f>
        <v>0</v>
      </c>
      <c r="Y188" s="1770"/>
    </row>
    <row r="189" spans="1:26" ht="15" hidden="1" customHeight="1">
      <c r="A189" s="1771"/>
      <c r="B189" s="374" t="s">
        <v>34</v>
      </c>
      <c r="C189" s="375"/>
      <c r="D189" s="1727">
        <f>+D190</f>
        <v>0</v>
      </c>
      <c r="E189" s="1727">
        <f t="shared" ref="E189:O189" si="179">+E190</f>
        <v>0</v>
      </c>
      <c r="F189" s="1727">
        <f t="shared" si="179"/>
        <v>0</v>
      </c>
      <c r="G189" s="1727">
        <f t="shared" si="179"/>
        <v>0</v>
      </c>
      <c r="H189" s="1727">
        <f t="shared" si="179"/>
        <v>0</v>
      </c>
      <c r="I189" s="1727">
        <f t="shared" si="179"/>
        <v>0</v>
      </c>
      <c r="J189" s="1727">
        <f t="shared" si="179"/>
        <v>0</v>
      </c>
      <c r="K189" s="1727">
        <f t="shared" si="179"/>
        <v>0</v>
      </c>
      <c r="L189" s="1727">
        <f t="shared" si="179"/>
        <v>0</v>
      </c>
      <c r="M189" s="1727">
        <f t="shared" si="179"/>
        <v>0</v>
      </c>
      <c r="N189" s="1727">
        <f t="shared" si="179"/>
        <v>0</v>
      </c>
      <c r="O189" s="1727">
        <f t="shared" si="179"/>
        <v>0</v>
      </c>
      <c r="P189" s="1727"/>
      <c r="Q189" s="1727"/>
      <c r="R189" s="1727"/>
      <c r="S189" s="1727"/>
      <c r="T189" s="1727"/>
      <c r="U189" s="1727"/>
      <c r="V189" s="1727"/>
      <c r="W189" s="1727"/>
      <c r="X189" s="2683"/>
      <c r="Y189" s="1770"/>
    </row>
    <row r="190" spans="1:26" ht="12" hidden="1" customHeight="1">
      <c r="A190" s="1774"/>
      <c r="B190" s="1673" t="s">
        <v>23</v>
      </c>
      <c r="C190" s="1674"/>
      <c r="D190" s="1675">
        <f t="shared" ref="D190:N190" si="180">SUM(D192:D194)</f>
        <v>0</v>
      </c>
      <c r="E190" s="1675">
        <f t="shared" si="180"/>
        <v>0</v>
      </c>
      <c r="F190" s="1675">
        <f t="shared" si="180"/>
        <v>0</v>
      </c>
      <c r="G190" s="1675">
        <f t="shared" si="180"/>
        <v>0</v>
      </c>
      <c r="H190" s="1675">
        <f t="shared" si="180"/>
        <v>0</v>
      </c>
      <c r="I190" s="1675">
        <f t="shared" si="180"/>
        <v>0</v>
      </c>
      <c r="J190" s="1675">
        <f t="shared" si="180"/>
        <v>0</v>
      </c>
      <c r="K190" s="1675">
        <f t="shared" si="180"/>
        <v>0</v>
      </c>
      <c r="L190" s="1675">
        <f t="shared" si="180"/>
        <v>0</v>
      </c>
      <c r="M190" s="1675">
        <f t="shared" ref="M190" si="181">SUM(M192:M194)</f>
        <v>0</v>
      </c>
      <c r="N190" s="1675">
        <f t="shared" si="180"/>
        <v>0</v>
      </c>
      <c r="O190" s="1675">
        <f>SUM(O192:O194)</f>
        <v>0</v>
      </c>
      <c r="P190" s="1675"/>
      <c r="Q190" s="1675"/>
      <c r="R190" s="1675"/>
      <c r="S190" s="1675"/>
      <c r="T190" s="1675"/>
      <c r="U190" s="1675"/>
      <c r="V190" s="1675"/>
      <c r="W190" s="1675"/>
      <c r="X190" s="2683"/>
      <c r="Y190" s="1770"/>
    </row>
    <row r="191" spans="1:26" ht="13.5" hidden="1" customHeight="1">
      <c r="A191" s="1775"/>
      <c r="B191" s="373" t="s">
        <v>25</v>
      </c>
      <c r="C191" s="368"/>
      <c r="D191" s="1749">
        <v>0</v>
      </c>
      <c r="E191" s="1683">
        <v>0</v>
      </c>
      <c r="F191" s="1683">
        <v>0</v>
      </c>
      <c r="G191" s="1683">
        <v>0</v>
      </c>
      <c r="H191" s="1683">
        <v>0</v>
      </c>
      <c r="I191" s="1683">
        <v>0</v>
      </c>
      <c r="J191" s="1683">
        <v>0</v>
      </c>
      <c r="K191" s="1683">
        <v>0</v>
      </c>
      <c r="L191" s="1749">
        <v>0</v>
      </c>
      <c r="M191" s="1749">
        <v>0</v>
      </c>
      <c r="N191" s="1749">
        <v>0</v>
      </c>
      <c r="O191" s="1683"/>
      <c r="P191" s="1683"/>
      <c r="Q191" s="1683"/>
      <c r="R191" s="1683"/>
      <c r="S191" s="1683"/>
      <c r="T191" s="1683"/>
      <c r="U191" s="1683"/>
      <c r="V191" s="1683"/>
      <c r="W191" s="1683"/>
      <c r="X191" s="2683"/>
      <c r="Y191" s="1770"/>
    </row>
    <row r="192" spans="1:26" ht="12.95" hidden="1" customHeight="1">
      <c r="A192" s="1775"/>
      <c r="B192" s="373" t="s">
        <v>25</v>
      </c>
      <c r="C192" s="1748"/>
      <c r="D192" s="1749">
        <v>0</v>
      </c>
      <c r="E192" s="1749">
        <v>0</v>
      </c>
      <c r="F192" s="1749">
        <v>0</v>
      </c>
      <c r="G192" s="1749">
        <v>0</v>
      </c>
      <c r="H192" s="1749">
        <v>0</v>
      </c>
      <c r="I192" s="1749">
        <v>0</v>
      </c>
      <c r="J192" s="1749">
        <v>0</v>
      </c>
      <c r="K192" s="1749">
        <v>0</v>
      </c>
      <c r="L192" s="1749">
        <v>0</v>
      </c>
      <c r="M192" s="1749">
        <v>0</v>
      </c>
      <c r="N192" s="1749">
        <v>0</v>
      </c>
      <c r="O192" s="1749"/>
      <c r="P192" s="1749"/>
      <c r="Q192" s="1749"/>
      <c r="R192" s="1749"/>
      <c r="S192" s="1749"/>
      <c r="T192" s="1749"/>
      <c r="U192" s="1749"/>
      <c r="V192" s="1749"/>
      <c r="W192" s="1749"/>
      <c r="X192" s="2683"/>
      <c r="Y192" s="1770"/>
    </row>
    <row r="193" spans="1:25" ht="13.5" hidden="1" customHeight="1">
      <c r="A193" s="1775"/>
      <c r="B193" s="1682" t="s">
        <v>26</v>
      </c>
      <c r="C193" s="1748"/>
      <c r="D193" s="1749">
        <f>+D205+D221</f>
        <v>0</v>
      </c>
      <c r="E193" s="1749">
        <f t="shared" ref="E193:O193" si="182">+E205+E221</f>
        <v>0</v>
      </c>
      <c r="F193" s="1749">
        <f t="shared" si="182"/>
        <v>0</v>
      </c>
      <c r="G193" s="1749">
        <f t="shared" si="182"/>
        <v>0</v>
      </c>
      <c r="H193" s="1749">
        <f t="shared" si="182"/>
        <v>0</v>
      </c>
      <c r="I193" s="1749">
        <f t="shared" si="182"/>
        <v>0</v>
      </c>
      <c r="J193" s="1749">
        <f t="shared" si="182"/>
        <v>0</v>
      </c>
      <c r="K193" s="1749">
        <f t="shared" ref="K193:L193" si="183">+K205+K221</f>
        <v>0</v>
      </c>
      <c r="L193" s="1749">
        <f t="shared" si="183"/>
        <v>0</v>
      </c>
      <c r="M193" s="1749">
        <f t="shared" ref="M193" si="184">+M205+M221</f>
        <v>0</v>
      </c>
      <c r="N193" s="1749">
        <f t="shared" si="182"/>
        <v>0</v>
      </c>
      <c r="O193" s="1749">
        <f t="shared" si="182"/>
        <v>0</v>
      </c>
      <c r="P193" s="1749"/>
      <c r="Q193" s="1749"/>
      <c r="R193" s="1749"/>
      <c r="S193" s="1749"/>
      <c r="T193" s="1749"/>
      <c r="U193" s="1749"/>
      <c r="V193" s="1749"/>
      <c r="W193" s="1749"/>
      <c r="X193" s="2683"/>
      <c r="Y193" s="1770"/>
    </row>
    <row r="194" spans="1:25" ht="14.25" hidden="1" customHeight="1">
      <c r="A194" s="1775"/>
      <c r="B194" s="1682" t="s">
        <v>78</v>
      </c>
      <c r="C194" s="1748"/>
      <c r="D194" s="1749">
        <f>+D206+D213+D222</f>
        <v>0</v>
      </c>
      <c r="E194" s="1749">
        <f t="shared" ref="E194:O194" si="185">+E206+E213+E222</f>
        <v>0</v>
      </c>
      <c r="F194" s="1749">
        <f t="shared" si="185"/>
        <v>0</v>
      </c>
      <c r="G194" s="1749">
        <f t="shared" si="185"/>
        <v>0</v>
      </c>
      <c r="H194" s="1749">
        <f t="shared" si="185"/>
        <v>0</v>
      </c>
      <c r="I194" s="1749">
        <f t="shared" si="185"/>
        <v>0</v>
      </c>
      <c r="J194" s="1749">
        <f t="shared" si="185"/>
        <v>0</v>
      </c>
      <c r="K194" s="1749">
        <f t="shared" ref="K194:L194" si="186">+K206+K213+K222</f>
        <v>0</v>
      </c>
      <c r="L194" s="1749">
        <f t="shared" si="186"/>
        <v>0</v>
      </c>
      <c r="M194" s="1749">
        <f t="shared" ref="M194" si="187">+M206+M213+M222</f>
        <v>0</v>
      </c>
      <c r="N194" s="1749"/>
      <c r="O194" s="1749">
        <f t="shared" si="185"/>
        <v>0</v>
      </c>
      <c r="P194" s="1749"/>
      <c r="Q194" s="1749"/>
      <c r="R194" s="1749"/>
      <c r="S194" s="1749"/>
      <c r="T194" s="1749"/>
      <c r="U194" s="1749"/>
      <c r="V194" s="1749"/>
      <c r="W194" s="1749"/>
      <c r="X194" s="2683"/>
      <c r="Y194" s="1785"/>
    </row>
    <row r="195" spans="1:25" s="1588" customFormat="1" ht="18.75" hidden="1" customHeight="1">
      <c r="A195" s="3339" t="s">
        <v>79</v>
      </c>
      <c r="B195" s="1684" t="s">
        <v>224</v>
      </c>
      <c r="C195" s="1723" t="s">
        <v>98</v>
      </c>
      <c r="D195" s="1723"/>
      <c r="E195" s="1705"/>
      <c r="F195" s="1705"/>
      <c r="G195" s="1705"/>
      <c r="H195" s="1705"/>
      <c r="I195" s="1685"/>
      <c r="J195" s="1685"/>
      <c r="K195" s="1685"/>
      <c r="L195" s="1685"/>
      <c r="M195" s="1685"/>
      <c r="N195" s="1685"/>
      <c r="O195" s="1724"/>
      <c r="P195" s="1724"/>
      <c r="Q195" s="1724"/>
      <c r="R195" s="1724"/>
      <c r="S195" s="1724"/>
      <c r="T195" s="1724"/>
      <c r="U195" s="1724"/>
      <c r="V195" s="1724"/>
      <c r="W195" s="1724"/>
      <c r="X195" s="1706"/>
      <c r="Y195" s="3341" t="s">
        <v>212</v>
      </c>
    </row>
    <row r="196" spans="1:25" s="1588" customFormat="1" ht="13.5" hidden="1" customHeight="1">
      <c r="A196" s="3339"/>
      <c r="B196" s="374" t="s">
        <v>22</v>
      </c>
      <c r="C196" s="1736"/>
      <c r="D196" s="1707">
        <f t="shared" ref="D196:L196" si="188">+D197+D201</f>
        <v>0</v>
      </c>
      <c r="E196" s="1755">
        <f t="shared" si="188"/>
        <v>0</v>
      </c>
      <c r="F196" s="1755">
        <f t="shared" si="188"/>
        <v>0</v>
      </c>
      <c r="G196" s="1755">
        <f t="shared" si="188"/>
        <v>0</v>
      </c>
      <c r="H196" s="1755">
        <f t="shared" si="188"/>
        <v>0</v>
      </c>
      <c r="I196" s="1755">
        <f t="shared" si="188"/>
        <v>0</v>
      </c>
      <c r="J196" s="1755">
        <f t="shared" si="188"/>
        <v>0</v>
      </c>
      <c r="K196" s="1707">
        <f t="shared" si="188"/>
        <v>0</v>
      </c>
      <c r="L196" s="1707">
        <f t="shared" si="188"/>
        <v>0</v>
      </c>
      <c r="M196" s="1707"/>
      <c r="N196" s="1707"/>
      <c r="O196" s="1707"/>
      <c r="P196" s="1707"/>
      <c r="Q196" s="1707"/>
      <c r="R196" s="1707"/>
      <c r="S196" s="1707"/>
      <c r="T196" s="1707"/>
      <c r="U196" s="1707"/>
      <c r="V196" s="1707"/>
      <c r="W196" s="1707"/>
      <c r="X196" s="1729"/>
      <c r="Y196" s="3341"/>
    </row>
    <row r="197" spans="1:25" s="1588" customFormat="1" ht="13.5" hidden="1" customHeight="1">
      <c r="A197" s="3339"/>
      <c r="B197" s="1690" t="s">
        <v>23</v>
      </c>
      <c r="C197" s="3343" t="s">
        <v>213</v>
      </c>
      <c r="D197" s="1692">
        <f>+D198+D199+D200</f>
        <v>0</v>
      </c>
      <c r="E197" s="1716">
        <f t="shared" ref="E197:L197" si="189">+E198+E199+E200</f>
        <v>0</v>
      </c>
      <c r="F197" s="1716">
        <f t="shared" si="189"/>
        <v>0</v>
      </c>
      <c r="G197" s="1716">
        <f t="shared" si="189"/>
        <v>0</v>
      </c>
      <c r="H197" s="1716">
        <f t="shared" si="189"/>
        <v>0</v>
      </c>
      <c r="I197" s="1716">
        <f t="shared" si="189"/>
        <v>0</v>
      </c>
      <c r="J197" s="1716">
        <f t="shared" si="189"/>
        <v>0</v>
      </c>
      <c r="K197" s="1692">
        <f t="shared" si="189"/>
        <v>0</v>
      </c>
      <c r="L197" s="1692">
        <f t="shared" si="189"/>
        <v>0</v>
      </c>
      <c r="M197" s="1692"/>
      <c r="N197" s="1692"/>
      <c r="O197" s="1692"/>
      <c r="P197" s="1692"/>
      <c r="Q197" s="1692"/>
      <c r="R197" s="1692"/>
      <c r="S197" s="1692"/>
      <c r="T197" s="1692"/>
      <c r="U197" s="1692"/>
      <c r="V197" s="1692"/>
      <c r="W197" s="1692"/>
      <c r="X197" s="1730"/>
      <c r="Y197" s="3341"/>
    </row>
    <row r="198" spans="1:25" s="1588" customFormat="1" ht="13.5" hidden="1" customHeight="1">
      <c r="A198" s="3339"/>
      <c r="B198" s="503" t="s">
        <v>24</v>
      </c>
      <c r="C198" s="3345"/>
      <c r="D198" s="1408">
        <f>+E198+I198+J198+K198+L198+N198</f>
        <v>0</v>
      </c>
      <c r="E198" s="1715"/>
      <c r="F198" s="1715"/>
      <c r="G198" s="1715"/>
      <c r="H198" s="1715"/>
      <c r="I198" s="1713"/>
      <c r="J198" s="1713"/>
      <c r="K198" s="1694"/>
      <c r="L198" s="1694"/>
      <c r="M198" s="1694"/>
      <c r="N198" s="1694"/>
      <c r="O198" s="1695"/>
      <c r="P198" s="1694"/>
      <c r="Q198" s="1695"/>
      <c r="R198" s="1695"/>
      <c r="S198" s="1695"/>
      <c r="T198" s="1695"/>
      <c r="U198" s="1695"/>
      <c r="V198" s="1695"/>
      <c r="W198" s="1695"/>
      <c r="X198" s="1756"/>
      <c r="Y198" s="3341"/>
    </row>
    <row r="199" spans="1:25" s="1588" customFormat="1" ht="14.25" hidden="1" customHeight="1">
      <c r="A199" s="3339"/>
      <c r="B199" s="503" t="s">
        <v>26</v>
      </c>
      <c r="C199" s="3345"/>
      <c r="D199" s="1408">
        <f>+E199+I199+J199+K199+L199+N199</f>
        <v>0</v>
      </c>
      <c r="E199" s="1715">
        <v>0</v>
      </c>
      <c r="F199" s="1715"/>
      <c r="G199" s="1715"/>
      <c r="H199" s="1715"/>
      <c r="I199" s="1713">
        <v>0</v>
      </c>
      <c r="J199" s="1713">
        <v>0</v>
      </c>
      <c r="K199" s="1694"/>
      <c r="L199" s="1694"/>
      <c r="M199" s="1694"/>
      <c r="N199" s="1694"/>
      <c r="O199" s="1695"/>
      <c r="P199" s="1694"/>
      <c r="Q199" s="1694"/>
      <c r="R199" s="1694"/>
      <c r="S199" s="1694"/>
      <c r="T199" s="1694"/>
      <c r="U199" s="1694"/>
      <c r="V199" s="1694"/>
      <c r="W199" s="1694"/>
      <c r="X199" s="1696"/>
      <c r="Y199" s="3341"/>
    </row>
    <row r="200" spans="1:25" s="1588" customFormat="1" hidden="1">
      <c r="A200" s="3339"/>
      <c r="B200" s="503" t="s">
        <v>28</v>
      </c>
      <c r="C200" s="3345"/>
      <c r="D200" s="1737">
        <f>+E200+I200+J200+K200+L200+N200+O200+P200</f>
        <v>0</v>
      </c>
      <c r="E200" s="1715">
        <v>0</v>
      </c>
      <c r="F200" s="1715"/>
      <c r="G200" s="1715"/>
      <c r="H200" s="1715"/>
      <c r="I200" s="1713">
        <v>0</v>
      </c>
      <c r="J200" s="1713">
        <v>0</v>
      </c>
      <c r="K200" s="1694"/>
      <c r="L200" s="1694"/>
      <c r="M200" s="1694"/>
      <c r="N200" s="1694"/>
      <c r="O200" s="1695"/>
      <c r="P200" s="1694"/>
      <c r="Q200" s="1694"/>
      <c r="R200" s="1694"/>
      <c r="S200" s="1694"/>
      <c r="T200" s="1694"/>
      <c r="U200" s="1694"/>
      <c r="V200" s="1694"/>
      <c r="W200" s="1694"/>
      <c r="X200" s="1696"/>
      <c r="Y200" s="3341"/>
    </row>
    <row r="201" spans="1:25" s="1588" customFormat="1" ht="13.5" hidden="1" customHeight="1">
      <c r="A201" s="3339"/>
      <c r="B201" s="1731" t="s">
        <v>30</v>
      </c>
      <c r="C201" s="3345"/>
      <c r="D201" s="1700">
        <f t="shared" ref="D201:P201" si="190">+D202</f>
        <v>0</v>
      </c>
      <c r="E201" s="1711">
        <f t="shared" si="190"/>
        <v>0</v>
      </c>
      <c r="F201" s="1711"/>
      <c r="G201" s="1711"/>
      <c r="H201" s="1711">
        <f t="shared" si="190"/>
        <v>0</v>
      </c>
      <c r="I201" s="1716">
        <f t="shared" si="190"/>
        <v>0</v>
      </c>
      <c r="J201" s="1716">
        <f t="shared" si="190"/>
        <v>0</v>
      </c>
      <c r="K201" s="1692">
        <f t="shared" si="190"/>
        <v>0</v>
      </c>
      <c r="L201" s="1692">
        <f t="shared" si="190"/>
        <v>0</v>
      </c>
      <c r="M201" s="1692"/>
      <c r="N201" s="1692">
        <f t="shared" si="190"/>
        <v>0</v>
      </c>
      <c r="O201" s="1692">
        <f t="shared" si="190"/>
        <v>0</v>
      </c>
      <c r="P201" s="1692">
        <f t="shared" si="190"/>
        <v>0</v>
      </c>
      <c r="Q201" s="1704"/>
      <c r="R201" s="1704"/>
      <c r="S201" s="1704"/>
      <c r="T201" s="1704"/>
      <c r="U201" s="1704"/>
      <c r="V201" s="1704"/>
      <c r="W201" s="1704"/>
      <c r="X201" s="1757"/>
      <c r="Y201" s="3341"/>
    </row>
    <row r="202" spans="1:25" s="1588" customFormat="1" ht="13.5" hidden="1" customHeight="1">
      <c r="A202" s="3339"/>
      <c r="B202" s="503" t="s">
        <v>26</v>
      </c>
      <c r="C202" s="3345"/>
      <c r="D202" s="1737">
        <f>+E202+I202+J202+K202+L202+N202</f>
        <v>0</v>
      </c>
      <c r="E202" s="1715"/>
      <c r="F202" s="1715"/>
      <c r="G202" s="1715"/>
      <c r="H202" s="1715"/>
      <c r="I202" s="1713"/>
      <c r="J202" s="1713"/>
      <c r="K202" s="1694"/>
      <c r="L202" s="1694"/>
      <c r="M202" s="1694"/>
      <c r="N202" s="1694"/>
      <c r="O202" s="1695"/>
      <c r="P202" s="1694"/>
      <c r="Q202" s="1695"/>
      <c r="R202" s="1695"/>
      <c r="S202" s="1695"/>
      <c r="T202" s="1695"/>
      <c r="U202" s="1695"/>
      <c r="V202" s="1695"/>
      <c r="W202" s="1695"/>
      <c r="X202" s="1756"/>
      <c r="Y202" s="3341"/>
    </row>
    <row r="203" spans="1:25" s="1588" customFormat="1" ht="13.5" hidden="1" customHeight="1">
      <c r="A203" s="3339"/>
      <c r="B203" s="374" t="s">
        <v>34</v>
      </c>
      <c r="C203" s="1736"/>
      <c r="D203" s="1707">
        <f>+D204</f>
        <v>0</v>
      </c>
      <c r="E203" s="1755">
        <f t="shared" ref="E203:L203" si="191">+E204</f>
        <v>0</v>
      </c>
      <c r="F203" s="1755">
        <f t="shared" si="191"/>
        <v>0</v>
      </c>
      <c r="G203" s="1755">
        <f t="shared" si="191"/>
        <v>0</v>
      </c>
      <c r="H203" s="1755">
        <f t="shared" si="191"/>
        <v>0</v>
      </c>
      <c r="I203" s="1755">
        <f t="shared" si="191"/>
        <v>0</v>
      </c>
      <c r="J203" s="1755">
        <f t="shared" si="191"/>
        <v>0</v>
      </c>
      <c r="K203" s="1707">
        <f t="shared" si="191"/>
        <v>0</v>
      </c>
      <c r="L203" s="1707">
        <f t="shared" si="191"/>
        <v>0</v>
      </c>
      <c r="M203" s="1707"/>
      <c r="N203" s="1707"/>
      <c r="O203" s="1707"/>
      <c r="P203" s="1707"/>
      <c r="Q203" s="1707"/>
      <c r="R203" s="1707"/>
      <c r="S203" s="1707"/>
      <c r="T203" s="1707"/>
      <c r="U203" s="1707"/>
      <c r="V203" s="1707"/>
      <c r="W203" s="1707"/>
      <c r="X203" s="2685"/>
      <c r="Y203" s="3341"/>
    </row>
    <row r="204" spans="1:25" s="1588" customFormat="1" ht="13.5" hidden="1" customHeight="1">
      <c r="A204" s="3339"/>
      <c r="B204" s="1690" t="s">
        <v>23</v>
      </c>
      <c r="C204" s="3343" t="s">
        <v>213</v>
      </c>
      <c r="D204" s="1692">
        <f>+D205+D206</f>
        <v>0</v>
      </c>
      <c r="E204" s="1716">
        <f t="shared" ref="E204:L204" si="192">+E205+E206</f>
        <v>0</v>
      </c>
      <c r="F204" s="1716">
        <f t="shared" si="192"/>
        <v>0</v>
      </c>
      <c r="G204" s="1716">
        <f t="shared" si="192"/>
        <v>0</v>
      </c>
      <c r="H204" s="1716">
        <f t="shared" si="192"/>
        <v>0</v>
      </c>
      <c r="I204" s="1716">
        <f t="shared" si="192"/>
        <v>0</v>
      </c>
      <c r="J204" s="1716">
        <f t="shared" si="192"/>
        <v>0</v>
      </c>
      <c r="K204" s="1692">
        <f t="shared" si="192"/>
        <v>0</v>
      </c>
      <c r="L204" s="1692">
        <f t="shared" si="192"/>
        <v>0</v>
      </c>
      <c r="M204" s="1692"/>
      <c r="N204" s="1692"/>
      <c r="O204" s="1692"/>
      <c r="P204" s="1692"/>
      <c r="Q204" s="1692"/>
      <c r="R204" s="1692"/>
      <c r="S204" s="1692"/>
      <c r="T204" s="1692"/>
      <c r="U204" s="1692"/>
      <c r="V204" s="1692"/>
      <c r="W204" s="1692"/>
      <c r="X204" s="2685"/>
      <c r="Y204" s="3341"/>
    </row>
    <row r="205" spans="1:25" s="1588" customFormat="1" ht="12" hidden="1" customHeight="1">
      <c r="A205" s="3339"/>
      <c r="B205" s="503" t="s">
        <v>26</v>
      </c>
      <c r="C205" s="3343"/>
      <c r="D205" s="1408">
        <f>+E205+I205+J205+K205+L205+N205</f>
        <v>0</v>
      </c>
      <c r="E205" s="1715">
        <v>0</v>
      </c>
      <c r="F205" s="1715"/>
      <c r="G205" s="1715"/>
      <c r="H205" s="1715"/>
      <c r="I205" s="1713">
        <v>0</v>
      </c>
      <c r="J205" s="1713">
        <v>0</v>
      </c>
      <c r="K205" s="1694"/>
      <c r="L205" s="1694"/>
      <c r="M205" s="1694"/>
      <c r="N205" s="1694"/>
      <c r="O205" s="1695"/>
      <c r="P205" s="1694"/>
      <c r="Q205" s="1694"/>
      <c r="R205" s="1694"/>
      <c r="S205" s="1694"/>
      <c r="T205" s="1694"/>
      <c r="U205" s="1694"/>
      <c r="V205" s="1694"/>
      <c r="W205" s="1694"/>
      <c r="X205" s="2685"/>
      <c r="Y205" s="3341"/>
    </row>
    <row r="206" spans="1:25" s="1588" customFormat="1" ht="12.75" hidden="1" customHeight="1" thickBot="1">
      <c r="A206" s="3339"/>
      <c r="B206" s="503" t="s">
        <v>28</v>
      </c>
      <c r="C206" s="3343"/>
      <c r="D206" s="1408">
        <f>+E206+I206+J206+K206+L206+N206+O206+P206</f>
        <v>0</v>
      </c>
      <c r="E206" s="1715">
        <v>0</v>
      </c>
      <c r="F206" s="1715"/>
      <c r="G206" s="1715"/>
      <c r="H206" s="1715"/>
      <c r="I206" s="1713">
        <v>0</v>
      </c>
      <c r="J206" s="1713">
        <v>0</v>
      </c>
      <c r="K206" s="1694"/>
      <c r="L206" s="1694"/>
      <c r="M206" s="1694"/>
      <c r="N206" s="1694"/>
      <c r="O206" s="1695"/>
      <c r="P206" s="1695"/>
      <c r="Q206" s="1695"/>
      <c r="R206" s="1695"/>
      <c r="S206" s="1758"/>
      <c r="T206" s="1758"/>
      <c r="U206" s="1758"/>
      <c r="V206" s="1758"/>
      <c r="W206" s="1758"/>
      <c r="X206" s="1759"/>
      <c r="Y206" s="3341"/>
    </row>
    <row r="207" spans="1:25" hidden="1">
      <c r="A207" s="3339"/>
      <c r="B207" s="1684"/>
      <c r="C207" s="1723" t="s">
        <v>98</v>
      </c>
      <c r="D207" s="1760"/>
      <c r="E207" s="1705"/>
      <c r="F207" s="1705"/>
      <c r="G207" s="1705"/>
      <c r="H207" s="1705"/>
      <c r="I207" s="1685"/>
      <c r="J207" s="1685"/>
      <c r="K207" s="1685"/>
      <c r="L207" s="1685"/>
      <c r="M207" s="1685"/>
      <c r="N207" s="1685"/>
      <c r="O207" s="1724"/>
      <c r="P207" s="1724"/>
      <c r="Q207" s="1685"/>
      <c r="R207" s="1724"/>
      <c r="S207" s="1724"/>
      <c r="T207" s="1724"/>
      <c r="U207" s="1724"/>
      <c r="V207" s="1724"/>
      <c r="W207" s="1724"/>
      <c r="X207" s="1706"/>
      <c r="Y207" s="3341"/>
    </row>
    <row r="208" spans="1:25" ht="12.75" hidden="1" customHeight="1">
      <c r="A208" s="3339"/>
      <c r="B208" s="374" t="s">
        <v>22</v>
      </c>
      <c r="C208" s="1736"/>
      <c r="D208" s="1746">
        <f>+D209</f>
        <v>0</v>
      </c>
      <c r="E208" s="1761">
        <f t="shared" ref="E208:N209" si="193">+E209</f>
        <v>0</v>
      </c>
      <c r="F208" s="1762">
        <f t="shared" si="193"/>
        <v>0</v>
      </c>
      <c r="G208" s="1762">
        <f t="shared" si="193"/>
        <v>0</v>
      </c>
      <c r="H208" s="1762">
        <f t="shared" si="193"/>
        <v>0</v>
      </c>
      <c r="I208" s="1726">
        <f t="shared" si="193"/>
        <v>0</v>
      </c>
      <c r="J208" s="1726">
        <f t="shared" si="193"/>
        <v>0</v>
      </c>
      <c r="K208" s="1761">
        <f t="shared" si="193"/>
        <v>0</v>
      </c>
      <c r="L208" s="1747">
        <f t="shared" si="193"/>
        <v>0</v>
      </c>
      <c r="M208" s="1747">
        <f t="shared" si="193"/>
        <v>0</v>
      </c>
      <c r="N208" s="1434">
        <f t="shared" si="193"/>
        <v>0</v>
      </c>
      <c r="O208" s="1434"/>
      <c r="P208" s="1747"/>
      <c r="Q208" s="1687"/>
      <c r="R208" s="1707"/>
      <c r="S208" s="1707"/>
      <c r="T208" s="1707"/>
      <c r="U208" s="1707"/>
      <c r="V208" s="1707"/>
      <c r="W208" s="1707"/>
      <c r="X208" s="1729"/>
      <c r="Y208" s="3341"/>
    </row>
    <row r="209" spans="1:25" ht="13.5" hidden="1" customHeight="1">
      <c r="A209" s="3339"/>
      <c r="B209" s="1690" t="s">
        <v>23</v>
      </c>
      <c r="C209" s="3343" t="s">
        <v>213</v>
      </c>
      <c r="D209" s="1692">
        <f>+D210</f>
        <v>0</v>
      </c>
      <c r="E209" s="1716">
        <f t="shared" si="193"/>
        <v>0</v>
      </c>
      <c r="F209" s="1716">
        <f t="shared" si="193"/>
        <v>0</v>
      </c>
      <c r="G209" s="1716">
        <f t="shared" si="193"/>
        <v>0</v>
      </c>
      <c r="H209" s="1716">
        <f t="shared" si="193"/>
        <v>0</v>
      </c>
      <c r="I209" s="1716">
        <f t="shared" si="193"/>
        <v>0</v>
      </c>
      <c r="J209" s="1716">
        <f t="shared" si="193"/>
        <v>0</v>
      </c>
      <c r="K209" s="1716">
        <f t="shared" si="193"/>
        <v>0</v>
      </c>
      <c r="L209" s="1692">
        <f t="shared" si="193"/>
        <v>0</v>
      </c>
      <c r="M209" s="1692">
        <f t="shared" si="193"/>
        <v>0</v>
      </c>
      <c r="N209" s="1692">
        <f t="shared" si="193"/>
        <v>0</v>
      </c>
      <c r="O209" s="1692"/>
      <c r="P209" s="1692"/>
      <c r="Q209" s="1692"/>
      <c r="R209" s="1692"/>
      <c r="S209" s="1692"/>
      <c r="T209" s="1692"/>
      <c r="U209" s="1692"/>
      <c r="V209" s="1692"/>
      <c r="W209" s="1692"/>
      <c r="X209" s="1730"/>
      <c r="Y209" s="3341"/>
    </row>
    <row r="210" spans="1:25" ht="13.5" hidden="1" customHeight="1">
      <c r="A210" s="3339"/>
      <c r="B210" s="503" t="s">
        <v>28</v>
      </c>
      <c r="C210" s="3345"/>
      <c r="D210" s="1408">
        <f>M210+N210+O210+P210+Q210+R210</f>
        <v>0</v>
      </c>
      <c r="E210" s="1715">
        <v>0</v>
      </c>
      <c r="F210" s="1715"/>
      <c r="G210" s="1715"/>
      <c r="H210" s="1715"/>
      <c r="I210" s="1713">
        <v>0</v>
      </c>
      <c r="J210" s="1713">
        <v>0</v>
      </c>
      <c r="K210" s="1713">
        <v>0</v>
      </c>
      <c r="L210" s="1694"/>
      <c r="M210" s="1694">
        <f t="shared" ref="M210" si="194">E210+I210+J210+K210+L210</f>
        <v>0</v>
      </c>
      <c r="N210" s="1694"/>
      <c r="O210" s="2684"/>
      <c r="P210" s="1694"/>
      <c r="Q210" s="1694"/>
      <c r="R210" s="1694"/>
      <c r="S210" s="1694"/>
      <c r="T210" s="1694"/>
      <c r="U210" s="1694"/>
      <c r="V210" s="1694"/>
      <c r="W210" s="1694"/>
      <c r="X210" s="1696"/>
      <c r="Y210" s="3341"/>
    </row>
    <row r="211" spans="1:25" ht="13.5" hidden="1" customHeight="1">
      <c r="A211" s="3339"/>
      <c r="B211" s="374" t="s">
        <v>34</v>
      </c>
      <c r="C211" s="1736"/>
      <c r="D211" s="1727">
        <f>+D212</f>
        <v>0</v>
      </c>
      <c r="E211" s="1726">
        <f t="shared" ref="E211:N212" si="195">+E212</f>
        <v>0</v>
      </c>
      <c r="F211" s="1726">
        <f t="shared" si="195"/>
        <v>0</v>
      </c>
      <c r="G211" s="1726">
        <f t="shared" si="195"/>
        <v>0</v>
      </c>
      <c r="H211" s="1726">
        <f t="shared" si="195"/>
        <v>0</v>
      </c>
      <c r="I211" s="1726">
        <f t="shared" si="195"/>
        <v>0</v>
      </c>
      <c r="J211" s="1726">
        <f t="shared" si="195"/>
        <v>0</v>
      </c>
      <c r="K211" s="1726">
        <f t="shared" si="195"/>
        <v>0</v>
      </c>
      <c r="L211" s="1727">
        <f t="shared" si="195"/>
        <v>0</v>
      </c>
      <c r="M211" s="1727">
        <f t="shared" si="195"/>
        <v>0</v>
      </c>
      <c r="N211" s="1727">
        <f t="shared" si="195"/>
        <v>0</v>
      </c>
      <c r="O211" s="1727"/>
      <c r="P211" s="1707"/>
      <c r="Q211" s="1707"/>
      <c r="R211" s="1707"/>
      <c r="S211" s="1707"/>
      <c r="T211" s="1707"/>
      <c r="U211" s="1707"/>
      <c r="V211" s="1707"/>
      <c r="W211" s="1707"/>
      <c r="X211" s="2685"/>
      <c r="Y211" s="3341"/>
    </row>
    <row r="212" spans="1:25" ht="13.5" hidden="1" customHeight="1">
      <c r="A212" s="3339"/>
      <c r="B212" s="1690" t="s">
        <v>23</v>
      </c>
      <c r="C212" s="3343" t="s">
        <v>213</v>
      </c>
      <c r="D212" s="1692">
        <f>+D213</f>
        <v>0</v>
      </c>
      <c r="E212" s="1716">
        <f t="shared" si="195"/>
        <v>0</v>
      </c>
      <c r="F212" s="1716">
        <f t="shared" si="195"/>
        <v>0</v>
      </c>
      <c r="G212" s="1716">
        <f t="shared" si="195"/>
        <v>0</v>
      </c>
      <c r="H212" s="1716">
        <f t="shared" si="195"/>
        <v>0</v>
      </c>
      <c r="I212" s="1716">
        <f t="shared" si="195"/>
        <v>0</v>
      </c>
      <c r="J212" s="1716">
        <f t="shared" si="195"/>
        <v>0</v>
      </c>
      <c r="K212" s="1716">
        <f t="shared" si="195"/>
        <v>0</v>
      </c>
      <c r="L212" s="1692">
        <f t="shared" si="195"/>
        <v>0</v>
      </c>
      <c r="M212" s="1692">
        <f t="shared" si="195"/>
        <v>0</v>
      </c>
      <c r="N212" s="1692">
        <f t="shared" si="195"/>
        <v>0</v>
      </c>
      <c r="O212" s="1692"/>
      <c r="P212" s="1692"/>
      <c r="Q212" s="1692"/>
      <c r="R212" s="1692"/>
      <c r="S212" s="1692"/>
      <c r="T212" s="1692"/>
      <c r="U212" s="1692"/>
      <c r="V212" s="1692"/>
      <c r="W212" s="1692"/>
      <c r="X212" s="2685"/>
      <c r="Y212" s="3341"/>
    </row>
    <row r="213" spans="1:25" ht="14.25" hidden="1" customHeight="1" thickBot="1">
      <c r="A213" s="3339"/>
      <c r="B213" s="503" t="s">
        <v>28</v>
      </c>
      <c r="C213" s="3344"/>
      <c r="D213" s="1408">
        <f>M213+N213+O213+P213+Q213+R213</f>
        <v>0</v>
      </c>
      <c r="E213" s="1763">
        <v>0</v>
      </c>
      <c r="F213" s="1763"/>
      <c r="G213" s="1763"/>
      <c r="H213" s="1763"/>
      <c r="I213" s="1713">
        <v>0</v>
      </c>
      <c r="J213" s="1713">
        <v>0</v>
      </c>
      <c r="K213" s="1713">
        <v>0</v>
      </c>
      <c r="L213" s="1259"/>
      <c r="M213" s="1694"/>
      <c r="N213" s="1259"/>
      <c r="O213" s="1695"/>
      <c r="P213" s="1695"/>
      <c r="Q213" s="1695"/>
      <c r="R213" s="1695"/>
      <c r="S213" s="1695"/>
      <c r="T213" s="1695"/>
      <c r="U213" s="1695"/>
      <c r="V213" s="1695"/>
      <c r="W213" s="1695"/>
      <c r="X213" s="2685"/>
      <c r="Y213" s="3341"/>
    </row>
    <row r="214" spans="1:25" ht="29.25" hidden="1" customHeight="1">
      <c r="A214" s="3339" t="s">
        <v>79</v>
      </c>
      <c r="B214" s="1684"/>
      <c r="C214" s="1723" t="s">
        <v>98</v>
      </c>
      <c r="D214" s="1723"/>
      <c r="E214" s="1705"/>
      <c r="F214" s="1705"/>
      <c r="G214" s="1705"/>
      <c r="H214" s="1705"/>
      <c r="I214" s="1685"/>
      <c r="J214" s="1685"/>
      <c r="K214" s="1685"/>
      <c r="L214" s="1685"/>
      <c r="M214" s="1685"/>
      <c r="N214" s="1685"/>
      <c r="O214" s="1724"/>
      <c r="P214" s="1724"/>
      <c r="Q214" s="1724"/>
      <c r="R214" s="1724"/>
      <c r="S214" s="1724"/>
      <c r="T214" s="1724"/>
      <c r="U214" s="1724"/>
      <c r="V214" s="1724"/>
      <c r="W214" s="1724"/>
      <c r="X214" s="1706"/>
      <c r="Y214" s="3341" t="s">
        <v>212</v>
      </c>
    </row>
    <row r="215" spans="1:25" ht="12.75" hidden="1" customHeight="1">
      <c r="A215" s="3339"/>
      <c r="B215" s="374" t="s">
        <v>22</v>
      </c>
      <c r="C215" s="1736"/>
      <c r="D215" s="1727">
        <f>+D216</f>
        <v>0</v>
      </c>
      <c r="E215" s="1726">
        <f t="shared" ref="E215:O215" si="196">+E216</f>
        <v>0</v>
      </c>
      <c r="F215" s="1726">
        <f t="shared" si="196"/>
        <v>0</v>
      </c>
      <c r="G215" s="1726">
        <f t="shared" si="196"/>
        <v>0</v>
      </c>
      <c r="H215" s="1726">
        <f t="shared" si="196"/>
        <v>0</v>
      </c>
      <c r="I215" s="1726">
        <f t="shared" si="196"/>
        <v>0</v>
      </c>
      <c r="J215" s="1726">
        <f t="shared" si="196"/>
        <v>0</v>
      </c>
      <c r="K215" s="1727">
        <f t="shared" si="196"/>
        <v>0</v>
      </c>
      <c r="L215" s="1726">
        <f t="shared" si="196"/>
        <v>0</v>
      </c>
      <c r="M215" s="1727">
        <f t="shared" si="196"/>
        <v>0</v>
      </c>
      <c r="N215" s="1727">
        <f t="shared" si="196"/>
        <v>0</v>
      </c>
      <c r="O215" s="1727">
        <f t="shared" si="196"/>
        <v>0</v>
      </c>
      <c r="P215" s="1707"/>
      <c r="Q215" s="1707"/>
      <c r="R215" s="1707"/>
      <c r="S215" s="1707"/>
      <c r="T215" s="1707"/>
      <c r="U215" s="1707"/>
      <c r="V215" s="1707"/>
      <c r="W215" s="1707"/>
      <c r="X215" s="1729">
        <f>+X216</f>
        <v>0</v>
      </c>
      <c r="Y215" s="3341"/>
    </row>
    <row r="216" spans="1:25" ht="13.5" hidden="1" customHeight="1">
      <c r="A216" s="3339"/>
      <c r="B216" s="1690" t="s">
        <v>23</v>
      </c>
      <c r="C216" s="3343" t="s">
        <v>213</v>
      </c>
      <c r="D216" s="1253">
        <f>+D218+D217</f>
        <v>0</v>
      </c>
      <c r="E216" s="1716">
        <f t="shared" ref="E216:O216" si="197">+E218+E217</f>
        <v>0</v>
      </c>
      <c r="F216" s="1716">
        <f t="shared" si="197"/>
        <v>0</v>
      </c>
      <c r="G216" s="1716">
        <f t="shared" si="197"/>
        <v>0</v>
      </c>
      <c r="H216" s="1716">
        <f t="shared" si="197"/>
        <v>0</v>
      </c>
      <c r="I216" s="1716">
        <f t="shared" si="197"/>
        <v>0</v>
      </c>
      <c r="J216" s="1716">
        <f t="shared" si="197"/>
        <v>0</v>
      </c>
      <c r="K216" s="1692">
        <f t="shared" si="197"/>
        <v>0</v>
      </c>
      <c r="L216" s="1716">
        <f t="shared" si="197"/>
        <v>0</v>
      </c>
      <c r="M216" s="1692">
        <f t="shared" ref="M216" si="198">+M218+M217</f>
        <v>0</v>
      </c>
      <c r="N216" s="1253">
        <f t="shared" si="197"/>
        <v>0</v>
      </c>
      <c r="O216" s="1253">
        <f t="shared" si="197"/>
        <v>0</v>
      </c>
      <c r="P216" s="1692"/>
      <c r="Q216" s="1692"/>
      <c r="R216" s="1692"/>
      <c r="S216" s="1692"/>
      <c r="T216" s="1692"/>
      <c r="U216" s="1692"/>
      <c r="V216" s="1692"/>
      <c r="W216" s="1692"/>
      <c r="X216" s="1730">
        <f>X218</f>
        <v>0</v>
      </c>
      <c r="Y216" s="3341"/>
    </row>
    <row r="217" spans="1:25" ht="13.5" hidden="1" customHeight="1">
      <c r="A217" s="3339"/>
      <c r="B217" s="503" t="s">
        <v>26</v>
      </c>
      <c r="C217" s="3344"/>
      <c r="D217" s="1408">
        <f t="shared" ref="D217:D218" si="199">M217+O217+P217+Q217+R217+S217+T217</f>
        <v>0</v>
      </c>
      <c r="E217" s="1711"/>
      <c r="F217" s="1711"/>
      <c r="G217" s="1711"/>
      <c r="H217" s="1711"/>
      <c r="I217" s="1716"/>
      <c r="J217" s="1716"/>
      <c r="K217" s="1694"/>
      <c r="L217" s="1713">
        <v>0</v>
      </c>
      <c r="M217" s="1694"/>
      <c r="N217" s="1735">
        <v>0</v>
      </c>
      <c r="O217" s="1735">
        <v>0</v>
      </c>
      <c r="P217" s="1692"/>
      <c r="Q217" s="1692"/>
      <c r="R217" s="1692"/>
      <c r="S217" s="1692"/>
      <c r="T217" s="1692"/>
      <c r="U217" s="1692"/>
      <c r="V217" s="1692"/>
      <c r="W217" s="1692"/>
      <c r="X217" s="1696">
        <f>SUM(P217:T217)</f>
        <v>0</v>
      </c>
      <c r="Y217" s="3341"/>
    </row>
    <row r="218" spans="1:25" ht="13.5" hidden="1" customHeight="1">
      <c r="A218" s="3339"/>
      <c r="B218" s="503" t="s">
        <v>28</v>
      </c>
      <c r="C218" s="3345"/>
      <c r="D218" s="1408">
        <f t="shared" si="199"/>
        <v>0</v>
      </c>
      <c r="E218" s="1715">
        <v>0</v>
      </c>
      <c r="F218" s="1715"/>
      <c r="G218" s="1715"/>
      <c r="H218" s="1715"/>
      <c r="I218" s="1713">
        <v>0</v>
      </c>
      <c r="J218" s="1713">
        <v>0</v>
      </c>
      <c r="K218" s="1694"/>
      <c r="L218" s="1713">
        <v>0</v>
      </c>
      <c r="M218" s="1694"/>
      <c r="N218" s="1258"/>
      <c r="O218" s="1258"/>
      <c r="P218" s="1694"/>
      <c r="Q218" s="1694"/>
      <c r="R218" s="1694"/>
      <c r="S218" s="1694"/>
      <c r="T218" s="1694"/>
      <c r="U218" s="1694"/>
      <c r="V218" s="1694"/>
      <c r="W218" s="1694"/>
      <c r="X218" s="1696">
        <f>SUM(P218:T218)</f>
        <v>0</v>
      </c>
      <c r="Y218" s="3341"/>
    </row>
    <row r="219" spans="1:25" ht="12.75" hidden="1" customHeight="1">
      <c r="A219" s="3339"/>
      <c r="B219" s="374" t="s">
        <v>34</v>
      </c>
      <c r="C219" s="1736"/>
      <c r="D219" s="1727">
        <f>+D220</f>
        <v>0</v>
      </c>
      <c r="E219" s="1726">
        <f t="shared" ref="E219:O219" si="200">+E220</f>
        <v>0</v>
      </c>
      <c r="F219" s="1726">
        <f t="shared" si="200"/>
        <v>0</v>
      </c>
      <c r="G219" s="1726">
        <f t="shared" si="200"/>
        <v>0</v>
      </c>
      <c r="H219" s="1726">
        <f t="shared" si="200"/>
        <v>0</v>
      </c>
      <c r="I219" s="1726">
        <f t="shared" si="200"/>
        <v>0</v>
      </c>
      <c r="J219" s="1726">
        <f t="shared" si="200"/>
        <v>0</v>
      </c>
      <c r="K219" s="1727">
        <f t="shared" si="200"/>
        <v>0</v>
      </c>
      <c r="L219" s="1726">
        <f t="shared" si="200"/>
        <v>0</v>
      </c>
      <c r="M219" s="1727">
        <f t="shared" si="200"/>
        <v>0</v>
      </c>
      <c r="N219" s="1727">
        <f t="shared" si="200"/>
        <v>0</v>
      </c>
      <c r="O219" s="1727">
        <f t="shared" si="200"/>
        <v>0</v>
      </c>
      <c r="P219" s="1727"/>
      <c r="Q219" s="1707"/>
      <c r="R219" s="1707"/>
      <c r="S219" s="1707"/>
      <c r="T219" s="1707"/>
      <c r="U219" s="1707"/>
      <c r="V219" s="1707"/>
      <c r="W219" s="1707"/>
      <c r="X219" s="3346" t="s">
        <v>77</v>
      </c>
      <c r="Y219" s="3341"/>
    </row>
    <row r="220" spans="1:25" ht="13.5" hidden="1" customHeight="1">
      <c r="A220" s="3339"/>
      <c r="B220" s="1690" t="s">
        <v>23</v>
      </c>
      <c r="C220" s="3343" t="s">
        <v>213</v>
      </c>
      <c r="D220" s="1253">
        <f>+D222+D221</f>
        <v>0</v>
      </c>
      <c r="E220" s="1716">
        <f t="shared" ref="E220:J220" si="201">+E222</f>
        <v>0</v>
      </c>
      <c r="F220" s="1716">
        <f t="shared" si="201"/>
        <v>0</v>
      </c>
      <c r="G220" s="1716">
        <f t="shared" si="201"/>
        <v>0</v>
      </c>
      <c r="H220" s="1716">
        <f t="shared" si="201"/>
        <v>0</v>
      </c>
      <c r="I220" s="1716">
        <f t="shared" si="201"/>
        <v>0</v>
      </c>
      <c r="J220" s="1716">
        <f t="shared" si="201"/>
        <v>0</v>
      </c>
      <c r="K220" s="1692">
        <f>+K222+K221</f>
        <v>0</v>
      </c>
      <c r="L220" s="1716">
        <f>+L222</f>
        <v>0</v>
      </c>
      <c r="M220" s="1692">
        <f>+M222+M221</f>
        <v>0</v>
      </c>
      <c r="N220" s="1253">
        <f>+N222</f>
        <v>0</v>
      </c>
      <c r="O220" s="1253">
        <f>+O222</f>
        <v>0</v>
      </c>
      <c r="P220" s="1692"/>
      <c r="Q220" s="1692"/>
      <c r="R220" s="1692"/>
      <c r="S220" s="1692"/>
      <c r="T220" s="1692"/>
      <c r="U220" s="1692"/>
      <c r="V220" s="1692"/>
      <c r="W220" s="1692"/>
      <c r="X220" s="3346"/>
      <c r="Y220" s="3341"/>
    </row>
    <row r="221" spans="1:25" ht="13.5" hidden="1" customHeight="1">
      <c r="A221" s="3339"/>
      <c r="B221" s="503" t="s">
        <v>26</v>
      </c>
      <c r="C221" s="3344"/>
      <c r="D221" s="1408">
        <f t="shared" ref="D221:D222" si="202">M221+O221+P221+Q221+R221+S221+T221</f>
        <v>0</v>
      </c>
      <c r="E221" s="1716"/>
      <c r="F221" s="1763"/>
      <c r="G221" s="1763"/>
      <c r="H221" s="1763"/>
      <c r="I221" s="1716"/>
      <c r="J221" s="1716"/>
      <c r="K221" s="1694"/>
      <c r="L221" s="1716">
        <v>0</v>
      </c>
      <c r="M221" s="1694"/>
      <c r="N221" s="1735">
        <v>0</v>
      </c>
      <c r="O221" s="1735">
        <v>0</v>
      </c>
      <c r="P221" s="1692"/>
      <c r="Q221" s="1692"/>
      <c r="R221" s="1692"/>
      <c r="S221" s="1692"/>
      <c r="T221" s="1692"/>
      <c r="U221" s="1692"/>
      <c r="V221" s="1692"/>
      <c r="W221" s="1692"/>
      <c r="X221" s="3346"/>
      <c r="Y221" s="3341"/>
    </row>
    <row r="222" spans="1:25" ht="12.75" hidden="1">
      <c r="A222" s="3340"/>
      <c r="B222" s="503" t="s">
        <v>28</v>
      </c>
      <c r="C222" s="3344"/>
      <c r="D222" s="1408">
        <f t="shared" si="202"/>
        <v>0</v>
      </c>
      <c r="E222" s="1716">
        <v>0</v>
      </c>
      <c r="F222" s="1763"/>
      <c r="G222" s="1763"/>
      <c r="H222" s="1763"/>
      <c r="I222" s="1713">
        <v>0</v>
      </c>
      <c r="J222" s="1713">
        <v>0</v>
      </c>
      <c r="K222" s="1259"/>
      <c r="L222" s="1713">
        <v>0</v>
      </c>
      <c r="M222" s="1694"/>
      <c r="N222" s="1258"/>
      <c r="O222" s="1258"/>
      <c r="P222" s="1692"/>
      <c r="Q222" s="1692"/>
      <c r="R222" s="1695"/>
      <c r="S222" s="1695"/>
      <c r="T222" s="1695"/>
      <c r="U222" s="1695"/>
      <c r="V222" s="1695"/>
      <c r="W222" s="1695"/>
      <c r="X222" s="3346"/>
      <c r="Y222" s="3342"/>
    </row>
    <row r="223" spans="1:25">
      <c r="N223" s="1312"/>
    </row>
    <row r="224" spans="1:25">
      <c r="N224" s="1312"/>
    </row>
    <row r="225" spans="14:14">
      <c r="N225" s="1312"/>
    </row>
    <row r="226" spans="14:14">
      <c r="N226" s="1312"/>
    </row>
    <row r="227" spans="14:14">
      <c r="N227" s="1312"/>
    </row>
    <row r="228" spans="14:14">
      <c r="N228" s="1312"/>
    </row>
    <row r="229" spans="14:14">
      <c r="N229" s="1312"/>
    </row>
    <row r="230" spans="14:14">
      <c r="N230" s="1312"/>
    </row>
    <row r="231" spans="14:14">
      <c r="N231" s="1312"/>
    </row>
    <row r="232" spans="14:14">
      <c r="N232" s="1312"/>
    </row>
    <row r="233" spans="14:14">
      <c r="N233" s="1312"/>
    </row>
    <row r="234" spans="14:14">
      <c r="N234" s="1312"/>
    </row>
    <row r="235" spans="14:14">
      <c r="N235" s="1312"/>
    </row>
    <row r="236" spans="14:14">
      <c r="N236" s="1312"/>
    </row>
    <row r="237" spans="14:14">
      <c r="N237" s="1312"/>
    </row>
    <row r="238" spans="14:14">
      <c r="N238" s="1312"/>
    </row>
    <row r="239" spans="14:14">
      <c r="N239" s="1312"/>
    </row>
    <row r="240" spans="14:14">
      <c r="N240" s="1312"/>
    </row>
    <row r="241" spans="14:14">
      <c r="N241" s="1312"/>
    </row>
    <row r="242" spans="14:14">
      <c r="N242" s="1312"/>
    </row>
    <row r="243" spans="14:14">
      <c r="N243" s="1312"/>
    </row>
    <row r="244" spans="14:14">
      <c r="N244" s="1312"/>
    </row>
    <row r="245" spans="14:14">
      <c r="N245" s="1312"/>
    </row>
    <row r="246" spans="14:14">
      <c r="N246" s="1312"/>
    </row>
    <row r="247" spans="14:14">
      <c r="N247" s="1312"/>
    </row>
    <row r="248" spans="14:14">
      <c r="N248" s="1312"/>
    </row>
    <row r="249" spans="14:14">
      <c r="N249" s="1312"/>
    </row>
    <row r="250" spans="14:14">
      <c r="N250" s="1312"/>
    </row>
    <row r="251" spans="14:14">
      <c r="N251" s="1312"/>
    </row>
    <row r="252" spans="14:14">
      <c r="N252" s="1312"/>
    </row>
    <row r="253" spans="14:14">
      <c r="N253" s="1312"/>
    </row>
    <row r="254" spans="14:14">
      <c r="N254" s="1312"/>
    </row>
  </sheetData>
  <mergeCells count="79"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P5:W6"/>
    <mergeCell ref="A34:A52"/>
    <mergeCell ref="C36:C43"/>
    <mergeCell ref="C45:C52"/>
    <mergeCell ref="X23:X33"/>
    <mergeCell ref="X44:X51"/>
    <mergeCell ref="A53:A66"/>
    <mergeCell ref="C55:C59"/>
    <mergeCell ref="C62:C66"/>
    <mergeCell ref="X61:X66"/>
    <mergeCell ref="Y53:Y67"/>
    <mergeCell ref="A68:A78"/>
    <mergeCell ref="Y68:Y78"/>
    <mergeCell ref="C70:C73"/>
    <mergeCell ref="C75:C78"/>
    <mergeCell ref="X74:X78"/>
    <mergeCell ref="A79:A89"/>
    <mergeCell ref="Y79:Y89"/>
    <mergeCell ref="C81:C84"/>
    <mergeCell ref="C86:C89"/>
    <mergeCell ref="X85:X89"/>
    <mergeCell ref="A90:A102"/>
    <mergeCell ref="Y90:Y102"/>
    <mergeCell ref="C92:C96"/>
    <mergeCell ref="C98:C102"/>
    <mergeCell ref="X97:X102"/>
    <mergeCell ref="A103:A117"/>
    <mergeCell ref="Y103:Y117"/>
    <mergeCell ref="C105:C110"/>
    <mergeCell ref="C112:C117"/>
    <mergeCell ref="X111:X117"/>
    <mergeCell ref="A118:A129"/>
    <mergeCell ref="Y118:Y129"/>
    <mergeCell ref="C120:C124"/>
    <mergeCell ref="C126:C129"/>
    <mergeCell ref="X125:X129"/>
    <mergeCell ref="A130:A136"/>
    <mergeCell ref="Y130:Y136"/>
    <mergeCell ref="C132:C133"/>
    <mergeCell ref="C135:C136"/>
    <mergeCell ref="X134:X136"/>
    <mergeCell ref="A137:A149"/>
    <mergeCell ref="Y137:Y149"/>
    <mergeCell ref="C139:C143"/>
    <mergeCell ref="C145:C149"/>
    <mergeCell ref="X144:X149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207:A213"/>
    <mergeCell ref="Y207:Y213"/>
    <mergeCell ref="C209:C210"/>
    <mergeCell ref="C212:C213"/>
    <mergeCell ref="A195:A206"/>
    <mergeCell ref="Y195:Y206"/>
    <mergeCell ref="C197:C202"/>
    <mergeCell ref="C204:C206"/>
    <mergeCell ref="A214:A222"/>
    <mergeCell ref="Y214:Y222"/>
    <mergeCell ref="C216:C218"/>
    <mergeCell ref="C220:C222"/>
    <mergeCell ref="X219:X22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39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36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527"/>
  <sheetViews>
    <sheetView showGridLines="0" view="pageBreakPreview" zoomScaleNormal="100" zoomScaleSheetLayoutView="100" workbookViewId="0">
      <pane ySplit="7" topLeftCell="A8" activePane="bottomLeft" state="frozen"/>
      <selection activeCell="U30" sqref="U30"/>
      <selection pane="bottomLeft" activeCell="R83" sqref="R83"/>
    </sheetView>
  </sheetViews>
  <sheetFormatPr defaultColWidth="9.140625" defaultRowHeight="11.25"/>
  <cols>
    <col min="1" max="1" width="2.85546875" style="670" customWidth="1"/>
    <col min="2" max="2" width="56.28515625" style="671" customWidth="1"/>
    <col min="3" max="3" width="11" style="671" customWidth="1"/>
    <col min="4" max="4" width="12.7109375" style="671" customWidth="1"/>
    <col min="5" max="5" width="7.42578125" style="671" hidden="1" customWidth="1"/>
    <col min="6" max="8" width="11.5703125" style="671" hidden="1" customWidth="1"/>
    <col min="9" max="9" width="6" style="671" hidden="1" customWidth="1"/>
    <col min="10" max="10" width="8.5703125" style="671" hidden="1" customWidth="1"/>
    <col min="11" max="11" width="7.42578125" style="671" hidden="1" customWidth="1"/>
    <col min="12" max="12" width="9.7109375" style="671" hidden="1" customWidth="1"/>
    <col min="13" max="13" width="13.140625" style="671" customWidth="1"/>
    <col min="14" max="14" width="10.140625" style="671" hidden="1" customWidth="1"/>
    <col min="15" max="15" width="10.85546875" style="671" customWidth="1"/>
    <col min="16" max="16" width="10.42578125" style="731" customWidth="1"/>
    <col min="17" max="17" width="10.42578125" style="729" customWidth="1"/>
    <col min="18" max="18" width="10.5703125" style="729" customWidth="1"/>
    <col min="19" max="19" width="9.42578125" style="729" bestFit="1" customWidth="1"/>
    <col min="20" max="23" width="6.7109375" style="729" bestFit="1" customWidth="1"/>
    <col min="24" max="24" width="12.5703125" style="729" customWidth="1"/>
    <col min="25" max="25" width="15.85546875" style="728" customWidth="1"/>
    <col min="26" max="26" width="11.85546875" style="671" customWidth="1"/>
    <col min="27" max="16384" width="9.140625" style="671"/>
  </cols>
  <sheetData>
    <row r="1" spans="1:27" ht="22.5" customHeight="1">
      <c r="O1" s="665"/>
      <c r="P1" s="671"/>
      <c r="R1" s="981" t="s">
        <v>225</v>
      </c>
      <c r="S1" s="671"/>
      <c r="T1" s="325"/>
      <c r="U1" s="325"/>
      <c r="V1" s="325"/>
      <c r="W1" s="325"/>
      <c r="X1" s="325"/>
      <c r="Y1" s="326"/>
    </row>
    <row r="2" spans="1:27" ht="9.75" customHeight="1">
      <c r="N2" s="327"/>
      <c r="O2" s="672"/>
      <c r="P2" s="671"/>
      <c r="Q2" s="671"/>
      <c r="R2" s="671"/>
      <c r="S2" s="671"/>
      <c r="T2" s="325"/>
      <c r="U2" s="325"/>
      <c r="V2" s="325"/>
      <c r="W2" s="325"/>
      <c r="X2" s="325"/>
      <c r="Y2" s="326"/>
    </row>
    <row r="3" spans="1:27" ht="55.5" customHeight="1" thickBot="1">
      <c r="A3" s="3436" t="s">
        <v>226</v>
      </c>
      <c r="B3" s="3436"/>
      <c r="C3" s="3436"/>
      <c r="D3" s="3436"/>
      <c r="E3" s="3436"/>
      <c r="F3" s="3436"/>
      <c r="G3" s="3436"/>
      <c r="H3" s="3436"/>
      <c r="I3" s="3436"/>
      <c r="J3" s="3436"/>
      <c r="K3" s="3436"/>
      <c r="L3" s="3436"/>
      <c r="M3" s="3436"/>
      <c r="N3" s="3436"/>
      <c r="O3" s="3436"/>
      <c r="P3" s="3436"/>
      <c r="Q3" s="3436"/>
      <c r="R3" s="3436"/>
      <c r="S3" s="3436"/>
      <c r="T3" s="3436"/>
      <c r="U3" s="3436"/>
      <c r="V3" s="3436"/>
      <c r="W3" s="3436"/>
      <c r="X3" s="3436"/>
      <c r="Y3" s="3436"/>
    </row>
    <row r="4" spans="1:27" ht="29.25" customHeight="1">
      <c r="A4" s="673"/>
      <c r="B4" s="3437" t="s">
        <v>91</v>
      </c>
      <c r="C4" s="3054" t="s">
        <v>87</v>
      </c>
      <c r="D4" s="3057" t="s">
        <v>141</v>
      </c>
      <c r="E4" s="3198" t="s">
        <v>3</v>
      </c>
      <c r="F4" s="3199"/>
      <c r="G4" s="3199"/>
      <c r="H4" s="3199"/>
      <c r="I4" s="3199"/>
      <c r="J4" s="3199"/>
      <c r="K4" s="3199"/>
      <c r="L4" s="3200"/>
      <c r="M4" s="3198" t="s">
        <v>400</v>
      </c>
      <c r="N4" s="1250"/>
      <c r="O4" s="3074" t="s">
        <v>415</v>
      </c>
      <c r="P4" s="3076" t="s">
        <v>410</v>
      </c>
      <c r="Q4" s="3077"/>
      <c r="R4" s="3077"/>
      <c r="S4" s="3077"/>
      <c r="T4" s="3077"/>
      <c r="U4" s="3077"/>
      <c r="V4" s="3077"/>
      <c r="W4" s="3078"/>
      <c r="X4" s="3066" t="s">
        <v>376</v>
      </c>
      <c r="Y4" s="3195" t="s">
        <v>89</v>
      </c>
    </row>
    <row r="5" spans="1:27" ht="29.25" customHeight="1">
      <c r="A5" s="674" t="s">
        <v>90</v>
      </c>
      <c r="B5" s="3438"/>
      <c r="C5" s="3191"/>
      <c r="D5" s="3220"/>
      <c r="E5" s="3201"/>
      <c r="F5" s="3202"/>
      <c r="G5" s="3202"/>
      <c r="H5" s="3202"/>
      <c r="I5" s="3202"/>
      <c r="J5" s="3202"/>
      <c r="K5" s="3202"/>
      <c r="L5" s="3203"/>
      <c r="M5" s="3201"/>
      <c r="N5" s="941"/>
      <c r="O5" s="3075"/>
      <c r="P5" s="3079"/>
      <c r="Q5" s="3080"/>
      <c r="R5" s="3080"/>
      <c r="S5" s="3080"/>
      <c r="T5" s="3080"/>
      <c r="U5" s="3080"/>
      <c r="V5" s="3080"/>
      <c r="W5" s="3081"/>
      <c r="X5" s="3067"/>
      <c r="Y5" s="3196"/>
    </row>
    <row r="6" spans="1:27" ht="31.5" customHeight="1" thickBot="1">
      <c r="A6" s="674"/>
      <c r="B6" s="3439"/>
      <c r="C6" s="3191"/>
      <c r="D6" s="3221"/>
      <c r="E6" s="2666" t="s">
        <v>6</v>
      </c>
      <c r="F6" s="333" t="s">
        <v>7</v>
      </c>
      <c r="G6" s="333" t="s">
        <v>8</v>
      </c>
      <c r="H6" s="333" t="s">
        <v>9</v>
      </c>
      <c r="I6" s="2649" t="s">
        <v>10</v>
      </c>
      <c r="J6" s="2649" t="s">
        <v>11</v>
      </c>
      <c r="K6" s="2649" t="s">
        <v>12</v>
      </c>
      <c r="L6" s="2649" t="s">
        <v>13</v>
      </c>
      <c r="M6" s="1211" t="s">
        <v>371</v>
      </c>
      <c r="N6" s="2649" t="s">
        <v>14</v>
      </c>
      <c r="O6" s="2649" t="s">
        <v>15</v>
      </c>
      <c r="P6" s="2649" t="s">
        <v>16</v>
      </c>
      <c r="Q6" s="2649" t="s">
        <v>17</v>
      </c>
      <c r="R6" s="2649" t="s">
        <v>18</v>
      </c>
      <c r="S6" s="932" t="s">
        <v>290</v>
      </c>
      <c r="T6" s="932" t="s">
        <v>295</v>
      </c>
      <c r="U6" s="932" t="s">
        <v>373</v>
      </c>
      <c r="V6" s="932" t="s">
        <v>374</v>
      </c>
      <c r="W6" s="932" t="s">
        <v>372</v>
      </c>
      <c r="X6" s="3068"/>
      <c r="Y6" s="3197"/>
    </row>
    <row r="7" spans="1:27" ht="15" customHeight="1">
      <c r="A7" s="744">
        <v>1</v>
      </c>
      <c r="B7" s="745">
        <v>2</v>
      </c>
      <c r="C7" s="746" t="s">
        <v>142</v>
      </c>
      <c r="D7" s="747" t="s">
        <v>143</v>
      </c>
      <c r="E7" s="747" t="s">
        <v>144</v>
      </c>
      <c r="F7" s="747">
        <v>8</v>
      </c>
      <c r="G7" s="747">
        <v>9</v>
      </c>
      <c r="H7" s="747">
        <v>10</v>
      </c>
      <c r="I7" s="747" t="s">
        <v>145</v>
      </c>
      <c r="J7" s="747" t="s">
        <v>146</v>
      </c>
      <c r="K7" s="747" t="s">
        <v>147</v>
      </c>
      <c r="L7" s="747" t="s">
        <v>148</v>
      </c>
      <c r="M7" s="936">
        <v>5</v>
      </c>
      <c r="N7" s="937" t="s">
        <v>375</v>
      </c>
      <c r="O7" s="937">
        <v>6</v>
      </c>
      <c r="P7" s="937">
        <v>7</v>
      </c>
      <c r="Q7" s="937">
        <v>8</v>
      </c>
      <c r="R7" s="936">
        <v>9</v>
      </c>
      <c r="S7" s="936">
        <v>10</v>
      </c>
      <c r="T7" s="936">
        <v>11</v>
      </c>
      <c r="U7" s="936">
        <v>12</v>
      </c>
      <c r="V7" s="936">
        <v>13</v>
      </c>
      <c r="W7" s="936">
        <v>14</v>
      </c>
      <c r="X7" s="938">
        <v>15</v>
      </c>
      <c r="Y7" s="939">
        <v>16</v>
      </c>
    </row>
    <row r="8" spans="1:27" s="1283" customFormat="1" ht="16.5" customHeight="1">
      <c r="A8" s="668"/>
      <c r="B8" s="805" t="s">
        <v>92</v>
      </c>
      <c r="C8" s="806"/>
      <c r="D8" s="803">
        <f>+D9+D10</f>
        <v>79050116</v>
      </c>
      <c r="E8" s="803">
        <f t="shared" ref="E8:T8" si="0">+E9+E10</f>
        <v>0</v>
      </c>
      <c r="F8" s="803">
        <f t="shared" si="0"/>
        <v>0</v>
      </c>
      <c r="G8" s="803">
        <f t="shared" si="0"/>
        <v>0</v>
      </c>
      <c r="H8" s="803">
        <f t="shared" si="0"/>
        <v>0</v>
      </c>
      <c r="I8" s="803">
        <f t="shared" si="0"/>
        <v>0</v>
      </c>
      <c r="J8" s="803">
        <f t="shared" si="0"/>
        <v>0</v>
      </c>
      <c r="K8" s="803">
        <f t="shared" si="0"/>
        <v>9565</v>
      </c>
      <c r="L8" s="803">
        <f t="shared" si="0"/>
        <v>52827</v>
      </c>
      <c r="M8" s="803">
        <f t="shared" si="0"/>
        <v>133659</v>
      </c>
      <c r="N8" s="803">
        <f t="shared" si="0"/>
        <v>71267</v>
      </c>
      <c r="O8" s="803">
        <f>+O9+O10</f>
        <v>255435</v>
      </c>
      <c r="P8" s="803">
        <f t="shared" si="0"/>
        <v>1565401</v>
      </c>
      <c r="Q8" s="803">
        <f t="shared" si="0"/>
        <v>32544339</v>
      </c>
      <c r="R8" s="803">
        <f t="shared" si="0"/>
        <v>44551282</v>
      </c>
      <c r="S8" s="803">
        <f t="shared" si="0"/>
        <v>0</v>
      </c>
      <c r="T8" s="803">
        <f t="shared" si="0"/>
        <v>0</v>
      </c>
      <c r="U8" s="803">
        <f t="shared" ref="U8:W8" si="1">+U9+U10</f>
        <v>0</v>
      </c>
      <c r="V8" s="803">
        <f t="shared" si="1"/>
        <v>0</v>
      </c>
      <c r="W8" s="803">
        <f t="shared" si="1"/>
        <v>0</v>
      </c>
      <c r="X8" s="676">
        <f>+X9+X10</f>
        <v>78661022</v>
      </c>
      <c r="Y8" s="346"/>
      <c r="Z8" s="843">
        <f>O8-O11</f>
        <v>0</v>
      </c>
    </row>
    <row r="9" spans="1:27" s="1283" customFormat="1" ht="13.5" customHeight="1">
      <c r="A9" s="668"/>
      <c r="B9" s="807" t="s">
        <v>93</v>
      </c>
      <c r="C9" s="808"/>
      <c r="D9" s="794">
        <f>+D22+D40+D49+D56+D72+D79</f>
        <v>158934</v>
      </c>
      <c r="E9" s="794">
        <f t="shared" ref="E9:T9" si="2">+E22+E40+E49+E56+E72+E79+E95+E104</f>
        <v>0</v>
      </c>
      <c r="F9" s="794">
        <f t="shared" si="2"/>
        <v>0</v>
      </c>
      <c r="G9" s="794">
        <f t="shared" si="2"/>
        <v>0</v>
      </c>
      <c r="H9" s="794">
        <f t="shared" si="2"/>
        <v>0</v>
      </c>
      <c r="I9" s="794">
        <f t="shared" si="2"/>
        <v>0</v>
      </c>
      <c r="J9" s="794">
        <f t="shared" si="2"/>
        <v>0</v>
      </c>
      <c r="K9" s="794">
        <f t="shared" si="2"/>
        <v>9565</v>
      </c>
      <c r="L9" s="794">
        <f t="shared" si="2"/>
        <v>52827</v>
      </c>
      <c r="M9" s="794">
        <f>+M22+M40+M49+M56+M72+M79</f>
        <v>133659</v>
      </c>
      <c r="N9" s="794">
        <f>+N22+N40+N49+N56+N72+N79+N95+N104</f>
        <v>71267</v>
      </c>
      <c r="O9" s="794">
        <f>+O22+O40+O49+O56+O72+O79</f>
        <v>17034</v>
      </c>
      <c r="P9" s="794">
        <f>+P22+P40+P49+P56+P72+P79</f>
        <v>8241</v>
      </c>
      <c r="Q9" s="794">
        <f t="shared" ref="Q9:S9" si="3">+Q22+Q40+Q49+Q56+Q72+Q79</f>
        <v>0</v>
      </c>
      <c r="R9" s="794">
        <f t="shared" si="3"/>
        <v>0</v>
      </c>
      <c r="S9" s="794">
        <f t="shared" si="3"/>
        <v>0</v>
      </c>
      <c r="T9" s="794">
        <f t="shared" si="2"/>
        <v>0</v>
      </c>
      <c r="U9" s="794">
        <f t="shared" ref="U9:W9" si="4">+U22+U40+U49+U56+U72+U79+U95+U104</f>
        <v>0</v>
      </c>
      <c r="V9" s="794">
        <f t="shared" si="4"/>
        <v>0</v>
      </c>
      <c r="W9" s="794">
        <f t="shared" si="4"/>
        <v>0</v>
      </c>
      <c r="X9" s="347">
        <f>SUM(P9:S9)</f>
        <v>8241</v>
      </c>
      <c r="Y9" s="346"/>
      <c r="Z9" s="843"/>
    </row>
    <row r="10" spans="1:27" s="1283" customFormat="1" ht="13.5" customHeight="1" thickBot="1">
      <c r="A10" s="668"/>
      <c r="B10" s="809" t="s">
        <v>21</v>
      </c>
      <c r="C10" s="810"/>
      <c r="D10" s="811">
        <f>D31+D65+D88+D113+D95+D104</f>
        <v>78891182</v>
      </c>
      <c r="E10" s="811">
        <f t="shared" ref="E10:T10" si="5">E31+E65+E88+E113</f>
        <v>0</v>
      </c>
      <c r="F10" s="811">
        <f t="shared" si="5"/>
        <v>0</v>
      </c>
      <c r="G10" s="811">
        <f t="shared" si="5"/>
        <v>0</v>
      </c>
      <c r="H10" s="811">
        <f t="shared" si="5"/>
        <v>0</v>
      </c>
      <c r="I10" s="811">
        <f t="shared" si="5"/>
        <v>0</v>
      </c>
      <c r="J10" s="811">
        <f t="shared" si="5"/>
        <v>0</v>
      </c>
      <c r="K10" s="811">
        <f t="shared" si="5"/>
        <v>0</v>
      </c>
      <c r="L10" s="811">
        <f t="shared" si="5"/>
        <v>0</v>
      </c>
      <c r="M10" s="811">
        <f>M31+M65+M88+M113+M95+M104</f>
        <v>0</v>
      </c>
      <c r="N10" s="811">
        <f t="shared" ref="N10" si="6">N31+N65+N88+N113</f>
        <v>0</v>
      </c>
      <c r="O10" s="811">
        <f>O31+O65+O88+O113+O95+O104</f>
        <v>238401</v>
      </c>
      <c r="P10" s="811">
        <f>P31+P65+P88+P113+P95+P104</f>
        <v>1557160</v>
      </c>
      <c r="Q10" s="811">
        <f t="shared" ref="Q10:S10" si="7">Q31+Q65+Q88+Q113+Q95+Q104</f>
        <v>32544339</v>
      </c>
      <c r="R10" s="811">
        <f t="shared" si="7"/>
        <v>44551282</v>
      </c>
      <c r="S10" s="811">
        <f t="shared" si="7"/>
        <v>0</v>
      </c>
      <c r="T10" s="811">
        <f t="shared" si="5"/>
        <v>0</v>
      </c>
      <c r="U10" s="811">
        <f t="shared" ref="U10:W10" si="8">U31+U65+U88+U113</f>
        <v>0</v>
      </c>
      <c r="V10" s="811">
        <f t="shared" si="8"/>
        <v>0</v>
      </c>
      <c r="W10" s="811">
        <f t="shared" si="8"/>
        <v>0</v>
      </c>
      <c r="X10" s="678">
        <f>SUM(P10:S10)</f>
        <v>78652781</v>
      </c>
      <c r="Y10" s="346"/>
    </row>
    <row r="11" spans="1:27" ht="17.25" customHeight="1">
      <c r="A11" s="668"/>
      <c r="B11" s="748" t="s">
        <v>22</v>
      </c>
      <c r="C11" s="538"/>
      <c r="D11" s="749">
        <f>D12+D14</f>
        <v>79050116</v>
      </c>
      <c r="E11" s="750">
        <f t="shared" ref="E11:N11" si="9">E12+E14</f>
        <v>0</v>
      </c>
      <c r="F11" s="750">
        <f t="shared" si="9"/>
        <v>0</v>
      </c>
      <c r="G11" s="750">
        <f t="shared" si="9"/>
        <v>0</v>
      </c>
      <c r="H11" s="750">
        <f t="shared" si="9"/>
        <v>0</v>
      </c>
      <c r="I11" s="750">
        <f t="shared" si="9"/>
        <v>0</v>
      </c>
      <c r="J11" s="750">
        <f t="shared" si="9"/>
        <v>0</v>
      </c>
      <c r="K11" s="750">
        <f t="shared" si="9"/>
        <v>9565</v>
      </c>
      <c r="L11" s="750">
        <f t="shared" si="9"/>
        <v>52827</v>
      </c>
      <c r="M11" s="750">
        <f t="shared" si="9"/>
        <v>133659</v>
      </c>
      <c r="N11" s="750">
        <f t="shared" si="9"/>
        <v>71267</v>
      </c>
      <c r="O11" s="750">
        <f>O12+O14</f>
        <v>255435</v>
      </c>
      <c r="P11" s="750">
        <f>P12+P14</f>
        <v>1565401</v>
      </c>
      <c r="Q11" s="750">
        <f>Q12+Q14</f>
        <v>32544339</v>
      </c>
      <c r="R11" s="750">
        <f>R12+R14</f>
        <v>44551282</v>
      </c>
      <c r="S11" s="750">
        <f t="shared" ref="S11:T11" si="10">S12+S14</f>
        <v>0</v>
      </c>
      <c r="T11" s="750">
        <f t="shared" si="10"/>
        <v>0</v>
      </c>
      <c r="U11" s="750">
        <f t="shared" ref="U11:W11" si="11">U12+U14</f>
        <v>0</v>
      </c>
      <c r="V11" s="750">
        <f t="shared" si="11"/>
        <v>0</v>
      </c>
      <c r="W11" s="750">
        <f t="shared" si="11"/>
        <v>0</v>
      </c>
      <c r="X11" s="480">
        <f>P11+Q11+R11+S11</f>
        <v>78661022</v>
      </c>
      <c r="Y11" s="658"/>
      <c r="Z11" s="751"/>
      <c r="AA11" s="751"/>
    </row>
    <row r="12" spans="1:27" ht="13.5" customHeight="1">
      <c r="A12" s="668"/>
      <c r="B12" s="752" t="s">
        <v>36</v>
      </c>
      <c r="C12" s="753"/>
      <c r="D12" s="754">
        <f>D13</f>
        <v>13153293</v>
      </c>
      <c r="E12" s="754">
        <f t="shared" ref="E12:X12" si="12">+E13</f>
        <v>0</v>
      </c>
      <c r="F12" s="754">
        <f t="shared" si="12"/>
        <v>0</v>
      </c>
      <c r="G12" s="754">
        <f t="shared" si="12"/>
        <v>0</v>
      </c>
      <c r="H12" s="754">
        <f t="shared" si="12"/>
        <v>0</v>
      </c>
      <c r="I12" s="754">
        <f t="shared" si="12"/>
        <v>0</v>
      </c>
      <c r="J12" s="754">
        <f t="shared" si="12"/>
        <v>0</v>
      </c>
      <c r="K12" s="754">
        <f t="shared" si="12"/>
        <v>901</v>
      </c>
      <c r="L12" s="754">
        <f t="shared" si="12"/>
        <v>5252</v>
      </c>
      <c r="M12" s="754">
        <f t="shared" si="12"/>
        <v>18046</v>
      </c>
      <c r="N12" s="754">
        <f t="shared" si="12"/>
        <v>11893</v>
      </c>
      <c r="O12" s="754">
        <f>+O13</f>
        <v>5503</v>
      </c>
      <c r="P12" s="754">
        <f t="shared" si="12"/>
        <v>1565401</v>
      </c>
      <c r="Q12" s="754">
        <f t="shared" si="12"/>
        <v>4881651</v>
      </c>
      <c r="R12" s="754">
        <f t="shared" si="12"/>
        <v>6682692</v>
      </c>
      <c r="S12" s="754">
        <f t="shared" si="12"/>
        <v>0</v>
      </c>
      <c r="T12" s="754">
        <f t="shared" si="12"/>
        <v>0</v>
      </c>
      <c r="U12" s="754">
        <f t="shared" si="12"/>
        <v>0</v>
      </c>
      <c r="V12" s="754">
        <f t="shared" si="12"/>
        <v>0</v>
      </c>
      <c r="W12" s="754">
        <f t="shared" si="12"/>
        <v>0</v>
      </c>
      <c r="X12" s="714">
        <f t="shared" si="12"/>
        <v>13129744</v>
      </c>
      <c r="Y12" s="2247"/>
    </row>
    <row r="13" spans="1:27" ht="13.5" customHeight="1">
      <c r="A13" s="668"/>
      <c r="B13" s="755" t="s">
        <v>24</v>
      </c>
      <c r="C13" s="756"/>
      <c r="D13" s="715">
        <f>D24+D42+D33+D58+D97+D115+D81+D106</f>
        <v>13153293</v>
      </c>
      <c r="E13" s="715">
        <f t="shared" ref="E13:W13" si="13">E24+E42+E33+E58+E97+E115+E81+E106</f>
        <v>0</v>
      </c>
      <c r="F13" s="715">
        <f t="shared" si="13"/>
        <v>0</v>
      </c>
      <c r="G13" s="715">
        <f t="shared" si="13"/>
        <v>0</v>
      </c>
      <c r="H13" s="715">
        <f t="shared" si="13"/>
        <v>0</v>
      </c>
      <c r="I13" s="715">
        <f t="shared" si="13"/>
        <v>0</v>
      </c>
      <c r="J13" s="715">
        <f t="shared" si="13"/>
        <v>0</v>
      </c>
      <c r="K13" s="715">
        <f t="shared" si="13"/>
        <v>901</v>
      </c>
      <c r="L13" s="715">
        <f t="shared" si="13"/>
        <v>5252</v>
      </c>
      <c r="M13" s="715">
        <f t="shared" si="13"/>
        <v>18046</v>
      </c>
      <c r="N13" s="715">
        <f t="shared" si="13"/>
        <v>11893</v>
      </c>
      <c r="O13" s="715">
        <f t="shared" si="13"/>
        <v>5503</v>
      </c>
      <c r="P13" s="715">
        <f t="shared" si="13"/>
        <v>1565401</v>
      </c>
      <c r="Q13" s="715">
        <f t="shared" si="13"/>
        <v>4881651</v>
      </c>
      <c r="R13" s="715">
        <f t="shared" si="13"/>
        <v>6682692</v>
      </c>
      <c r="S13" s="715">
        <f t="shared" si="13"/>
        <v>0</v>
      </c>
      <c r="T13" s="715">
        <f t="shared" si="13"/>
        <v>0</v>
      </c>
      <c r="U13" s="715">
        <f t="shared" si="13"/>
        <v>0</v>
      </c>
      <c r="V13" s="715">
        <f t="shared" si="13"/>
        <v>0</v>
      </c>
      <c r="W13" s="715">
        <f t="shared" si="13"/>
        <v>0</v>
      </c>
      <c r="X13" s="370">
        <f>+P13+Q13+R13+S13</f>
        <v>13129744</v>
      </c>
      <c r="Y13" s="2247"/>
      <c r="Z13" s="751"/>
    </row>
    <row r="14" spans="1:27" ht="13.5" customHeight="1">
      <c r="A14" s="668"/>
      <c r="B14" s="752" t="s">
        <v>30</v>
      </c>
      <c r="C14" s="753"/>
      <c r="D14" s="754">
        <f>+D15+D16</f>
        <v>65896823</v>
      </c>
      <c r="E14" s="754">
        <f t="shared" ref="E14:T14" si="14">+E15+E16</f>
        <v>0</v>
      </c>
      <c r="F14" s="754">
        <f t="shared" si="14"/>
        <v>0</v>
      </c>
      <c r="G14" s="754">
        <f t="shared" si="14"/>
        <v>0</v>
      </c>
      <c r="H14" s="754">
        <f t="shared" si="14"/>
        <v>0</v>
      </c>
      <c r="I14" s="754">
        <f t="shared" si="14"/>
        <v>0</v>
      </c>
      <c r="J14" s="754">
        <f t="shared" si="14"/>
        <v>0</v>
      </c>
      <c r="K14" s="754">
        <f t="shared" si="14"/>
        <v>8664</v>
      </c>
      <c r="L14" s="754">
        <f t="shared" si="14"/>
        <v>47575</v>
      </c>
      <c r="M14" s="754">
        <f t="shared" si="14"/>
        <v>115613</v>
      </c>
      <c r="N14" s="754">
        <f>+N15+N16</f>
        <v>59374</v>
      </c>
      <c r="O14" s="754">
        <f>+O15+O16</f>
        <v>249932</v>
      </c>
      <c r="P14" s="754">
        <f t="shared" si="14"/>
        <v>0</v>
      </c>
      <c r="Q14" s="754">
        <f t="shared" si="14"/>
        <v>27662688</v>
      </c>
      <c r="R14" s="754">
        <f t="shared" si="14"/>
        <v>37868590</v>
      </c>
      <c r="S14" s="754">
        <f t="shared" si="14"/>
        <v>0</v>
      </c>
      <c r="T14" s="754">
        <f t="shared" si="14"/>
        <v>0</v>
      </c>
      <c r="U14" s="754">
        <f t="shared" ref="U14:W14" si="15">+U15+U16</f>
        <v>0</v>
      </c>
      <c r="V14" s="754">
        <f t="shared" si="15"/>
        <v>0</v>
      </c>
      <c r="W14" s="754">
        <f t="shared" si="15"/>
        <v>0</v>
      </c>
      <c r="X14" s="714">
        <f>+X15</f>
        <v>65531278</v>
      </c>
      <c r="Y14" s="2247"/>
    </row>
    <row r="15" spans="1:27" ht="13.5" customHeight="1">
      <c r="A15" s="668"/>
      <c r="B15" s="755" t="s">
        <v>33</v>
      </c>
      <c r="C15" s="757"/>
      <c r="D15" s="669">
        <f>D44+D60+D67+D74+D83+D90+D99+D117+D108</f>
        <v>65896823</v>
      </c>
      <c r="E15" s="669">
        <f t="shared" ref="E15:W15" si="16">E44+E60+E67+E74+E83+E90+E99+E117+E108</f>
        <v>0</v>
      </c>
      <c r="F15" s="669">
        <f t="shared" si="16"/>
        <v>0</v>
      </c>
      <c r="G15" s="669">
        <f t="shared" si="16"/>
        <v>0</v>
      </c>
      <c r="H15" s="669">
        <f t="shared" si="16"/>
        <v>0</v>
      </c>
      <c r="I15" s="669">
        <f t="shared" si="16"/>
        <v>0</v>
      </c>
      <c r="J15" s="669">
        <f t="shared" si="16"/>
        <v>0</v>
      </c>
      <c r="K15" s="669">
        <f t="shared" si="16"/>
        <v>8664</v>
      </c>
      <c r="L15" s="669">
        <f t="shared" si="16"/>
        <v>47575</v>
      </c>
      <c r="M15" s="669">
        <f t="shared" si="16"/>
        <v>115613</v>
      </c>
      <c r="N15" s="669">
        <f t="shared" si="16"/>
        <v>59374</v>
      </c>
      <c r="O15" s="669">
        <f t="shared" si="16"/>
        <v>249932</v>
      </c>
      <c r="P15" s="669">
        <f t="shared" si="16"/>
        <v>0</v>
      </c>
      <c r="Q15" s="669">
        <f t="shared" si="16"/>
        <v>27662688</v>
      </c>
      <c r="R15" s="669">
        <f t="shared" si="16"/>
        <v>37868590</v>
      </c>
      <c r="S15" s="669">
        <f t="shared" si="16"/>
        <v>0</v>
      </c>
      <c r="T15" s="669">
        <f t="shared" si="16"/>
        <v>0</v>
      </c>
      <c r="U15" s="669">
        <f t="shared" si="16"/>
        <v>0</v>
      </c>
      <c r="V15" s="669">
        <f t="shared" si="16"/>
        <v>0</v>
      </c>
      <c r="W15" s="669">
        <f t="shared" si="16"/>
        <v>0</v>
      </c>
      <c r="X15" s="370">
        <f>+P15+Q15+R15+S15</f>
        <v>65531278</v>
      </c>
      <c r="Y15" s="2247"/>
    </row>
    <row r="16" spans="1:27" ht="13.5" hidden="1" customHeight="1">
      <c r="A16" s="668"/>
      <c r="B16" s="2667" t="s">
        <v>32</v>
      </c>
      <c r="C16" s="2663"/>
      <c r="D16" s="669"/>
      <c r="E16" s="669"/>
      <c r="F16" s="669"/>
      <c r="G16" s="669"/>
      <c r="H16" s="669"/>
      <c r="I16" s="669"/>
      <c r="J16" s="669"/>
      <c r="K16" s="669"/>
      <c r="L16" s="669"/>
      <c r="M16" s="669"/>
      <c r="N16" s="669"/>
      <c r="O16" s="669"/>
      <c r="P16" s="669"/>
      <c r="Q16" s="669"/>
      <c r="R16" s="669"/>
      <c r="S16" s="669"/>
      <c r="T16" s="669"/>
      <c r="U16" s="669"/>
      <c r="V16" s="669"/>
      <c r="W16" s="669"/>
      <c r="X16" s="370"/>
      <c r="Y16" s="2247"/>
    </row>
    <row r="17" spans="1:28" ht="18.75" customHeight="1">
      <c r="A17" s="668"/>
      <c r="B17" s="748" t="s">
        <v>34</v>
      </c>
      <c r="C17" s="375"/>
      <c r="D17" s="749">
        <f t="shared" ref="D17:S18" si="17">D18</f>
        <v>65896823</v>
      </c>
      <c r="E17" s="750">
        <f t="shared" si="17"/>
        <v>0</v>
      </c>
      <c r="F17" s="750">
        <f t="shared" si="17"/>
        <v>0</v>
      </c>
      <c r="G17" s="750">
        <f t="shared" si="17"/>
        <v>0</v>
      </c>
      <c r="H17" s="750">
        <f t="shared" si="17"/>
        <v>0</v>
      </c>
      <c r="I17" s="750">
        <f t="shared" si="17"/>
        <v>0</v>
      </c>
      <c r="J17" s="750">
        <f t="shared" si="17"/>
        <v>0</v>
      </c>
      <c r="K17" s="750">
        <f t="shared" si="17"/>
        <v>0</v>
      </c>
      <c r="L17" s="750">
        <f t="shared" si="17"/>
        <v>0</v>
      </c>
      <c r="M17" s="750">
        <f t="shared" si="17"/>
        <v>0</v>
      </c>
      <c r="N17" s="750">
        <f t="shared" si="17"/>
        <v>0</v>
      </c>
      <c r="O17" s="750">
        <f t="shared" si="17"/>
        <v>365545</v>
      </c>
      <c r="P17" s="750">
        <f t="shared" si="17"/>
        <v>0</v>
      </c>
      <c r="Q17" s="750">
        <f t="shared" si="17"/>
        <v>26062083</v>
      </c>
      <c r="R17" s="750">
        <f t="shared" si="17"/>
        <v>37969195</v>
      </c>
      <c r="S17" s="750">
        <f t="shared" si="17"/>
        <v>1500000</v>
      </c>
      <c r="T17" s="750">
        <f t="shared" ref="T17:W18" si="18">T18</f>
        <v>0</v>
      </c>
      <c r="U17" s="750">
        <f t="shared" si="18"/>
        <v>0</v>
      </c>
      <c r="V17" s="750">
        <f t="shared" si="18"/>
        <v>0</v>
      </c>
      <c r="W17" s="750">
        <f t="shared" si="18"/>
        <v>0</v>
      </c>
      <c r="X17" s="2952" t="s">
        <v>77</v>
      </c>
      <c r="Y17" s="2247"/>
    </row>
    <row r="18" spans="1:28" ht="13.5" customHeight="1">
      <c r="A18" s="668"/>
      <c r="B18" s="752" t="s">
        <v>30</v>
      </c>
      <c r="C18" s="757"/>
      <c r="D18" s="847">
        <f>+D19+D20</f>
        <v>65896823</v>
      </c>
      <c r="E18" s="847">
        <f t="shared" si="17"/>
        <v>0</v>
      </c>
      <c r="F18" s="847">
        <f t="shared" si="17"/>
        <v>0</v>
      </c>
      <c r="G18" s="847">
        <f t="shared" si="17"/>
        <v>0</v>
      </c>
      <c r="H18" s="847">
        <f t="shared" si="17"/>
        <v>0</v>
      </c>
      <c r="I18" s="847">
        <f t="shared" si="17"/>
        <v>0</v>
      </c>
      <c r="J18" s="847">
        <f t="shared" si="17"/>
        <v>0</v>
      </c>
      <c r="K18" s="847">
        <f t="shared" si="17"/>
        <v>0</v>
      </c>
      <c r="L18" s="847">
        <f t="shared" si="17"/>
        <v>0</v>
      </c>
      <c r="M18" s="847">
        <f t="shared" si="17"/>
        <v>0</v>
      </c>
      <c r="N18" s="847">
        <f t="shared" si="17"/>
        <v>0</v>
      </c>
      <c r="O18" s="847">
        <f t="shared" si="17"/>
        <v>365545</v>
      </c>
      <c r="P18" s="847">
        <f t="shared" si="17"/>
        <v>0</v>
      </c>
      <c r="Q18" s="847">
        <f t="shared" si="17"/>
        <v>26062083</v>
      </c>
      <c r="R18" s="847">
        <f t="shared" si="17"/>
        <v>37969195</v>
      </c>
      <c r="S18" s="847">
        <f t="shared" si="17"/>
        <v>1500000</v>
      </c>
      <c r="T18" s="847">
        <f t="shared" si="18"/>
        <v>0</v>
      </c>
      <c r="U18" s="847">
        <f t="shared" si="18"/>
        <v>0</v>
      </c>
      <c r="V18" s="847">
        <f t="shared" si="18"/>
        <v>0</v>
      </c>
      <c r="W18" s="847">
        <f t="shared" si="18"/>
        <v>0</v>
      </c>
      <c r="X18" s="2953"/>
      <c r="Y18" s="2247"/>
    </row>
    <row r="19" spans="1:28" ht="13.5" customHeight="1" thickBot="1">
      <c r="A19" s="758"/>
      <c r="B19" s="755" t="s">
        <v>33</v>
      </c>
      <c r="C19" s="757"/>
      <c r="D19" s="669">
        <f>D29+D47+D54+D63+D70+D38+D77+D86+D102+D111+D93+D120</f>
        <v>65896823</v>
      </c>
      <c r="E19" s="669">
        <f t="shared" ref="E19:W19" si="19">E29+E47+E54+E63+E70+E38+E77+E86+E102+E111+E93+E120</f>
        <v>0</v>
      </c>
      <c r="F19" s="669">
        <f t="shared" si="19"/>
        <v>0</v>
      </c>
      <c r="G19" s="669">
        <f t="shared" si="19"/>
        <v>0</v>
      </c>
      <c r="H19" s="669">
        <f t="shared" si="19"/>
        <v>0</v>
      </c>
      <c r="I19" s="669">
        <f t="shared" si="19"/>
        <v>0</v>
      </c>
      <c r="J19" s="669">
        <f t="shared" si="19"/>
        <v>0</v>
      </c>
      <c r="K19" s="669">
        <f t="shared" si="19"/>
        <v>0</v>
      </c>
      <c r="L19" s="669">
        <f t="shared" si="19"/>
        <v>0</v>
      </c>
      <c r="M19" s="669">
        <f t="shared" si="19"/>
        <v>0</v>
      </c>
      <c r="N19" s="669">
        <f t="shared" si="19"/>
        <v>0</v>
      </c>
      <c r="O19" s="669">
        <f t="shared" si="19"/>
        <v>365545</v>
      </c>
      <c r="P19" s="669">
        <f t="shared" si="19"/>
        <v>0</v>
      </c>
      <c r="Q19" s="669">
        <f t="shared" si="19"/>
        <v>26062083</v>
      </c>
      <c r="R19" s="669">
        <f t="shared" si="19"/>
        <v>37969195</v>
      </c>
      <c r="S19" s="669">
        <f t="shared" si="19"/>
        <v>1500000</v>
      </c>
      <c r="T19" s="669">
        <f t="shared" si="19"/>
        <v>0</v>
      </c>
      <c r="U19" s="669">
        <f t="shared" si="19"/>
        <v>0</v>
      </c>
      <c r="V19" s="669">
        <f t="shared" si="19"/>
        <v>0</v>
      </c>
      <c r="W19" s="669">
        <f t="shared" si="19"/>
        <v>0</v>
      </c>
      <c r="X19" s="2953"/>
      <c r="Y19" s="2247"/>
      <c r="Z19" s="751">
        <f>D19-D15</f>
        <v>0</v>
      </c>
    </row>
    <row r="20" spans="1:28" ht="13.5" hidden="1" customHeight="1" thickBot="1">
      <c r="A20" s="758"/>
      <c r="B20" s="1213" t="s">
        <v>32</v>
      </c>
      <c r="C20" s="1213"/>
      <c r="D20" s="1213"/>
      <c r="E20" s="1213"/>
      <c r="F20" s="1213"/>
      <c r="G20" s="1213"/>
      <c r="H20" s="1213"/>
      <c r="I20" s="1213"/>
      <c r="J20" s="1213"/>
      <c r="K20" s="1213"/>
      <c r="L20" s="1213"/>
      <c r="M20" s="1213"/>
      <c r="N20" s="1213"/>
      <c r="O20" s="1213"/>
      <c r="P20" s="1213"/>
      <c r="Q20" s="1213"/>
      <c r="R20" s="1213"/>
      <c r="S20" s="1213"/>
      <c r="T20" s="1213"/>
      <c r="U20" s="1213"/>
      <c r="V20" s="1213"/>
      <c r="W20" s="935"/>
      <c r="X20" s="2954"/>
      <c r="Y20" s="2247"/>
    </row>
    <row r="21" spans="1:28" ht="42" hidden="1" customHeight="1">
      <c r="A21" s="3204" t="s">
        <v>79</v>
      </c>
      <c r="B21" s="996"/>
      <c r="C21" s="1231" t="s">
        <v>130</v>
      </c>
      <c r="D21" s="727"/>
      <c r="E21" s="697"/>
      <c r="F21" s="697"/>
      <c r="G21" s="697"/>
      <c r="H21" s="697"/>
      <c r="I21" s="697"/>
      <c r="J21" s="697"/>
      <c r="K21" s="697"/>
      <c r="L21" s="719"/>
      <c r="M21" s="719"/>
      <c r="N21" s="719"/>
      <c r="O21" s="719"/>
      <c r="P21" s="720"/>
      <c r="Q21" s="720"/>
      <c r="R21" s="720"/>
      <c r="S21" s="720"/>
      <c r="T21" s="719"/>
      <c r="U21" s="719"/>
      <c r="V21" s="719"/>
      <c r="W21" s="719"/>
      <c r="X21" s="721"/>
      <c r="Y21" s="3187" t="s">
        <v>316</v>
      </c>
    </row>
    <row r="22" spans="1:28" ht="17.25" hidden="1" customHeight="1">
      <c r="A22" s="3205"/>
      <c r="B22" s="399" t="s">
        <v>22</v>
      </c>
      <c r="C22" s="375"/>
      <c r="D22" s="464">
        <f t="shared" ref="D22:M22" si="20">+D23+D25</f>
        <v>0</v>
      </c>
      <c r="E22" s="443">
        <f t="shared" si="20"/>
        <v>0</v>
      </c>
      <c r="F22" s="443">
        <f t="shared" si="20"/>
        <v>0</v>
      </c>
      <c r="G22" s="443">
        <f t="shared" si="20"/>
        <v>0</v>
      </c>
      <c r="H22" s="443">
        <f t="shared" si="20"/>
        <v>0</v>
      </c>
      <c r="I22" s="443">
        <f t="shared" si="20"/>
        <v>0</v>
      </c>
      <c r="J22" s="443">
        <f t="shared" si="20"/>
        <v>0</v>
      </c>
      <c r="K22" s="443">
        <f t="shared" si="20"/>
        <v>0</v>
      </c>
      <c r="L22" s="443">
        <f t="shared" si="20"/>
        <v>0</v>
      </c>
      <c r="M22" s="443">
        <f t="shared" si="20"/>
        <v>0</v>
      </c>
      <c r="N22" s="443">
        <f>+N23+N25</f>
        <v>0</v>
      </c>
      <c r="O22" s="443">
        <f t="shared" ref="O22" si="21">+O23+O25</f>
        <v>0</v>
      </c>
      <c r="P22" s="443">
        <f t="shared" ref="P22:T22" si="22">+P23+P25</f>
        <v>0</v>
      </c>
      <c r="Q22" s="443">
        <f t="shared" si="22"/>
        <v>0</v>
      </c>
      <c r="R22" s="443">
        <f t="shared" si="22"/>
        <v>0</v>
      </c>
      <c r="S22" s="443">
        <f t="shared" si="22"/>
        <v>0</v>
      </c>
      <c r="T22" s="443">
        <f t="shared" si="22"/>
        <v>0</v>
      </c>
      <c r="U22" s="443">
        <f>U23+U25</f>
        <v>0</v>
      </c>
      <c r="V22" s="443">
        <f t="shared" ref="V22:W22" si="23">V23+V25</f>
        <v>0</v>
      </c>
      <c r="W22" s="443">
        <f t="shared" si="23"/>
        <v>0</v>
      </c>
      <c r="X22" s="480">
        <f>+X23+X25</f>
        <v>0</v>
      </c>
      <c r="Y22" s="3188"/>
      <c r="Z22" s="751"/>
      <c r="AA22" s="751"/>
    </row>
    <row r="23" spans="1:28" ht="14.25" hidden="1" customHeight="1">
      <c r="A23" s="3205"/>
      <c r="B23" s="445" t="s">
        <v>36</v>
      </c>
      <c r="C23" s="2978" t="s">
        <v>227</v>
      </c>
      <c r="D23" s="511">
        <f>+D24</f>
        <v>0</v>
      </c>
      <c r="E23" s="511">
        <f t="shared" ref="E23:J23" si="24">+E24</f>
        <v>0</v>
      </c>
      <c r="F23" s="511">
        <f t="shared" si="24"/>
        <v>0</v>
      </c>
      <c r="G23" s="511">
        <f t="shared" si="24"/>
        <v>0</v>
      </c>
      <c r="H23" s="511">
        <f t="shared" si="24"/>
        <v>0</v>
      </c>
      <c r="I23" s="511">
        <f t="shared" si="24"/>
        <v>0</v>
      </c>
      <c r="J23" s="511">
        <f t="shared" si="24"/>
        <v>0</v>
      </c>
      <c r="K23" s="759">
        <f>+K24</f>
        <v>0</v>
      </c>
      <c r="L23" s="760">
        <f>+L24</f>
        <v>0</v>
      </c>
      <c r="M23" s="760">
        <f>+M24</f>
        <v>0</v>
      </c>
      <c r="N23" s="760">
        <f>+N24</f>
        <v>0</v>
      </c>
      <c r="O23" s="511">
        <f t="shared" ref="O23:W23" si="25">+O24</f>
        <v>0</v>
      </c>
      <c r="P23" s="511">
        <f t="shared" si="25"/>
        <v>0</v>
      </c>
      <c r="Q23" s="511">
        <f t="shared" si="25"/>
        <v>0</v>
      </c>
      <c r="R23" s="511">
        <f t="shared" si="25"/>
        <v>0</v>
      </c>
      <c r="S23" s="511">
        <f t="shared" si="25"/>
        <v>0</v>
      </c>
      <c r="T23" s="511">
        <f t="shared" si="25"/>
        <v>0</v>
      </c>
      <c r="U23" s="511">
        <f t="shared" si="25"/>
        <v>0</v>
      </c>
      <c r="V23" s="511">
        <f t="shared" si="25"/>
        <v>0</v>
      </c>
      <c r="W23" s="511">
        <f t="shared" si="25"/>
        <v>0</v>
      </c>
      <c r="X23" s="365">
        <f>+X24</f>
        <v>0</v>
      </c>
      <c r="Y23" s="3423"/>
      <c r="AA23" s="751"/>
      <c r="AB23" s="751"/>
    </row>
    <row r="24" spans="1:28" ht="13.5" hidden="1" customHeight="1">
      <c r="A24" s="3205"/>
      <c r="B24" s="484" t="s">
        <v>24</v>
      </c>
      <c r="C24" s="2994"/>
      <c r="D24" s="466">
        <f>+M24+O24+P24+Q24+R24+S24+T24+U24+V24+W24</f>
        <v>0</v>
      </c>
      <c r="E24" s="456">
        <v>0</v>
      </c>
      <c r="F24" s="457"/>
      <c r="G24" s="457"/>
      <c r="H24" s="456"/>
      <c r="I24" s="456">
        <v>0</v>
      </c>
      <c r="J24" s="456">
        <v>0</v>
      </c>
      <c r="K24" s="456">
        <v>0</v>
      </c>
      <c r="L24" s="456">
        <v>0</v>
      </c>
      <c r="M24" s="456">
        <v>0</v>
      </c>
      <c r="N24" s="456"/>
      <c r="O24" s="456">
        <v>0</v>
      </c>
      <c r="P24" s="456">
        <v>0</v>
      </c>
      <c r="Q24" s="456">
        <v>0</v>
      </c>
      <c r="R24" s="456">
        <v>0</v>
      </c>
      <c r="S24" s="456">
        <v>0</v>
      </c>
      <c r="T24" s="456">
        <v>0</v>
      </c>
      <c r="U24" s="456">
        <v>0</v>
      </c>
      <c r="V24" s="456">
        <v>0</v>
      </c>
      <c r="W24" s="456">
        <v>0</v>
      </c>
      <c r="X24" s="370">
        <f>+P24+Q24+R24+S24</f>
        <v>0</v>
      </c>
      <c r="Y24" s="3423"/>
    </row>
    <row r="25" spans="1:28" ht="14.25" hidden="1" customHeight="1">
      <c r="A25" s="3205"/>
      <c r="B25" s="458" t="s">
        <v>30</v>
      </c>
      <c r="C25" s="2994"/>
      <c r="D25" s="459">
        <f t="shared" ref="D25:X25" si="26">+D26</f>
        <v>0</v>
      </c>
      <c r="E25" s="460">
        <f t="shared" si="26"/>
        <v>0</v>
      </c>
      <c r="F25" s="460">
        <f t="shared" si="26"/>
        <v>0</v>
      </c>
      <c r="G25" s="460">
        <f t="shared" si="26"/>
        <v>0</v>
      </c>
      <c r="H25" s="460">
        <f t="shared" si="26"/>
        <v>0</v>
      </c>
      <c r="I25" s="564">
        <f t="shared" si="26"/>
        <v>0</v>
      </c>
      <c r="J25" s="564">
        <f t="shared" si="26"/>
        <v>0</v>
      </c>
      <c r="K25" s="564">
        <f t="shared" si="26"/>
        <v>0</v>
      </c>
      <c r="L25" s="761">
        <f t="shared" si="26"/>
        <v>0</v>
      </c>
      <c r="M25" s="761">
        <f t="shared" si="26"/>
        <v>0</v>
      </c>
      <c r="N25" s="761">
        <f t="shared" si="26"/>
        <v>0</v>
      </c>
      <c r="O25" s="564">
        <f t="shared" ref="O25:W25" si="27">+O26</f>
        <v>0</v>
      </c>
      <c r="P25" s="564">
        <f t="shared" si="27"/>
        <v>0</v>
      </c>
      <c r="Q25" s="564">
        <f t="shared" si="27"/>
        <v>0</v>
      </c>
      <c r="R25" s="564">
        <f t="shared" si="27"/>
        <v>0</v>
      </c>
      <c r="S25" s="564">
        <f t="shared" si="27"/>
        <v>0</v>
      </c>
      <c r="T25" s="564">
        <f t="shared" si="27"/>
        <v>0</v>
      </c>
      <c r="U25" s="564">
        <f t="shared" si="27"/>
        <v>0</v>
      </c>
      <c r="V25" s="564">
        <f t="shared" si="27"/>
        <v>0</v>
      </c>
      <c r="W25" s="564">
        <f t="shared" si="27"/>
        <v>0</v>
      </c>
      <c r="X25" s="502">
        <f t="shared" si="26"/>
        <v>0</v>
      </c>
      <c r="Y25" s="3423"/>
    </row>
    <row r="26" spans="1:28" ht="12" hidden="1" customHeight="1">
      <c r="A26" s="3205"/>
      <c r="B26" s="1232" t="s">
        <v>33</v>
      </c>
      <c r="C26" s="3433"/>
      <c r="D26" s="466">
        <f>+M26+O26+P26+Q26+R26+S26+T26+U26+V26+W26</f>
        <v>0</v>
      </c>
      <c r="E26" s="454">
        <v>0</v>
      </c>
      <c r="F26" s="2667">
        <v>0</v>
      </c>
      <c r="G26" s="2667"/>
      <c r="H26" s="454"/>
      <c r="I26" s="454">
        <v>0</v>
      </c>
      <c r="J26" s="454">
        <v>0</v>
      </c>
      <c r="K26" s="454">
        <v>0</v>
      </c>
      <c r="L26" s="454">
        <v>0</v>
      </c>
      <c r="M26" s="456">
        <v>0</v>
      </c>
      <c r="N26" s="454"/>
      <c r="O26" s="454">
        <v>0</v>
      </c>
      <c r="P26" s="454">
        <v>0</v>
      </c>
      <c r="Q26" s="454">
        <v>0</v>
      </c>
      <c r="R26" s="454">
        <v>0</v>
      </c>
      <c r="S26" s="454">
        <v>0</v>
      </c>
      <c r="T26" s="454">
        <v>0</v>
      </c>
      <c r="U26" s="454">
        <v>0</v>
      </c>
      <c r="V26" s="454">
        <v>0</v>
      </c>
      <c r="W26" s="454">
        <v>0</v>
      </c>
      <c r="X26" s="370">
        <f>+P26+Q26+R26+S26</f>
        <v>0</v>
      </c>
      <c r="Y26" s="3423"/>
    </row>
    <row r="27" spans="1:28" ht="14.25" hidden="1" customHeight="1">
      <c r="A27" s="3205"/>
      <c r="B27" s="374" t="s">
        <v>34</v>
      </c>
      <c r="C27" s="726"/>
      <c r="D27" s="464">
        <f>+D28</f>
        <v>0</v>
      </c>
      <c r="E27" s="443">
        <f t="shared" ref="E27:U28" si="28">+E28</f>
        <v>0</v>
      </c>
      <c r="F27" s="443">
        <f t="shared" si="28"/>
        <v>0</v>
      </c>
      <c r="G27" s="443">
        <f t="shared" si="28"/>
        <v>0</v>
      </c>
      <c r="H27" s="443">
        <f t="shared" si="28"/>
        <v>0</v>
      </c>
      <c r="I27" s="443">
        <f t="shared" si="28"/>
        <v>0</v>
      </c>
      <c r="J27" s="443">
        <f t="shared" si="28"/>
        <v>0</v>
      </c>
      <c r="K27" s="443">
        <f t="shared" si="28"/>
        <v>0</v>
      </c>
      <c r="L27" s="443">
        <f t="shared" si="28"/>
        <v>0</v>
      </c>
      <c r="M27" s="443">
        <f t="shared" si="28"/>
        <v>0</v>
      </c>
      <c r="N27" s="443">
        <f t="shared" si="28"/>
        <v>0</v>
      </c>
      <c r="O27" s="443">
        <f t="shared" si="28"/>
        <v>0</v>
      </c>
      <c r="P27" s="443">
        <f t="shared" si="28"/>
        <v>0</v>
      </c>
      <c r="Q27" s="443">
        <f t="shared" si="28"/>
        <v>0</v>
      </c>
      <c r="R27" s="443">
        <f t="shared" si="28"/>
        <v>0</v>
      </c>
      <c r="S27" s="443">
        <f t="shared" si="28"/>
        <v>0</v>
      </c>
      <c r="T27" s="443">
        <f t="shared" si="28"/>
        <v>0</v>
      </c>
      <c r="U27" s="443">
        <f t="shared" si="28"/>
        <v>0</v>
      </c>
      <c r="V27" s="443">
        <f t="shared" ref="V27:W27" si="29">+V28</f>
        <v>0</v>
      </c>
      <c r="W27" s="443">
        <f t="shared" si="29"/>
        <v>0</v>
      </c>
      <c r="X27" s="2952" t="s">
        <v>77</v>
      </c>
      <c r="Y27" s="3423"/>
    </row>
    <row r="28" spans="1:28" ht="14.25" hidden="1" customHeight="1">
      <c r="A28" s="3205"/>
      <c r="B28" s="518" t="s">
        <v>30</v>
      </c>
      <c r="C28" s="3434" t="s">
        <v>228</v>
      </c>
      <c r="D28" s="459">
        <f>+D29</f>
        <v>0</v>
      </c>
      <c r="E28" s="460">
        <f t="shared" si="28"/>
        <v>0</v>
      </c>
      <c r="F28" s="460">
        <f t="shared" si="28"/>
        <v>0</v>
      </c>
      <c r="G28" s="460">
        <f t="shared" si="28"/>
        <v>0</v>
      </c>
      <c r="H28" s="460">
        <f t="shared" si="28"/>
        <v>0</v>
      </c>
      <c r="I28" s="460">
        <f t="shared" si="28"/>
        <v>0</v>
      </c>
      <c r="J28" s="460">
        <f t="shared" si="28"/>
        <v>0</v>
      </c>
      <c r="K28" s="460">
        <f t="shared" si="28"/>
        <v>0</v>
      </c>
      <c r="L28" s="460">
        <f t="shared" si="28"/>
        <v>0</v>
      </c>
      <c r="M28" s="460">
        <f t="shared" si="28"/>
        <v>0</v>
      </c>
      <c r="N28" s="460">
        <f t="shared" si="28"/>
        <v>0</v>
      </c>
      <c r="O28" s="460">
        <f t="shared" si="28"/>
        <v>0</v>
      </c>
      <c r="P28" s="460">
        <f t="shared" si="28"/>
        <v>0</v>
      </c>
      <c r="Q28" s="460">
        <f t="shared" si="28"/>
        <v>0</v>
      </c>
      <c r="R28" s="460">
        <f t="shared" si="28"/>
        <v>0</v>
      </c>
      <c r="S28" s="460">
        <f t="shared" si="28"/>
        <v>0</v>
      </c>
      <c r="T28" s="460">
        <f t="shared" si="28"/>
        <v>0</v>
      </c>
      <c r="U28" s="460">
        <f t="shared" si="28"/>
        <v>0</v>
      </c>
      <c r="V28" s="460">
        <f t="shared" ref="V28:W28" si="30">+V29</f>
        <v>0</v>
      </c>
      <c r="W28" s="460">
        <f t="shared" si="30"/>
        <v>0</v>
      </c>
      <c r="X28" s="2953"/>
      <c r="Y28" s="3423"/>
    </row>
    <row r="29" spans="1:28" s="762" customFormat="1" ht="15.75" hidden="1" customHeight="1" thickBot="1">
      <c r="A29" s="3206"/>
      <c r="B29" s="1233" t="s">
        <v>33</v>
      </c>
      <c r="C29" s="3435"/>
      <c r="D29" s="466">
        <f>+M29+O29+P29+Q29+R29+S29+T29+U29+V29+W29</f>
        <v>0</v>
      </c>
      <c r="E29" s="454"/>
      <c r="F29" s="1067"/>
      <c r="G29" s="1067"/>
      <c r="H29" s="454"/>
      <c r="I29" s="454">
        <v>0</v>
      </c>
      <c r="J29" s="454">
        <v>0</v>
      </c>
      <c r="K29" s="454">
        <v>0</v>
      </c>
      <c r="L29" s="454">
        <v>0</v>
      </c>
      <c r="M29" s="456">
        <v>0</v>
      </c>
      <c r="N29" s="454"/>
      <c r="O29" s="454">
        <v>0</v>
      </c>
      <c r="P29" s="491">
        <v>0</v>
      </c>
      <c r="Q29" s="491">
        <v>0</v>
      </c>
      <c r="R29" s="491">
        <v>0</v>
      </c>
      <c r="S29" s="491">
        <v>0</v>
      </c>
      <c r="T29" s="491">
        <v>0</v>
      </c>
      <c r="U29" s="491">
        <v>0</v>
      </c>
      <c r="V29" s="491">
        <v>0</v>
      </c>
      <c r="W29" s="491">
        <v>0</v>
      </c>
      <c r="X29" s="2953"/>
      <c r="Y29" s="3194"/>
      <c r="AA29" s="763"/>
    </row>
    <row r="30" spans="1:28" ht="42.75" hidden="1" customHeight="1">
      <c r="A30" s="3430" t="s">
        <v>80</v>
      </c>
      <c r="B30" s="717"/>
      <c r="C30" s="2662" t="s">
        <v>98</v>
      </c>
      <c r="D30" s="727"/>
      <c r="E30" s="697"/>
      <c r="F30" s="697"/>
      <c r="G30" s="697"/>
      <c r="H30" s="697"/>
      <c r="I30" s="697"/>
      <c r="J30" s="697"/>
      <c r="K30" s="697"/>
      <c r="L30" s="719"/>
      <c r="M30" s="719"/>
      <c r="N30" s="719"/>
      <c r="O30" s="719"/>
      <c r="P30" s="720"/>
      <c r="Q30" s="720"/>
      <c r="R30" s="720"/>
      <c r="S30" s="720"/>
      <c r="T30" s="719"/>
      <c r="U30" s="719"/>
      <c r="V30" s="719"/>
      <c r="W30" s="719"/>
      <c r="X30" s="721"/>
      <c r="Y30" s="3187" t="s">
        <v>316</v>
      </c>
    </row>
    <row r="31" spans="1:28" ht="15.75" hidden="1" customHeight="1">
      <c r="A31" s="3431"/>
      <c r="B31" s="399" t="s">
        <v>22</v>
      </c>
      <c r="C31" s="375"/>
      <c r="D31" s="464">
        <f t="shared" ref="D31:M31" si="31">+D32+D34</f>
        <v>0</v>
      </c>
      <c r="E31" s="443">
        <f t="shared" si="31"/>
        <v>0</v>
      </c>
      <c r="F31" s="443">
        <f t="shared" si="31"/>
        <v>0</v>
      </c>
      <c r="G31" s="443">
        <f t="shared" si="31"/>
        <v>0</v>
      </c>
      <c r="H31" s="443">
        <f t="shared" si="31"/>
        <v>0</v>
      </c>
      <c r="I31" s="443">
        <f t="shared" si="31"/>
        <v>0</v>
      </c>
      <c r="J31" s="443">
        <f t="shared" si="31"/>
        <v>0</v>
      </c>
      <c r="K31" s="443">
        <f t="shared" si="31"/>
        <v>0</v>
      </c>
      <c r="L31" s="443">
        <f t="shared" si="31"/>
        <v>0</v>
      </c>
      <c r="M31" s="443">
        <f t="shared" si="31"/>
        <v>0</v>
      </c>
      <c r="N31" s="443">
        <f>+N32+N34</f>
        <v>0</v>
      </c>
      <c r="O31" s="443">
        <f t="shared" ref="O31" si="32">+O32+O34</f>
        <v>0</v>
      </c>
      <c r="P31" s="443">
        <f t="shared" ref="P31:W31" si="33">+P32+P34</f>
        <v>0</v>
      </c>
      <c r="Q31" s="443">
        <f t="shared" si="33"/>
        <v>0</v>
      </c>
      <c r="R31" s="443">
        <f t="shared" si="33"/>
        <v>0</v>
      </c>
      <c r="S31" s="443">
        <f t="shared" si="33"/>
        <v>0</v>
      </c>
      <c r="T31" s="443">
        <f t="shared" si="33"/>
        <v>0</v>
      </c>
      <c r="U31" s="443">
        <f t="shared" si="33"/>
        <v>0</v>
      </c>
      <c r="V31" s="443">
        <f t="shared" si="33"/>
        <v>0</v>
      </c>
      <c r="W31" s="443">
        <f t="shared" si="33"/>
        <v>0</v>
      </c>
      <c r="X31" s="480">
        <f>+X32+X34</f>
        <v>0</v>
      </c>
      <c r="Y31" s="3188"/>
    </row>
    <row r="32" spans="1:28" ht="15.75" hidden="1" customHeight="1">
      <c r="A32" s="3431"/>
      <c r="B32" s="445" t="s">
        <v>36</v>
      </c>
      <c r="C32" s="2978" t="s">
        <v>227</v>
      </c>
      <c r="D32" s="511">
        <f>+D33</f>
        <v>0</v>
      </c>
      <c r="E32" s="511">
        <f t="shared" ref="E32:J32" si="34">+E33</f>
        <v>0</v>
      </c>
      <c r="F32" s="511">
        <f t="shared" si="34"/>
        <v>0</v>
      </c>
      <c r="G32" s="511">
        <f t="shared" si="34"/>
        <v>0</v>
      </c>
      <c r="H32" s="511">
        <f t="shared" si="34"/>
        <v>0</v>
      </c>
      <c r="I32" s="511">
        <f t="shared" si="34"/>
        <v>0</v>
      </c>
      <c r="J32" s="511">
        <f t="shared" si="34"/>
        <v>0</v>
      </c>
      <c r="K32" s="759">
        <f>+K33</f>
        <v>0</v>
      </c>
      <c r="L32" s="760">
        <f>+L33</f>
        <v>0</v>
      </c>
      <c r="M32" s="760">
        <f>+M33</f>
        <v>0</v>
      </c>
      <c r="N32" s="760">
        <f>+N33</f>
        <v>0</v>
      </c>
      <c r="O32" s="511">
        <f t="shared" ref="O32:W32" si="35">+O33</f>
        <v>0</v>
      </c>
      <c r="P32" s="511">
        <f t="shared" si="35"/>
        <v>0</v>
      </c>
      <c r="Q32" s="511">
        <f t="shared" si="35"/>
        <v>0</v>
      </c>
      <c r="R32" s="511">
        <f t="shared" si="35"/>
        <v>0</v>
      </c>
      <c r="S32" s="511">
        <f t="shared" si="35"/>
        <v>0</v>
      </c>
      <c r="T32" s="511">
        <f t="shared" si="35"/>
        <v>0</v>
      </c>
      <c r="U32" s="511">
        <f t="shared" si="35"/>
        <v>0</v>
      </c>
      <c r="V32" s="511">
        <f t="shared" si="35"/>
        <v>0</v>
      </c>
      <c r="W32" s="511">
        <f t="shared" si="35"/>
        <v>0</v>
      </c>
      <c r="X32" s="365">
        <f>+X33</f>
        <v>0</v>
      </c>
      <c r="Y32" s="3423"/>
    </row>
    <row r="33" spans="1:26" ht="15.75" hidden="1" customHeight="1">
      <c r="A33" s="3431"/>
      <c r="B33" s="484" t="s">
        <v>24</v>
      </c>
      <c r="C33" s="2994"/>
      <c r="D33" s="466">
        <f>+M33+O33+P33+Q33+R33+S33+T33+U33+V33+W33</f>
        <v>0</v>
      </c>
      <c r="E33" s="456">
        <v>0</v>
      </c>
      <c r="F33" s="457"/>
      <c r="G33" s="457"/>
      <c r="H33" s="456"/>
      <c r="I33" s="456">
        <v>0</v>
      </c>
      <c r="J33" s="456">
        <v>0</v>
      </c>
      <c r="K33" s="456">
        <v>0</v>
      </c>
      <c r="L33" s="456">
        <v>0</v>
      </c>
      <c r="M33" s="456">
        <v>0</v>
      </c>
      <c r="N33" s="456"/>
      <c r="O33" s="456">
        <v>0</v>
      </c>
      <c r="P33" s="456">
        <v>0</v>
      </c>
      <c r="Q33" s="456">
        <v>0</v>
      </c>
      <c r="R33" s="456">
        <v>0</v>
      </c>
      <c r="S33" s="456">
        <v>0</v>
      </c>
      <c r="T33" s="456">
        <v>0</v>
      </c>
      <c r="U33" s="456">
        <v>0</v>
      </c>
      <c r="V33" s="456">
        <v>0</v>
      </c>
      <c r="W33" s="456">
        <v>0</v>
      </c>
      <c r="X33" s="370">
        <f>+P33+Q33+R33+S33</f>
        <v>0</v>
      </c>
      <c r="Y33" s="3423"/>
    </row>
    <row r="34" spans="1:26" ht="12" hidden="1">
      <c r="A34" s="3431"/>
      <c r="B34" s="484" t="s">
        <v>30</v>
      </c>
      <c r="C34" s="2994"/>
      <c r="D34" s="459">
        <f t="shared" ref="D34:X34" si="36">+D35</f>
        <v>0</v>
      </c>
      <c r="E34" s="460">
        <f t="shared" si="36"/>
        <v>0</v>
      </c>
      <c r="F34" s="460">
        <f t="shared" si="36"/>
        <v>0</v>
      </c>
      <c r="G34" s="460">
        <f t="shared" si="36"/>
        <v>0</v>
      </c>
      <c r="H34" s="460">
        <f t="shared" si="36"/>
        <v>0</v>
      </c>
      <c r="I34" s="564">
        <f t="shared" si="36"/>
        <v>0</v>
      </c>
      <c r="J34" s="564">
        <f t="shared" si="36"/>
        <v>0</v>
      </c>
      <c r="K34" s="564">
        <f t="shared" si="36"/>
        <v>0</v>
      </c>
      <c r="L34" s="761">
        <f t="shared" si="36"/>
        <v>0</v>
      </c>
      <c r="M34" s="761">
        <f t="shared" si="36"/>
        <v>0</v>
      </c>
      <c r="N34" s="761">
        <f t="shared" si="36"/>
        <v>0</v>
      </c>
      <c r="O34" s="564">
        <f t="shared" si="36"/>
        <v>0</v>
      </c>
      <c r="P34" s="564">
        <f t="shared" si="36"/>
        <v>0</v>
      </c>
      <c r="Q34" s="564">
        <f t="shared" si="36"/>
        <v>0</v>
      </c>
      <c r="R34" s="564">
        <f t="shared" si="36"/>
        <v>0</v>
      </c>
      <c r="S34" s="564">
        <f t="shared" si="36"/>
        <v>0</v>
      </c>
      <c r="T34" s="564">
        <f t="shared" si="36"/>
        <v>0</v>
      </c>
      <c r="U34" s="564">
        <f t="shared" si="36"/>
        <v>0</v>
      </c>
      <c r="V34" s="564">
        <f t="shared" si="36"/>
        <v>0</v>
      </c>
      <c r="W34" s="564">
        <f t="shared" si="36"/>
        <v>0</v>
      </c>
      <c r="X34" s="502">
        <f t="shared" si="36"/>
        <v>0</v>
      </c>
      <c r="Y34" s="3423"/>
    </row>
    <row r="35" spans="1:26" ht="12.75" hidden="1" customHeight="1">
      <c r="A35" s="3431"/>
      <c r="B35" s="484" t="s">
        <v>33</v>
      </c>
      <c r="C35" s="2994"/>
      <c r="D35" s="466">
        <f>+M35+O35+P35+Q35+R35+S35+T35+U35+V35+W35</f>
        <v>0</v>
      </c>
      <c r="E35" s="454">
        <v>0</v>
      </c>
      <c r="F35" s="2667">
        <v>0</v>
      </c>
      <c r="G35" s="2667"/>
      <c r="H35" s="454"/>
      <c r="I35" s="454">
        <v>0</v>
      </c>
      <c r="J35" s="454">
        <v>0</v>
      </c>
      <c r="K35" s="454">
        <v>0</v>
      </c>
      <c r="L35" s="454">
        <v>0</v>
      </c>
      <c r="M35" s="456">
        <v>0</v>
      </c>
      <c r="N35" s="454"/>
      <c r="O35" s="454">
        <v>0</v>
      </c>
      <c r="P35" s="454">
        <v>0</v>
      </c>
      <c r="Q35" s="454">
        <v>0</v>
      </c>
      <c r="R35" s="454">
        <v>0</v>
      </c>
      <c r="S35" s="454">
        <v>0</v>
      </c>
      <c r="T35" s="454">
        <v>0</v>
      </c>
      <c r="U35" s="454">
        <v>0</v>
      </c>
      <c r="V35" s="454">
        <v>0</v>
      </c>
      <c r="W35" s="454">
        <v>0</v>
      </c>
      <c r="X35" s="370">
        <f>+P35+Q35+R35+S35</f>
        <v>0</v>
      </c>
      <c r="Y35" s="3423"/>
    </row>
    <row r="36" spans="1:26" ht="13.5" hidden="1" customHeight="1">
      <c r="A36" s="3431"/>
      <c r="B36" s="399" t="s">
        <v>34</v>
      </c>
      <c r="C36" s="375"/>
      <c r="D36" s="464">
        <f>+D37</f>
        <v>0</v>
      </c>
      <c r="E36" s="443">
        <f t="shared" ref="E36:U37" si="37">+E37</f>
        <v>0</v>
      </c>
      <c r="F36" s="443">
        <f t="shared" si="37"/>
        <v>0</v>
      </c>
      <c r="G36" s="443">
        <f t="shared" si="37"/>
        <v>0</v>
      </c>
      <c r="H36" s="443">
        <f t="shared" si="37"/>
        <v>0</v>
      </c>
      <c r="I36" s="443">
        <f t="shared" si="37"/>
        <v>0</v>
      </c>
      <c r="J36" s="443">
        <f t="shared" si="37"/>
        <v>0</v>
      </c>
      <c r="K36" s="443">
        <f t="shared" si="37"/>
        <v>0</v>
      </c>
      <c r="L36" s="464">
        <f t="shared" si="37"/>
        <v>0</v>
      </c>
      <c r="M36" s="464">
        <f t="shared" si="37"/>
        <v>0</v>
      </c>
      <c r="N36" s="464">
        <f t="shared" si="37"/>
        <v>0</v>
      </c>
      <c r="O36" s="464">
        <f t="shared" si="37"/>
        <v>0</v>
      </c>
      <c r="P36" s="443">
        <f t="shared" si="37"/>
        <v>0</v>
      </c>
      <c r="Q36" s="443">
        <f t="shared" si="37"/>
        <v>0</v>
      </c>
      <c r="R36" s="443">
        <f t="shared" si="37"/>
        <v>0</v>
      </c>
      <c r="S36" s="443">
        <f t="shared" si="37"/>
        <v>0</v>
      </c>
      <c r="T36" s="443">
        <f t="shared" si="37"/>
        <v>0</v>
      </c>
      <c r="U36" s="443">
        <f t="shared" si="37"/>
        <v>0</v>
      </c>
      <c r="V36" s="443">
        <f t="shared" ref="V36:W36" si="38">+V37</f>
        <v>0</v>
      </c>
      <c r="W36" s="443">
        <f t="shared" si="38"/>
        <v>0</v>
      </c>
      <c r="X36" s="2952" t="s">
        <v>77</v>
      </c>
      <c r="Y36" s="3423"/>
    </row>
    <row r="37" spans="1:26" ht="13.5" hidden="1" customHeight="1">
      <c r="A37" s="3431"/>
      <c r="B37" s="764" t="s">
        <v>30</v>
      </c>
      <c r="C37" s="2980" t="s">
        <v>228</v>
      </c>
      <c r="D37" s="459">
        <f>+D38</f>
        <v>0</v>
      </c>
      <c r="E37" s="460">
        <f t="shared" si="37"/>
        <v>0</v>
      </c>
      <c r="F37" s="460">
        <f t="shared" si="37"/>
        <v>0</v>
      </c>
      <c r="G37" s="460">
        <f t="shared" si="37"/>
        <v>0</v>
      </c>
      <c r="H37" s="460">
        <f t="shared" si="37"/>
        <v>0</v>
      </c>
      <c r="I37" s="460">
        <f t="shared" si="37"/>
        <v>0</v>
      </c>
      <c r="J37" s="460">
        <f t="shared" si="37"/>
        <v>0</v>
      </c>
      <c r="K37" s="460">
        <f t="shared" si="37"/>
        <v>0</v>
      </c>
      <c r="L37" s="460">
        <f t="shared" si="37"/>
        <v>0</v>
      </c>
      <c r="M37" s="460">
        <f t="shared" si="37"/>
        <v>0</v>
      </c>
      <c r="N37" s="460">
        <f t="shared" si="37"/>
        <v>0</v>
      </c>
      <c r="O37" s="460">
        <f t="shared" si="37"/>
        <v>0</v>
      </c>
      <c r="P37" s="460">
        <f t="shared" si="37"/>
        <v>0</v>
      </c>
      <c r="Q37" s="460">
        <f t="shared" si="37"/>
        <v>0</v>
      </c>
      <c r="R37" s="460">
        <f t="shared" si="37"/>
        <v>0</v>
      </c>
      <c r="S37" s="460">
        <f t="shared" si="37"/>
        <v>0</v>
      </c>
      <c r="T37" s="460">
        <f t="shared" si="37"/>
        <v>0</v>
      </c>
      <c r="U37" s="460">
        <f t="shared" si="37"/>
        <v>0</v>
      </c>
      <c r="V37" s="460">
        <f t="shared" ref="V37:W37" si="39">+V38</f>
        <v>0</v>
      </c>
      <c r="W37" s="460">
        <f t="shared" si="39"/>
        <v>0</v>
      </c>
      <c r="X37" s="2953"/>
      <c r="Y37" s="3423"/>
    </row>
    <row r="38" spans="1:26" ht="13.5" hidden="1" customHeight="1" thickBot="1">
      <c r="A38" s="3432"/>
      <c r="B38" s="1284" t="s">
        <v>33</v>
      </c>
      <c r="C38" s="3192"/>
      <c r="D38" s="534">
        <f>+M38+O38+P38+Q38+R38+S38+T38+U38+V38+W38</f>
        <v>0</v>
      </c>
      <c r="E38" s="491"/>
      <c r="F38" s="1284"/>
      <c r="G38" s="1284"/>
      <c r="H38" s="491"/>
      <c r="I38" s="491">
        <v>0</v>
      </c>
      <c r="J38" s="491">
        <v>0</v>
      </c>
      <c r="K38" s="491">
        <v>0</v>
      </c>
      <c r="L38" s="491">
        <v>0</v>
      </c>
      <c r="M38" s="491">
        <v>0</v>
      </c>
      <c r="N38" s="491"/>
      <c r="O38" s="491">
        <v>0</v>
      </c>
      <c r="P38" s="491">
        <v>0</v>
      </c>
      <c r="Q38" s="491">
        <v>0</v>
      </c>
      <c r="R38" s="491">
        <v>0</v>
      </c>
      <c r="S38" s="491">
        <v>0</v>
      </c>
      <c r="T38" s="491">
        <v>0</v>
      </c>
      <c r="U38" s="491">
        <v>0</v>
      </c>
      <c r="V38" s="491">
        <v>0</v>
      </c>
      <c r="W38" s="491">
        <v>0</v>
      </c>
      <c r="X38" s="2954"/>
      <c r="Y38" s="3299"/>
    </row>
    <row r="39" spans="1:26" s="1283" customFormat="1" ht="45" hidden="1" customHeight="1">
      <c r="A39" s="3204" t="s">
        <v>79</v>
      </c>
      <c r="B39" s="2219"/>
      <c r="C39" s="2662" t="s">
        <v>130</v>
      </c>
      <c r="D39" s="719"/>
      <c r="E39" s="719"/>
      <c r="F39" s="719"/>
      <c r="G39" s="719"/>
      <c r="H39" s="719"/>
      <c r="I39" s="719"/>
      <c r="J39" s="719"/>
      <c r="K39" s="719"/>
      <c r="L39" s="719"/>
      <c r="M39" s="719"/>
      <c r="N39" s="719"/>
      <c r="O39" s="719"/>
      <c r="P39" s="720"/>
      <c r="Q39" s="720"/>
      <c r="R39" s="720"/>
      <c r="S39" s="720"/>
      <c r="T39" s="719"/>
      <c r="U39" s="719"/>
      <c r="V39" s="719"/>
      <c r="W39" s="719"/>
      <c r="X39" s="721"/>
      <c r="Y39" s="3187" t="s">
        <v>316</v>
      </c>
    </row>
    <row r="40" spans="1:26" s="1283" customFormat="1" ht="16.5" hidden="1" customHeight="1">
      <c r="A40" s="3209"/>
      <c r="B40" s="399" t="s">
        <v>22</v>
      </c>
      <c r="C40" s="375"/>
      <c r="D40" s="443">
        <f t="shared" ref="D40:M40" si="40">+D41+D43</f>
        <v>0</v>
      </c>
      <c r="E40" s="443">
        <f t="shared" si="40"/>
        <v>0</v>
      </c>
      <c r="F40" s="443">
        <f t="shared" si="40"/>
        <v>0</v>
      </c>
      <c r="G40" s="443">
        <f t="shared" si="40"/>
        <v>0</v>
      </c>
      <c r="H40" s="443">
        <f t="shared" si="40"/>
        <v>0</v>
      </c>
      <c r="I40" s="443">
        <f t="shared" si="40"/>
        <v>0</v>
      </c>
      <c r="J40" s="443">
        <f t="shared" si="40"/>
        <v>0</v>
      </c>
      <c r="K40" s="443">
        <f t="shared" si="40"/>
        <v>0</v>
      </c>
      <c r="L40" s="443">
        <f t="shared" si="40"/>
        <v>0</v>
      </c>
      <c r="M40" s="443">
        <f t="shared" si="40"/>
        <v>0</v>
      </c>
      <c r="N40" s="443">
        <f>N41+N43</f>
        <v>0</v>
      </c>
      <c r="O40" s="443">
        <f>O41+O43</f>
        <v>0</v>
      </c>
      <c r="P40" s="443">
        <f>P41+P43</f>
        <v>0</v>
      </c>
      <c r="Q40" s="443">
        <f>Q41+Q43</f>
        <v>0</v>
      </c>
      <c r="R40" s="443">
        <f t="shared" ref="R40:W40" si="41">R41+R43</f>
        <v>0</v>
      </c>
      <c r="S40" s="443">
        <f t="shared" si="41"/>
        <v>0</v>
      </c>
      <c r="T40" s="443">
        <f t="shared" si="41"/>
        <v>0</v>
      </c>
      <c r="U40" s="443">
        <f t="shared" si="41"/>
        <v>0</v>
      </c>
      <c r="V40" s="443">
        <f t="shared" si="41"/>
        <v>0</v>
      </c>
      <c r="W40" s="443">
        <f t="shared" si="41"/>
        <v>0</v>
      </c>
      <c r="X40" s="480">
        <f>+X41+X43</f>
        <v>0</v>
      </c>
      <c r="Y40" s="3188"/>
    </row>
    <row r="41" spans="1:26" s="1283" customFormat="1" ht="14.25" hidden="1" customHeight="1">
      <c r="A41" s="3209"/>
      <c r="B41" s="764" t="s">
        <v>36</v>
      </c>
      <c r="C41" s="3426" t="s">
        <v>227</v>
      </c>
      <c r="D41" s="519">
        <f>+D42</f>
        <v>0</v>
      </c>
      <c r="E41" s="511">
        <f t="shared" ref="E41:J41" si="42">+E42</f>
        <v>0</v>
      </c>
      <c r="F41" s="511">
        <f t="shared" si="42"/>
        <v>0</v>
      </c>
      <c r="G41" s="511">
        <f t="shared" si="42"/>
        <v>0</v>
      </c>
      <c r="H41" s="511">
        <f t="shared" si="42"/>
        <v>0</v>
      </c>
      <c r="I41" s="511">
        <f t="shared" si="42"/>
        <v>0</v>
      </c>
      <c r="J41" s="511">
        <f t="shared" si="42"/>
        <v>0</v>
      </c>
      <c r="K41" s="759">
        <f>+K42</f>
        <v>0</v>
      </c>
      <c r="L41" s="760">
        <f>+L42</f>
        <v>0</v>
      </c>
      <c r="M41" s="760">
        <f>+M42</f>
        <v>0</v>
      </c>
      <c r="N41" s="760">
        <f>N42</f>
        <v>0</v>
      </c>
      <c r="O41" s="760">
        <f>O42</f>
        <v>0</v>
      </c>
      <c r="P41" s="760">
        <f>P42</f>
        <v>0</v>
      </c>
      <c r="Q41" s="760">
        <f>Q42</f>
        <v>0</v>
      </c>
      <c r="R41" s="760">
        <f t="shared" ref="R41:W41" si="43">R42</f>
        <v>0</v>
      </c>
      <c r="S41" s="760">
        <f t="shared" si="43"/>
        <v>0</v>
      </c>
      <c r="T41" s="760">
        <f t="shared" si="43"/>
        <v>0</v>
      </c>
      <c r="U41" s="760">
        <f t="shared" si="43"/>
        <v>0</v>
      </c>
      <c r="V41" s="760">
        <f t="shared" si="43"/>
        <v>0</v>
      </c>
      <c r="W41" s="760">
        <f t="shared" si="43"/>
        <v>0</v>
      </c>
      <c r="X41" s="365">
        <f>+X42</f>
        <v>0</v>
      </c>
      <c r="Y41" s="3423"/>
    </row>
    <row r="42" spans="1:26" s="1283" customFormat="1" ht="12.75" hidden="1" customHeight="1">
      <c r="A42" s="3209"/>
      <c r="B42" s="537" t="s">
        <v>24</v>
      </c>
      <c r="C42" s="3191"/>
      <c r="D42" s="466">
        <f>+M42+O42+P42+Q42+R42+S42+T42+U42+V42+W42</f>
        <v>0</v>
      </c>
      <c r="E42" s="456">
        <v>0</v>
      </c>
      <c r="F42" s="457"/>
      <c r="G42" s="457"/>
      <c r="H42" s="456"/>
      <c r="I42" s="456">
        <v>0</v>
      </c>
      <c r="J42" s="456">
        <v>0</v>
      </c>
      <c r="K42" s="456">
        <v>0</v>
      </c>
      <c r="L42" s="456">
        <v>0</v>
      </c>
      <c r="M42" s="456">
        <v>0</v>
      </c>
      <c r="N42" s="456"/>
      <c r="O42" s="456">
        <v>0</v>
      </c>
      <c r="P42" s="456">
        <v>0</v>
      </c>
      <c r="Q42" s="456">
        <v>0</v>
      </c>
      <c r="R42" s="456">
        <v>0</v>
      </c>
      <c r="S42" s="456">
        <v>0</v>
      </c>
      <c r="T42" s="456">
        <v>0</v>
      </c>
      <c r="U42" s="456">
        <v>0</v>
      </c>
      <c r="V42" s="456">
        <v>0</v>
      </c>
      <c r="W42" s="456">
        <v>0</v>
      </c>
      <c r="X42" s="370">
        <f>+P42+Q42+R42+S42</f>
        <v>0</v>
      </c>
      <c r="Y42" s="3423"/>
    </row>
    <row r="43" spans="1:26" s="1283" customFormat="1" ht="14.25" hidden="1" customHeight="1">
      <c r="A43" s="3209"/>
      <c r="B43" s="704" t="s">
        <v>30</v>
      </c>
      <c r="C43" s="3191"/>
      <c r="D43" s="460">
        <f t="shared" ref="D43:M43" si="44">+D44</f>
        <v>0</v>
      </c>
      <c r="E43" s="460">
        <f t="shared" si="44"/>
        <v>0</v>
      </c>
      <c r="F43" s="460">
        <f t="shared" si="44"/>
        <v>0</v>
      </c>
      <c r="G43" s="460">
        <f t="shared" si="44"/>
        <v>0</v>
      </c>
      <c r="H43" s="460">
        <f t="shared" si="44"/>
        <v>0</v>
      </c>
      <c r="I43" s="564">
        <f t="shared" si="44"/>
        <v>0</v>
      </c>
      <c r="J43" s="564">
        <f t="shared" si="44"/>
        <v>0</v>
      </c>
      <c r="K43" s="564">
        <f t="shared" si="44"/>
        <v>0</v>
      </c>
      <c r="L43" s="761">
        <f t="shared" si="44"/>
        <v>0</v>
      </c>
      <c r="M43" s="761">
        <f t="shared" si="44"/>
        <v>0</v>
      </c>
      <c r="N43" s="761">
        <f>N44</f>
        <v>0</v>
      </c>
      <c r="O43" s="761">
        <f>O44</f>
        <v>0</v>
      </c>
      <c r="P43" s="761">
        <f>P44</f>
        <v>0</v>
      </c>
      <c r="Q43" s="761">
        <f>Q44</f>
        <v>0</v>
      </c>
      <c r="R43" s="761">
        <f t="shared" ref="R43:W43" si="45">R44</f>
        <v>0</v>
      </c>
      <c r="S43" s="761">
        <f t="shared" si="45"/>
        <v>0</v>
      </c>
      <c r="T43" s="761">
        <f t="shared" si="45"/>
        <v>0</v>
      </c>
      <c r="U43" s="761">
        <f t="shared" si="45"/>
        <v>0</v>
      </c>
      <c r="V43" s="761">
        <f t="shared" si="45"/>
        <v>0</v>
      </c>
      <c r="W43" s="761">
        <f t="shared" si="45"/>
        <v>0</v>
      </c>
      <c r="X43" s="502">
        <f>+X44</f>
        <v>0</v>
      </c>
      <c r="Y43" s="3423"/>
    </row>
    <row r="44" spans="1:26" s="1283" customFormat="1" ht="13.5" hidden="1" customHeight="1">
      <c r="A44" s="3209"/>
      <c r="B44" s="2667" t="s">
        <v>33</v>
      </c>
      <c r="C44" s="3427"/>
      <c r="D44" s="466">
        <f>+M44+O44+P44+Q44+R44+S44+T44+U44+V44+W44</f>
        <v>0</v>
      </c>
      <c r="E44" s="454">
        <v>0</v>
      </c>
      <c r="F44" s="2667">
        <v>0</v>
      </c>
      <c r="G44" s="2667"/>
      <c r="H44" s="454"/>
      <c r="I44" s="454">
        <v>0</v>
      </c>
      <c r="J44" s="454">
        <v>0</v>
      </c>
      <c r="K44" s="454">
        <v>0</v>
      </c>
      <c r="L44" s="454">
        <v>0</v>
      </c>
      <c r="M44" s="456">
        <v>0</v>
      </c>
      <c r="N44" s="454"/>
      <c r="O44" s="454">
        <v>0</v>
      </c>
      <c r="P44" s="454">
        <v>0</v>
      </c>
      <c r="Q44" s="454">
        <v>0</v>
      </c>
      <c r="R44" s="454">
        <v>0</v>
      </c>
      <c r="S44" s="454">
        <v>0</v>
      </c>
      <c r="T44" s="454">
        <v>0</v>
      </c>
      <c r="U44" s="454">
        <v>0</v>
      </c>
      <c r="V44" s="454">
        <v>0</v>
      </c>
      <c r="W44" s="454">
        <v>0</v>
      </c>
      <c r="X44" s="370">
        <f>+P44+Q44+R44+S44</f>
        <v>0</v>
      </c>
      <c r="Y44" s="3423"/>
    </row>
    <row r="45" spans="1:26" s="1283" customFormat="1" ht="15.75" hidden="1" customHeight="1">
      <c r="A45" s="3209"/>
      <c r="B45" s="399" t="s">
        <v>34</v>
      </c>
      <c r="C45" s="647"/>
      <c r="D45" s="443">
        <f>+D46</f>
        <v>0</v>
      </c>
      <c r="E45" s="443">
        <f t="shared" ref="E45:N46" si="46">+E46</f>
        <v>0</v>
      </c>
      <c r="F45" s="443">
        <f t="shared" si="46"/>
        <v>0</v>
      </c>
      <c r="G45" s="443">
        <f t="shared" si="46"/>
        <v>0</v>
      </c>
      <c r="H45" s="443">
        <f t="shared" si="46"/>
        <v>0</v>
      </c>
      <c r="I45" s="443">
        <f t="shared" si="46"/>
        <v>0</v>
      </c>
      <c r="J45" s="443">
        <f t="shared" si="46"/>
        <v>0</v>
      </c>
      <c r="K45" s="443">
        <f t="shared" si="46"/>
        <v>0</v>
      </c>
      <c r="L45" s="443">
        <f t="shared" si="46"/>
        <v>0</v>
      </c>
      <c r="M45" s="443">
        <f t="shared" si="46"/>
        <v>0</v>
      </c>
      <c r="N45" s="464">
        <f t="shared" si="46"/>
        <v>0</v>
      </c>
      <c r="O45" s="464">
        <f t="shared" ref="O45:W46" si="47">O46</f>
        <v>0</v>
      </c>
      <c r="P45" s="464">
        <f t="shared" si="47"/>
        <v>0</v>
      </c>
      <c r="Q45" s="464">
        <f t="shared" si="47"/>
        <v>0</v>
      </c>
      <c r="R45" s="464">
        <f t="shared" si="47"/>
        <v>0</v>
      </c>
      <c r="S45" s="464">
        <f t="shared" si="47"/>
        <v>0</v>
      </c>
      <c r="T45" s="464">
        <f t="shared" si="47"/>
        <v>0</v>
      </c>
      <c r="U45" s="464">
        <f t="shared" si="47"/>
        <v>0</v>
      </c>
      <c r="V45" s="464">
        <f t="shared" si="47"/>
        <v>0</v>
      </c>
      <c r="W45" s="464">
        <f t="shared" si="47"/>
        <v>0</v>
      </c>
      <c r="X45" s="2952" t="s">
        <v>77</v>
      </c>
      <c r="Y45" s="3423"/>
    </row>
    <row r="46" spans="1:26" s="1283" customFormat="1" ht="12.75" hidden="1" customHeight="1">
      <c r="A46" s="3209"/>
      <c r="B46" s="458" t="s">
        <v>30</v>
      </c>
      <c r="C46" s="3428" t="s">
        <v>227</v>
      </c>
      <c r="D46" s="460">
        <f>+D47</f>
        <v>0</v>
      </c>
      <c r="E46" s="460">
        <f t="shared" si="46"/>
        <v>0</v>
      </c>
      <c r="F46" s="460">
        <f t="shared" si="46"/>
        <v>0</v>
      </c>
      <c r="G46" s="460">
        <f t="shared" si="46"/>
        <v>0</v>
      </c>
      <c r="H46" s="460">
        <f t="shared" si="46"/>
        <v>0</v>
      </c>
      <c r="I46" s="460">
        <f t="shared" si="46"/>
        <v>0</v>
      </c>
      <c r="J46" s="460">
        <f t="shared" si="46"/>
        <v>0</v>
      </c>
      <c r="K46" s="460">
        <f t="shared" si="46"/>
        <v>0</v>
      </c>
      <c r="L46" s="460">
        <f t="shared" si="46"/>
        <v>0</v>
      </c>
      <c r="M46" s="460">
        <f t="shared" si="46"/>
        <v>0</v>
      </c>
      <c r="N46" s="460">
        <f t="shared" si="46"/>
        <v>0</v>
      </c>
      <c r="O46" s="460">
        <f t="shared" si="47"/>
        <v>0</v>
      </c>
      <c r="P46" s="460">
        <f t="shared" si="47"/>
        <v>0</v>
      </c>
      <c r="Q46" s="460">
        <f t="shared" si="47"/>
        <v>0</v>
      </c>
      <c r="R46" s="460">
        <f t="shared" si="47"/>
        <v>0</v>
      </c>
      <c r="S46" s="460">
        <f t="shared" si="47"/>
        <v>0</v>
      </c>
      <c r="T46" s="460">
        <f t="shared" si="47"/>
        <v>0</v>
      </c>
      <c r="U46" s="460">
        <f t="shared" si="47"/>
        <v>0</v>
      </c>
      <c r="V46" s="460">
        <f t="shared" si="47"/>
        <v>0</v>
      </c>
      <c r="W46" s="460">
        <f t="shared" si="47"/>
        <v>0</v>
      </c>
      <c r="X46" s="2953"/>
      <c r="Y46" s="3423"/>
    </row>
    <row r="47" spans="1:26" s="1283" customFormat="1" ht="12.75" hidden="1" customHeight="1" thickBot="1">
      <c r="A47" s="3425"/>
      <c r="B47" s="1284" t="s">
        <v>33</v>
      </c>
      <c r="C47" s="3429"/>
      <c r="D47" s="533">
        <f>+M47+O47+P47+Q47+R47+S47+T47+U47+V47+W47</f>
        <v>0</v>
      </c>
      <c r="E47" s="491">
        <v>0</v>
      </c>
      <c r="F47" s="491"/>
      <c r="G47" s="491"/>
      <c r="H47" s="491"/>
      <c r="I47" s="491">
        <v>0</v>
      </c>
      <c r="J47" s="491">
        <v>0</v>
      </c>
      <c r="K47" s="491">
        <f>20000-2100-17900</f>
        <v>0</v>
      </c>
      <c r="L47" s="491">
        <v>0</v>
      </c>
      <c r="M47" s="491">
        <v>0</v>
      </c>
      <c r="N47" s="491"/>
      <c r="O47" s="491">
        <v>0</v>
      </c>
      <c r="P47" s="491">
        <v>0</v>
      </c>
      <c r="Q47" s="491">
        <v>0</v>
      </c>
      <c r="R47" s="491">
        <v>0</v>
      </c>
      <c r="S47" s="491">
        <v>0</v>
      </c>
      <c r="T47" s="491">
        <v>0</v>
      </c>
      <c r="U47" s="491">
        <v>0</v>
      </c>
      <c r="V47" s="491">
        <v>0</v>
      </c>
      <c r="W47" s="491">
        <v>0</v>
      </c>
      <c r="X47" s="2954"/>
      <c r="Y47" s="3299"/>
      <c r="Z47" s="843">
        <f>D44-D47</f>
        <v>0</v>
      </c>
    </row>
    <row r="48" spans="1:26" ht="30.75" hidden="1" customHeight="1">
      <c r="A48" s="3204" t="s">
        <v>82</v>
      </c>
      <c r="B48" s="717"/>
      <c r="C48" s="2662" t="s">
        <v>130</v>
      </c>
      <c r="D48" s="727"/>
      <c r="E48" s="697"/>
      <c r="F48" s="697"/>
      <c r="G48" s="697"/>
      <c r="H48" s="697"/>
      <c r="I48" s="697"/>
      <c r="J48" s="697"/>
      <c r="K48" s="697"/>
      <c r="L48" s="719"/>
      <c r="M48" s="719"/>
      <c r="N48" s="719"/>
      <c r="O48" s="719"/>
      <c r="P48" s="720"/>
      <c r="Q48" s="720"/>
      <c r="R48" s="720"/>
      <c r="S48" s="720"/>
      <c r="T48" s="719"/>
      <c r="U48" s="719"/>
      <c r="V48" s="719"/>
      <c r="W48" s="719"/>
      <c r="X48" s="721"/>
      <c r="Y48" s="3187" t="s">
        <v>316</v>
      </c>
    </row>
    <row r="49" spans="1:29" ht="15.75" hidden="1" customHeight="1">
      <c r="A49" s="3205"/>
      <c r="B49" s="399" t="s">
        <v>22</v>
      </c>
      <c r="C49" s="375"/>
      <c r="D49" s="464">
        <f>+D50</f>
        <v>0</v>
      </c>
      <c r="E49" s="464">
        <f t="shared" ref="E49:U50" si="48">+E50</f>
        <v>0</v>
      </c>
      <c r="F49" s="464">
        <f t="shared" si="48"/>
        <v>0</v>
      </c>
      <c r="G49" s="464">
        <f t="shared" si="48"/>
        <v>0</v>
      </c>
      <c r="H49" s="464">
        <f t="shared" si="48"/>
        <v>0</v>
      </c>
      <c r="I49" s="464">
        <f t="shared" si="48"/>
        <v>0</v>
      </c>
      <c r="J49" s="464">
        <f t="shared" si="48"/>
        <v>0</v>
      </c>
      <c r="K49" s="464">
        <f t="shared" si="48"/>
        <v>0</v>
      </c>
      <c r="L49" s="464">
        <f t="shared" si="48"/>
        <v>0</v>
      </c>
      <c r="M49" s="464">
        <f t="shared" si="48"/>
        <v>0</v>
      </c>
      <c r="N49" s="464">
        <f t="shared" si="48"/>
        <v>0</v>
      </c>
      <c r="O49" s="464">
        <f t="shared" si="48"/>
        <v>0</v>
      </c>
      <c r="P49" s="464">
        <f t="shared" si="48"/>
        <v>0</v>
      </c>
      <c r="Q49" s="464">
        <f t="shared" si="48"/>
        <v>0</v>
      </c>
      <c r="R49" s="464">
        <f t="shared" si="48"/>
        <v>0</v>
      </c>
      <c r="S49" s="464">
        <f t="shared" si="48"/>
        <v>0</v>
      </c>
      <c r="T49" s="464">
        <f t="shared" si="48"/>
        <v>0</v>
      </c>
      <c r="U49" s="464">
        <f t="shared" si="48"/>
        <v>0</v>
      </c>
      <c r="V49" s="464">
        <f t="shared" ref="V49:W49" si="49">+V50</f>
        <v>0</v>
      </c>
      <c r="W49" s="464">
        <f t="shared" si="49"/>
        <v>0</v>
      </c>
      <c r="X49" s="480" t="str">
        <f t="shared" ref="X49:X51" si="50">+X50</f>
        <v>x</v>
      </c>
      <c r="Y49" s="3188"/>
      <c r="Z49" s="751"/>
      <c r="AA49" s="751"/>
      <c r="AB49" s="751"/>
      <c r="AC49" s="751"/>
    </row>
    <row r="50" spans="1:29" s="762" customFormat="1" ht="14.25" hidden="1" customHeight="1">
      <c r="A50" s="3205"/>
      <c r="B50" s="553" t="s">
        <v>30</v>
      </c>
      <c r="C50" s="2978" t="s">
        <v>227</v>
      </c>
      <c r="D50" s="459">
        <f>+D51</f>
        <v>0</v>
      </c>
      <c r="E50" s="460">
        <f t="shared" si="48"/>
        <v>0</v>
      </c>
      <c r="F50" s="460">
        <f t="shared" si="48"/>
        <v>0</v>
      </c>
      <c r="G50" s="460">
        <f t="shared" si="48"/>
        <v>0</v>
      </c>
      <c r="H50" s="460">
        <f t="shared" si="48"/>
        <v>0</v>
      </c>
      <c r="I50" s="564">
        <f t="shared" si="48"/>
        <v>0</v>
      </c>
      <c r="J50" s="564">
        <f t="shared" si="48"/>
        <v>0</v>
      </c>
      <c r="K50" s="564">
        <f t="shared" si="48"/>
        <v>0</v>
      </c>
      <c r="L50" s="564">
        <f t="shared" si="48"/>
        <v>0</v>
      </c>
      <c r="M50" s="564">
        <f t="shared" si="48"/>
        <v>0</v>
      </c>
      <c r="N50" s="570">
        <f>N51</f>
        <v>0</v>
      </c>
      <c r="O50" s="570">
        <f>O51</f>
        <v>0</v>
      </c>
      <c r="P50" s="570">
        <f t="shared" ref="P50:T50" si="51">P51</f>
        <v>0</v>
      </c>
      <c r="Q50" s="570">
        <f t="shared" si="51"/>
        <v>0</v>
      </c>
      <c r="R50" s="570">
        <f t="shared" si="51"/>
        <v>0</v>
      </c>
      <c r="S50" s="570">
        <f t="shared" si="51"/>
        <v>0</v>
      </c>
      <c r="T50" s="570">
        <f t="shared" si="51"/>
        <v>0</v>
      </c>
      <c r="U50" s="570"/>
      <c r="V50" s="570"/>
      <c r="W50" s="570"/>
      <c r="X50" s="502" t="str">
        <f t="shared" si="50"/>
        <v>x</v>
      </c>
      <c r="Y50" s="3423"/>
      <c r="AA50" s="763"/>
      <c r="AB50" s="763"/>
      <c r="AC50" s="763"/>
    </row>
    <row r="51" spans="1:29" ht="12.75" hidden="1">
      <c r="A51" s="3205"/>
      <c r="B51" s="1067" t="s">
        <v>33</v>
      </c>
      <c r="C51" s="2994"/>
      <c r="D51" s="466">
        <f>+M51+O51+P51+Q51+R51+S51+T51+U51+V51+W51</f>
        <v>0</v>
      </c>
      <c r="E51" s="454">
        <v>0</v>
      </c>
      <c r="F51" s="462">
        <v>0</v>
      </c>
      <c r="G51" s="462"/>
      <c r="H51" s="454"/>
      <c r="I51" s="454">
        <v>0</v>
      </c>
      <c r="J51" s="454">
        <v>0</v>
      </c>
      <c r="K51" s="454">
        <v>0</v>
      </c>
      <c r="L51" s="454">
        <v>0</v>
      </c>
      <c r="M51" s="456">
        <v>0</v>
      </c>
      <c r="N51" s="462"/>
      <c r="O51" s="462">
        <v>0</v>
      </c>
      <c r="P51" s="462">
        <v>0</v>
      </c>
      <c r="Q51" s="462">
        <v>0</v>
      </c>
      <c r="R51" s="462">
        <v>0</v>
      </c>
      <c r="S51" s="462">
        <v>0</v>
      </c>
      <c r="T51" s="462">
        <v>0</v>
      </c>
      <c r="U51" s="462">
        <v>0</v>
      </c>
      <c r="V51" s="462">
        <v>0</v>
      </c>
      <c r="W51" s="462">
        <v>0</v>
      </c>
      <c r="X51" s="1004" t="str">
        <f t="shared" si="50"/>
        <v>x</v>
      </c>
      <c r="Y51" s="3423"/>
    </row>
    <row r="52" spans="1:29" ht="15.75" hidden="1" customHeight="1">
      <c r="A52" s="3205"/>
      <c r="B52" s="374" t="s">
        <v>34</v>
      </c>
      <c r="C52" s="375"/>
      <c r="D52" s="464">
        <f>+D53</f>
        <v>0</v>
      </c>
      <c r="E52" s="464">
        <f t="shared" ref="E52:N53" si="52">+E53</f>
        <v>0</v>
      </c>
      <c r="F52" s="464">
        <f t="shared" si="52"/>
        <v>0</v>
      </c>
      <c r="G52" s="464">
        <f t="shared" si="52"/>
        <v>0</v>
      </c>
      <c r="H52" s="464">
        <f t="shared" si="52"/>
        <v>0</v>
      </c>
      <c r="I52" s="464">
        <f t="shared" si="52"/>
        <v>0</v>
      </c>
      <c r="J52" s="464">
        <f t="shared" si="52"/>
        <v>0</v>
      </c>
      <c r="K52" s="464">
        <f t="shared" si="52"/>
        <v>0</v>
      </c>
      <c r="L52" s="464">
        <f t="shared" si="52"/>
        <v>0</v>
      </c>
      <c r="M52" s="464">
        <f t="shared" si="52"/>
        <v>0</v>
      </c>
      <c r="N52" s="464">
        <f t="shared" si="52"/>
        <v>0</v>
      </c>
      <c r="O52" s="464">
        <f>O53</f>
        <v>0</v>
      </c>
      <c r="P52" s="464">
        <f t="shared" ref="P52:W53" si="53">P53</f>
        <v>0</v>
      </c>
      <c r="Q52" s="464">
        <f t="shared" si="53"/>
        <v>0</v>
      </c>
      <c r="R52" s="464">
        <f t="shared" si="53"/>
        <v>0</v>
      </c>
      <c r="S52" s="464">
        <f t="shared" si="53"/>
        <v>0</v>
      </c>
      <c r="T52" s="464">
        <f t="shared" si="53"/>
        <v>0</v>
      </c>
      <c r="U52" s="464">
        <f t="shared" si="53"/>
        <v>0</v>
      </c>
      <c r="V52" s="464">
        <f t="shared" si="53"/>
        <v>0</v>
      </c>
      <c r="W52" s="464">
        <f t="shared" si="53"/>
        <v>0</v>
      </c>
      <c r="X52" s="2952" t="s">
        <v>77</v>
      </c>
      <c r="Y52" s="3423"/>
    </row>
    <row r="53" spans="1:29" s="762" customFormat="1" ht="15" hidden="1" customHeight="1">
      <c r="A53" s="3205"/>
      <c r="B53" s="698" t="s">
        <v>30</v>
      </c>
      <c r="C53" s="3039" t="s">
        <v>102</v>
      </c>
      <c r="D53" s="459">
        <f>+D54</f>
        <v>0</v>
      </c>
      <c r="E53" s="460">
        <f t="shared" si="52"/>
        <v>0</v>
      </c>
      <c r="F53" s="460">
        <f t="shared" si="52"/>
        <v>0</v>
      </c>
      <c r="G53" s="460">
        <f t="shared" si="52"/>
        <v>0</v>
      </c>
      <c r="H53" s="460">
        <f t="shared" si="52"/>
        <v>0</v>
      </c>
      <c r="I53" s="460">
        <f t="shared" si="52"/>
        <v>0</v>
      </c>
      <c r="J53" s="460">
        <f t="shared" si="52"/>
        <v>0</v>
      </c>
      <c r="K53" s="460">
        <f t="shared" si="52"/>
        <v>0</v>
      </c>
      <c r="L53" s="460">
        <f t="shared" si="52"/>
        <v>0</v>
      </c>
      <c r="M53" s="460">
        <f t="shared" si="52"/>
        <v>0</v>
      </c>
      <c r="N53" s="460">
        <f t="shared" si="52"/>
        <v>0</v>
      </c>
      <c r="O53" s="460">
        <f>O54</f>
        <v>0</v>
      </c>
      <c r="P53" s="460">
        <f t="shared" si="53"/>
        <v>0</v>
      </c>
      <c r="Q53" s="460">
        <f t="shared" si="53"/>
        <v>0</v>
      </c>
      <c r="R53" s="460">
        <f t="shared" si="53"/>
        <v>0</v>
      </c>
      <c r="S53" s="460">
        <f t="shared" si="53"/>
        <v>0</v>
      </c>
      <c r="T53" s="460">
        <f t="shared" si="53"/>
        <v>0</v>
      </c>
      <c r="U53" s="460">
        <f t="shared" si="53"/>
        <v>0</v>
      </c>
      <c r="V53" s="460">
        <f t="shared" si="53"/>
        <v>0</v>
      </c>
      <c r="W53" s="460">
        <f t="shared" si="53"/>
        <v>0</v>
      </c>
      <c r="X53" s="2953"/>
      <c r="Y53" s="3423"/>
    </row>
    <row r="54" spans="1:29" ht="13.5" hidden="1" customHeight="1" thickBot="1">
      <c r="A54" s="3206"/>
      <c r="B54" s="2664" t="s">
        <v>33</v>
      </c>
      <c r="C54" s="2995"/>
      <c r="D54" s="466">
        <f>+M54+O54+P54+Q54+R54+S54+T54+U54+V54+W54</f>
        <v>0</v>
      </c>
      <c r="E54" s="491">
        <v>0</v>
      </c>
      <c r="F54" s="492"/>
      <c r="G54" s="491"/>
      <c r="H54" s="491"/>
      <c r="I54" s="491">
        <v>0</v>
      </c>
      <c r="J54" s="491">
        <v>0</v>
      </c>
      <c r="K54" s="491">
        <f>42390-42390</f>
        <v>0</v>
      </c>
      <c r="L54" s="491">
        <v>0</v>
      </c>
      <c r="M54" s="456">
        <v>0</v>
      </c>
      <c r="N54" s="492"/>
      <c r="O54" s="491">
        <v>0</v>
      </c>
      <c r="P54" s="491">
        <v>0</v>
      </c>
      <c r="Q54" s="491">
        <v>0</v>
      </c>
      <c r="R54" s="491">
        <v>0</v>
      </c>
      <c r="S54" s="491">
        <v>0</v>
      </c>
      <c r="T54" s="491">
        <v>0</v>
      </c>
      <c r="U54" s="491">
        <v>0</v>
      </c>
      <c r="V54" s="491">
        <v>0</v>
      </c>
      <c r="W54" s="491">
        <v>0</v>
      </c>
      <c r="X54" s="2954"/>
      <c r="Y54" s="3424"/>
    </row>
    <row r="55" spans="1:29" s="1283" customFormat="1" ht="38.25" hidden="1" customHeight="1">
      <c r="A55" s="3204" t="s">
        <v>80</v>
      </c>
      <c r="B55" s="717"/>
      <c r="C55" s="2662" t="s">
        <v>229</v>
      </c>
      <c r="D55" s="727"/>
      <c r="E55" s="697"/>
      <c r="F55" s="697"/>
      <c r="G55" s="697"/>
      <c r="H55" s="697"/>
      <c r="I55" s="697"/>
      <c r="J55" s="697"/>
      <c r="K55" s="697"/>
      <c r="L55" s="719"/>
      <c r="M55" s="719"/>
      <c r="N55" s="719"/>
      <c r="O55" s="719"/>
      <c r="P55" s="720"/>
      <c r="Q55" s="720"/>
      <c r="R55" s="720"/>
      <c r="S55" s="720"/>
      <c r="T55" s="719"/>
      <c r="U55" s="719"/>
      <c r="V55" s="719"/>
      <c r="W55" s="719"/>
      <c r="X55" s="721"/>
      <c r="Y55" s="3187" t="s">
        <v>316</v>
      </c>
    </row>
    <row r="56" spans="1:29" s="848" customFormat="1" ht="15.75" hidden="1" customHeight="1">
      <c r="A56" s="3205"/>
      <c r="B56" s="399" t="s">
        <v>22</v>
      </c>
      <c r="C56" s="375"/>
      <c r="D56" s="749">
        <f>+D59+D57</f>
        <v>0</v>
      </c>
      <c r="E56" s="749">
        <f t="shared" ref="E56:N56" si="54">+E59</f>
        <v>0</v>
      </c>
      <c r="F56" s="749">
        <f t="shared" si="54"/>
        <v>0</v>
      </c>
      <c r="G56" s="749">
        <f t="shared" si="54"/>
        <v>0</v>
      </c>
      <c r="H56" s="749">
        <f t="shared" si="54"/>
        <v>0</v>
      </c>
      <c r="I56" s="749">
        <f t="shared" si="54"/>
        <v>0</v>
      </c>
      <c r="J56" s="749">
        <f t="shared" si="54"/>
        <v>0</v>
      </c>
      <c r="K56" s="749">
        <f t="shared" si="54"/>
        <v>0</v>
      </c>
      <c r="L56" s="749">
        <f t="shared" si="54"/>
        <v>0</v>
      </c>
      <c r="M56" s="749">
        <f t="shared" si="54"/>
        <v>0</v>
      </c>
      <c r="N56" s="749">
        <f t="shared" si="54"/>
        <v>0</v>
      </c>
      <c r="O56" s="749">
        <f>+O59+O57</f>
        <v>0</v>
      </c>
      <c r="P56" s="749">
        <f t="shared" ref="P56:W56" si="55">+P59</f>
        <v>0</v>
      </c>
      <c r="Q56" s="749">
        <f t="shared" si="55"/>
        <v>0</v>
      </c>
      <c r="R56" s="749">
        <f t="shared" si="55"/>
        <v>0</v>
      </c>
      <c r="S56" s="749">
        <f t="shared" si="55"/>
        <v>0</v>
      </c>
      <c r="T56" s="749">
        <f t="shared" si="55"/>
        <v>0</v>
      </c>
      <c r="U56" s="749">
        <f t="shared" si="55"/>
        <v>0</v>
      </c>
      <c r="V56" s="749">
        <f t="shared" si="55"/>
        <v>0</v>
      </c>
      <c r="W56" s="749">
        <f t="shared" si="55"/>
        <v>0</v>
      </c>
      <c r="X56" s="480">
        <f t="shared" ref="X56" si="56">+X59</f>
        <v>0</v>
      </c>
      <c r="Y56" s="3188"/>
    </row>
    <row r="57" spans="1:29" s="1283" customFormat="1" ht="15.75" hidden="1" customHeight="1">
      <c r="A57" s="3205"/>
      <c r="B57" s="764" t="s">
        <v>36</v>
      </c>
      <c r="C57" s="2978" t="s">
        <v>227</v>
      </c>
      <c r="D57" s="459">
        <f>D58</f>
        <v>0</v>
      </c>
      <c r="E57" s="460"/>
      <c r="F57" s="460"/>
      <c r="G57" s="460"/>
      <c r="H57" s="460"/>
      <c r="I57" s="564"/>
      <c r="J57" s="564"/>
      <c r="K57" s="564"/>
      <c r="L57" s="564"/>
      <c r="M57" s="564">
        <f>M58</f>
        <v>0</v>
      </c>
      <c r="N57" s="570">
        <f>N58</f>
        <v>0</v>
      </c>
      <c r="O57" s="570">
        <f>O58</f>
        <v>0</v>
      </c>
      <c r="P57" s="570"/>
      <c r="Q57" s="570"/>
      <c r="R57" s="570"/>
      <c r="S57" s="570"/>
      <c r="T57" s="570"/>
      <c r="U57" s="570"/>
      <c r="V57" s="570"/>
      <c r="W57" s="570"/>
      <c r="X57" s="502"/>
      <c r="Y57" s="3188"/>
    </row>
    <row r="58" spans="1:29" s="1283" customFormat="1" ht="15.75" hidden="1" customHeight="1">
      <c r="A58" s="3205"/>
      <c r="B58" s="537" t="s">
        <v>24</v>
      </c>
      <c r="C58" s="2980"/>
      <c r="D58" s="453">
        <f>M58+N58+O58</f>
        <v>0</v>
      </c>
      <c r="E58" s="454"/>
      <c r="F58" s="462"/>
      <c r="G58" s="462"/>
      <c r="H58" s="454"/>
      <c r="I58" s="454"/>
      <c r="J58" s="454"/>
      <c r="K58" s="454"/>
      <c r="L58" s="454"/>
      <c r="M58" s="462">
        <v>0</v>
      </c>
      <c r="N58" s="462">
        <v>0</v>
      </c>
      <c r="O58" s="462">
        <v>0</v>
      </c>
      <c r="P58" s="462"/>
      <c r="Q58" s="462"/>
      <c r="R58" s="462"/>
      <c r="S58" s="462"/>
      <c r="T58" s="462"/>
      <c r="U58" s="462"/>
      <c r="V58" s="462"/>
      <c r="W58" s="462"/>
      <c r="X58" s="370"/>
      <c r="Y58" s="3188"/>
    </row>
    <row r="59" spans="1:29" s="1283" customFormat="1" ht="14.25" hidden="1" customHeight="1">
      <c r="A59" s="3205"/>
      <c r="B59" s="553" t="s">
        <v>30</v>
      </c>
      <c r="C59" s="2980"/>
      <c r="D59" s="459">
        <f>+D60</f>
        <v>0</v>
      </c>
      <c r="E59" s="460">
        <f t="shared" ref="E59:M59" si="57">+E60</f>
        <v>0</v>
      </c>
      <c r="F59" s="460">
        <f t="shared" si="57"/>
        <v>0</v>
      </c>
      <c r="G59" s="460">
        <f t="shared" si="57"/>
        <v>0</v>
      </c>
      <c r="H59" s="460">
        <f t="shared" si="57"/>
        <v>0</v>
      </c>
      <c r="I59" s="564">
        <f t="shared" si="57"/>
        <v>0</v>
      </c>
      <c r="J59" s="564">
        <f t="shared" si="57"/>
        <v>0</v>
      </c>
      <c r="K59" s="564">
        <f t="shared" si="57"/>
        <v>0</v>
      </c>
      <c r="L59" s="564">
        <f t="shared" si="57"/>
        <v>0</v>
      </c>
      <c r="M59" s="564">
        <f t="shared" si="57"/>
        <v>0</v>
      </c>
      <c r="N59" s="570">
        <f>N60</f>
        <v>0</v>
      </c>
      <c r="O59" s="570">
        <f>O60</f>
        <v>0</v>
      </c>
      <c r="P59" s="570">
        <f>P60</f>
        <v>0</v>
      </c>
      <c r="Q59" s="570">
        <f>Q60</f>
        <v>0</v>
      </c>
      <c r="R59" s="570">
        <f t="shared" ref="R59:W59" si="58">R60</f>
        <v>0</v>
      </c>
      <c r="S59" s="570">
        <f t="shared" si="58"/>
        <v>0</v>
      </c>
      <c r="T59" s="570">
        <f t="shared" si="58"/>
        <v>0</v>
      </c>
      <c r="U59" s="570">
        <f t="shared" si="58"/>
        <v>0</v>
      </c>
      <c r="V59" s="570">
        <f t="shared" si="58"/>
        <v>0</v>
      </c>
      <c r="W59" s="570">
        <f t="shared" si="58"/>
        <v>0</v>
      </c>
      <c r="X59" s="502">
        <f>+P59+Q59+R59+S59</f>
        <v>0</v>
      </c>
      <c r="Y59" s="3423"/>
    </row>
    <row r="60" spans="1:29" s="1283" customFormat="1" ht="11.25" hidden="1" customHeight="1">
      <c r="A60" s="3205"/>
      <c r="B60" s="1067" t="s">
        <v>33</v>
      </c>
      <c r="C60" s="2981"/>
      <c r="D60" s="466">
        <f>+M60+O60+P60+Q60+R60+S60+T60+U60+V60+W60</f>
        <v>0</v>
      </c>
      <c r="E60" s="454">
        <v>0</v>
      </c>
      <c r="F60" s="462">
        <v>0</v>
      </c>
      <c r="G60" s="462"/>
      <c r="H60" s="454"/>
      <c r="I60" s="454">
        <v>0</v>
      </c>
      <c r="J60" s="454">
        <v>0</v>
      </c>
      <c r="K60" s="454">
        <v>0</v>
      </c>
      <c r="L60" s="454">
        <v>0</v>
      </c>
      <c r="M60" s="456">
        <v>0</v>
      </c>
      <c r="N60" s="462"/>
      <c r="O60" s="462">
        <v>0</v>
      </c>
      <c r="P60" s="462">
        <v>0</v>
      </c>
      <c r="Q60" s="462">
        <v>0</v>
      </c>
      <c r="R60" s="462">
        <v>0</v>
      </c>
      <c r="S60" s="462">
        <v>0</v>
      </c>
      <c r="T60" s="462">
        <v>0</v>
      </c>
      <c r="U60" s="462">
        <v>0</v>
      </c>
      <c r="V60" s="462">
        <v>0</v>
      </c>
      <c r="W60" s="462">
        <v>0</v>
      </c>
      <c r="X60" s="370">
        <f>P60+Q60+R60</f>
        <v>0</v>
      </c>
      <c r="Y60" s="3423"/>
    </row>
    <row r="61" spans="1:29" s="1283" customFormat="1" ht="15.75" hidden="1" customHeight="1">
      <c r="A61" s="3205"/>
      <c r="B61" s="374" t="s">
        <v>34</v>
      </c>
      <c r="C61" s="375"/>
      <c r="D61" s="464">
        <f>+D62</f>
        <v>0</v>
      </c>
      <c r="E61" s="464">
        <f t="shared" ref="E61:N62" si="59">+E62</f>
        <v>0</v>
      </c>
      <c r="F61" s="464">
        <f t="shared" si="59"/>
        <v>0</v>
      </c>
      <c r="G61" s="464">
        <f t="shared" si="59"/>
        <v>0</v>
      </c>
      <c r="H61" s="464">
        <f t="shared" si="59"/>
        <v>0</v>
      </c>
      <c r="I61" s="464">
        <f t="shared" si="59"/>
        <v>0</v>
      </c>
      <c r="J61" s="464">
        <f t="shared" si="59"/>
        <v>0</v>
      </c>
      <c r="K61" s="464">
        <f t="shared" si="59"/>
        <v>0</v>
      </c>
      <c r="L61" s="464">
        <f t="shared" si="59"/>
        <v>0</v>
      </c>
      <c r="M61" s="464">
        <f t="shared" si="59"/>
        <v>0</v>
      </c>
      <c r="N61" s="464">
        <f t="shared" si="59"/>
        <v>0</v>
      </c>
      <c r="O61" s="464">
        <f t="shared" ref="O61:W62" si="60">O62</f>
        <v>0</v>
      </c>
      <c r="P61" s="464">
        <f t="shared" si="60"/>
        <v>0</v>
      </c>
      <c r="Q61" s="464">
        <f t="shared" si="60"/>
        <v>0</v>
      </c>
      <c r="R61" s="464">
        <f t="shared" si="60"/>
        <v>0</v>
      </c>
      <c r="S61" s="464">
        <f t="shared" si="60"/>
        <v>0</v>
      </c>
      <c r="T61" s="464">
        <f t="shared" si="60"/>
        <v>0</v>
      </c>
      <c r="U61" s="464">
        <f t="shared" si="60"/>
        <v>0</v>
      </c>
      <c r="V61" s="464">
        <f t="shared" si="60"/>
        <v>0</v>
      </c>
      <c r="W61" s="464">
        <f t="shared" si="60"/>
        <v>0</v>
      </c>
      <c r="X61" s="2952" t="s">
        <v>77</v>
      </c>
      <c r="Y61" s="3423"/>
      <c r="Z61" s="843">
        <f>'[5]Tab. 6H - Kultura fiz. i turyst'!$D$59-D61</f>
        <v>2842867</v>
      </c>
    </row>
    <row r="62" spans="1:29" s="1283" customFormat="1" ht="12.75" hidden="1">
      <c r="A62" s="3205"/>
      <c r="B62" s="698" t="s">
        <v>30</v>
      </c>
      <c r="C62" s="3039" t="s">
        <v>102</v>
      </c>
      <c r="D62" s="459">
        <f>+D63</f>
        <v>0</v>
      </c>
      <c r="E62" s="460">
        <f t="shared" si="59"/>
        <v>0</v>
      </c>
      <c r="F62" s="460">
        <f t="shared" si="59"/>
        <v>0</v>
      </c>
      <c r="G62" s="460">
        <f t="shared" si="59"/>
        <v>0</v>
      </c>
      <c r="H62" s="460">
        <f t="shared" si="59"/>
        <v>0</v>
      </c>
      <c r="I62" s="460">
        <f t="shared" si="59"/>
        <v>0</v>
      </c>
      <c r="J62" s="460">
        <f t="shared" si="59"/>
        <v>0</v>
      </c>
      <c r="K62" s="460">
        <f t="shared" si="59"/>
        <v>0</v>
      </c>
      <c r="L62" s="460">
        <f t="shared" si="59"/>
        <v>0</v>
      </c>
      <c r="M62" s="460">
        <f t="shared" si="59"/>
        <v>0</v>
      </c>
      <c r="N62" s="460">
        <f t="shared" si="59"/>
        <v>0</v>
      </c>
      <c r="O62" s="460">
        <f t="shared" si="60"/>
        <v>0</v>
      </c>
      <c r="P62" s="460">
        <f t="shared" si="60"/>
        <v>0</v>
      </c>
      <c r="Q62" s="460">
        <f t="shared" si="60"/>
        <v>0</v>
      </c>
      <c r="R62" s="460">
        <f t="shared" si="60"/>
        <v>0</v>
      </c>
      <c r="S62" s="460">
        <f t="shared" si="60"/>
        <v>0</v>
      </c>
      <c r="T62" s="460">
        <f t="shared" si="60"/>
        <v>0</v>
      </c>
      <c r="U62" s="460">
        <f t="shared" si="60"/>
        <v>0</v>
      </c>
      <c r="V62" s="460">
        <f t="shared" si="60"/>
        <v>0</v>
      </c>
      <c r="W62" s="460">
        <f t="shared" si="60"/>
        <v>0</v>
      </c>
      <c r="X62" s="2953"/>
      <c r="Y62" s="3423"/>
    </row>
    <row r="63" spans="1:29" s="1283" customFormat="1" ht="12" hidden="1" customHeight="1" thickBot="1">
      <c r="A63" s="3206"/>
      <c r="B63" s="2664" t="s">
        <v>33</v>
      </c>
      <c r="C63" s="2995"/>
      <c r="D63" s="466">
        <f>+M63+O63+P63+Q63+R63+S63+T63+U63+V63+W63</f>
        <v>0</v>
      </c>
      <c r="E63" s="491">
        <v>0</v>
      </c>
      <c r="F63" s="492"/>
      <c r="G63" s="491"/>
      <c r="H63" s="491"/>
      <c r="I63" s="491">
        <v>0</v>
      </c>
      <c r="J63" s="491">
        <v>0</v>
      </c>
      <c r="K63" s="491">
        <v>0</v>
      </c>
      <c r="L63" s="491">
        <v>0</v>
      </c>
      <c r="M63" s="456">
        <v>0</v>
      </c>
      <c r="N63" s="492"/>
      <c r="O63" s="491">
        <v>0</v>
      </c>
      <c r="P63" s="491">
        <v>0</v>
      </c>
      <c r="Q63" s="491">
        <v>0</v>
      </c>
      <c r="R63" s="491">
        <v>0</v>
      </c>
      <c r="S63" s="491">
        <v>0</v>
      </c>
      <c r="T63" s="491">
        <v>0</v>
      </c>
      <c r="U63" s="491">
        <v>0</v>
      </c>
      <c r="V63" s="491">
        <v>0</v>
      </c>
      <c r="W63" s="491">
        <v>0</v>
      </c>
      <c r="X63" s="2954"/>
      <c r="Y63" s="3194"/>
    </row>
    <row r="64" spans="1:29" s="1283" customFormat="1" ht="39.75" hidden="1" customHeight="1">
      <c r="A64" s="3204" t="s">
        <v>81</v>
      </c>
      <c r="B64" s="717"/>
      <c r="C64" s="2662" t="s">
        <v>98</v>
      </c>
      <c r="D64" s="727"/>
      <c r="E64" s="697"/>
      <c r="F64" s="697"/>
      <c r="G64" s="697"/>
      <c r="H64" s="697"/>
      <c r="I64" s="697"/>
      <c r="J64" s="697"/>
      <c r="K64" s="697"/>
      <c r="L64" s="719"/>
      <c r="M64" s="719"/>
      <c r="N64" s="719"/>
      <c r="O64" s="719"/>
      <c r="P64" s="720"/>
      <c r="Q64" s="720"/>
      <c r="R64" s="720"/>
      <c r="S64" s="720"/>
      <c r="T64" s="719"/>
      <c r="U64" s="719"/>
      <c r="V64" s="719"/>
      <c r="W64" s="719"/>
      <c r="X64" s="721"/>
      <c r="Y64" s="3187" t="s">
        <v>316</v>
      </c>
    </row>
    <row r="65" spans="1:26" s="1283" customFormat="1" ht="14.25" hidden="1" customHeight="1">
      <c r="A65" s="3205"/>
      <c r="B65" s="1279" t="s">
        <v>22</v>
      </c>
      <c r="C65" s="375"/>
      <c r="D65" s="1276">
        <f t="shared" ref="D65:X66" si="61">+D66</f>
        <v>0</v>
      </c>
      <c r="E65" s="1276">
        <f t="shared" si="61"/>
        <v>0</v>
      </c>
      <c r="F65" s="1276">
        <f t="shared" si="61"/>
        <v>0</v>
      </c>
      <c r="G65" s="1276">
        <f t="shared" si="61"/>
        <v>0</v>
      </c>
      <c r="H65" s="1276">
        <f t="shared" si="61"/>
        <v>0</v>
      </c>
      <c r="I65" s="1276">
        <f t="shared" si="61"/>
        <v>0</v>
      </c>
      <c r="J65" s="1276">
        <f t="shared" si="61"/>
        <v>0</v>
      </c>
      <c r="K65" s="1276">
        <f t="shared" si="61"/>
        <v>0</v>
      </c>
      <c r="L65" s="1276">
        <f t="shared" si="61"/>
        <v>0</v>
      </c>
      <c r="M65" s="1276">
        <f t="shared" si="61"/>
        <v>0</v>
      </c>
      <c r="N65" s="1276">
        <f t="shared" si="61"/>
        <v>0</v>
      </c>
      <c r="O65" s="1276">
        <f t="shared" si="61"/>
        <v>0</v>
      </c>
      <c r="P65" s="1276">
        <f t="shared" si="61"/>
        <v>0</v>
      </c>
      <c r="Q65" s="1276">
        <f t="shared" si="61"/>
        <v>0</v>
      </c>
      <c r="R65" s="1276">
        <f t="shared" si="61"/>
        <v>0</v>
      </c>
      <c r="S65" s="1276">
        <f t="shared" si="61"/>
        <v>0</v>
      </c>
      <c r="T65" s="1276">
        <f t="shared" si="61"/>
        <v>0</v>
      </c>
      <c r="U65" s="1276">
        <f t="shared" si="61"/>
        <v>0</v>
      </c>
      <c r="V65" s="1276">
        <f t="shared" si="61"/>
        <v>0</v>
      </c>
      <c r="W65" s="1276">
        <f t="shared" si="61"/>
        <v>0</v>
      </c>
      <c r="X65" s="1272">
        <f t="shared" si="61"/>
        <v>0</v>
      </c>
      <c r="Y65" s="3188"/>
    </row>
    <row r="66" spans="1:26" s="1283" customFormat="1" ht="14.25" hidden="1" customHeight="1">
      <c r="A66" s="3205"/>
      <c r="B66" s="1280" t="s">
        <v>30</v>
      </c>
      <c r="C66" s="3013" t="s">
        <v>227</v>
      </c>
      <c r="D66" s="1274">
        <f t="shared" si="61"/>
        <v>0</v>
      </c>
      <c r="E66" s="1275">
        <f t="shared" si="61"/>
        <v>0</v>
      </c>
      <c r="F66" s="1275">
        <f t="shared" si="61"/>
        <v>0</v>
      </c>
      <c r="G66" s="1275">
        <f t="shared" si="61"/>
        <v>0</v>
      </c>
      <c r="H66" s="1275">
        <f t="shared" si="61"/>
        <v>0</v>
      </c>
      <c r="I66" s="1281">
        <f t="shared" si="61"/>
        <v>0</v>
      </c>
      <c r="J66" s="1281">
        <f t="shared" si="61"/>
        <v>0</v>
      </c>
      <c r="K66" s="1281">
        <f t="shared" si="61"/>
        <v>0</v>
      </c>
      <c r="L66" s="1281">
        <f t="shared" si="61"/>
        <v>0</v>
      </c>
      <c r="M66" s="1281">
        <f t="shared" si="61"/>
        <v>0</v>
      </c>
      <c r="N66" s="1282">
        <f>N67</f>
        <v>0</v>
      </c>
      <c r="O66" s="1282">
        <v>0</v>
      </c>
      <c r="P66" s="1282">
        <v>0</v>
      </c>
      <c r="Q66" s="1282">
        <v>0</v>
      </c>
      <c r="R66" s="1282">
        <v>0</v>
      </c>
      <c r="S66" s="1282">
        <v>0</v>
      </c>
      <c r="T66" s="1282">
        <v>0</v>
      </c>
      <c r="U66" s="1282">
        <v>0</v>
      </c>
      <c r="V66" s="1282">
        <v>0</v>
      </c>
      <c r="W66" s="1282">
        <v>0</v>
      </c>
      <c r="X66" s="1256">
        <f t="shared" si="61"/>
        <v>0</v>
      </c>
      <c r="Y66" s="3423"/>
    </row>
    <row r="67" spans="1:26" s="1283" customFormat="1" ht="11.25" hidden="1" customHeight="1">
      <c r="A67" s="3205"/>
      <c r="B67" s="1067" t="s">
        <v>33</v>
      </c>
      <c r="C67" s="2994"/>
      <c r="D67" s="1271">
        <f>+M67+O67+P67+Q67+R67+S67+T67+U67+V67+W67</f>
        <v>0</v>
      </c>
      <c r="E67" s="1263">
        <v>0</v>
      </c>
      <c r="F67" s="1273">
        <v>0</v>
      </c>
      <c r="G67" s="1273"/>
      <c r="H67" s="1263"/>
      <c r="I67" s="1263">
        <v>0</v>
      </c>
      <c r="J67" s="1263">
        <v>0</v>
      </c>
      <c r="K67" s="1263">
        <v>0</v>
      </c>
      <c r="L67" s="1263">
        <v>0</v>
      </c>
      <c r="M67" s="1259">
        <v>0</v>
      </c>
      <c r="N67" s="1273">
        <f>14000-14000</f>
        <v>0</v>
      </c>
      <c r="O67" s="1273">
        <v>0</v>
      </c>
      <c r="P67" s="1273">
        <v>0</v>
      </c>
      <c r="Q67" s="1273">
        <v>0</v>
      </c>
      <c r="R67" s="1273">
        <v>0</v>
      </c>
      <c r="S67" s="1273">
        <v>0</v>
      </c>
      <c r="T67" s="1273">
        <v>0</v>
      </c>
      <c r="U67" s="1273">
        <v>0</v>
      </c>
      <c r="V67" s="1273">
        <v>0</v>
      </c>
      <c r="W67" s="1273">
        <v>0</v>
      </c>
      <c r="X67" s="1278">
        <f>+P67+Q67+R67+S67</f>
        <v>0</v>
      </c>
      <c r="Y67" s="3423"/>
    </row>
    <row r="68" spans="1:26" s="1283" customFormat="1" ht="13.5" hidden="1" customHeight="1">
      <c r="A68" s="3205"/>
      <c r="B68" s="374" t="s">
        <v>34</v>
      </c>
      <c r="C68" s="375"/>
      <c r="D68" s="1276">
        <f>+D69</f>
        <v>0</v>
      </c>
      <c r="E68" s="1276">
        <f t="shared" ref="E68:N69" si="62">+E69</f>
        <v>0</v>
      </c>
      <c r="F68" s="1276">
        <f t="shared" si="62"/>
        <v>0</v>
      </c>
      <c r="G68" s="1276">
        <f t="shared" si="62"/>
        <v>0</v>
      </c>
      <c r="H68" s="1276">
        <f t="shared" si="62"/>
        <v>0</v>
      </c>
      <c r="I68" s="1276">
        <f t="shared" si="62"/>
        <v>0</v>
      </c>
      <c r="J68" s="1276">
        <f t="shared" si="62"/>
        <v>0</v>
      </c>
      <c r="K68" s="1276">
        <f t="shared" si="62"/>
        <v>0</v>
      </c>
      <c r="L68" s="1276">
        <f t="shared" si="62"/>
        <v>0</v>
      </c>
      <c r="M68" s="1276">
        <f t="shared" si="62"/>
        <v>0</v>
      </c>
      <c r="N68" s="1276">
        <f t="shared" si="62"/>
        <v>0</v>
      </c>
      <c r="O68" s="1276">
        <f t="shared" ref="O68:W69" si="63">O69</f>
        <v>0</v>
      </c>
      <c r="P68" s="1276">
        <f t="shared" si="63"/>
        <v>0</v>
      </c>
      <c r="Q68" s="1276">
        <f t="shared" si="63"/>
        <v>0</v>
      </c>
      <c r="R68" s="1276">
        <f t="shared" si="63"/>
        <v>0</v>
      </c>
      <c r="S68" s="1276">
        <f t="shared" si="63"/>
        <v>0</v>
      </c>
      <c r="T68" s="1276">
        <f t="shared" si="63"/>
        <v>0</v>
      </c>
      <c r="U68" s="1276">
        <f t="shared" si="63"/>
        <v>0</v>
      </c>
      <c r="V68" s="1276">
        <f t="shared" si="63"/>
        <v>0</v>
      </c>
      <c r="W68" s="1276">
        <f t="shared" si="63"/>
        <v>0</v>
      </c>
      <c r="X68" s="3416" t="s">
        <v>77</v>
      </c>
      <c r="Y68" s="3423"/>
    </row>
    <row r="69" spans="1:26" s="1283" customFormat="1" ht="12" hidden="1" customHeight="1">
      <c r="A69" s="3205"/>
      <c r="B69" s="698" t="s">
        <v>30</v>
      </c>
      <c r="C69" s="3415" t="s">
        <v>102</v>
      </c>
      <c r="D69" s="1274">
        <f>+D70</f>
        <v>0</v>
      </c>
      <c r="E69" s="1275">
        <f t="shared" si="62"/>
        <v>0</v>
      </c>
      <c r="F69" s="1275">
        <f t="shared" si="62"/>
        <v>0</v>
      </c>
      <c r="G69" s="1275">
        <f t="shared" si="62"/>
        <v>0</v>
      </c>
      <c r="H69" s="1275">
        <f t="shared" si="62"/>
        <v>0</v>
      </c>
      <c r="I69" s="1275">
        <f t="shared" si="62"/>
        <v>0</v>
      </c>
      <c r="J69" s="1275">
        <f t="shared" si="62"/>
        <v>0</v>
      </c>
      <c r="K69" s="1275">
        <f t="shared" si="62"/>
        <v>0</v>
      </c>
      <c r="L69" s="1275">
        <f t="shared" si="62"/>
        <v>0</v>
      </c>
      <c r="M69" s="1275">
        <f t="shared" si="62"/>
        <v>0</v>
      </c>
      <c r="N69" s="1275">
        <f t="shared" si="62"/>
        <v>0</v>
      </c>
      <c r="O69" s="1275">
        <f t="shared" si="63"/>
        <v>0</v>
      </c>
      <c r="P69" s="1275">
        <f t="shared" si="63"/>
        <v>0</v>
      </c>
      <c r="Q69" s="1275">
        <f t="shared" si="63"/>
        <v>0</v>
      </c>
      <c r="R69" s="1275">
        <f t="shared" si="63"/>
        <v>0</v>
      </c>
      <c r="S69" s="1275">
        <f t="shared" si="63"/>
        <v>0</v>
      </c>
      <c r="T69" s="1275">
        <f t="shared" si="63"/>
        <v>0</v>
      </c>
      <c r="U69" s="1275">
        <f t="shared" si="63"/>
        <v>0</v>
      </c>
      <c r="V69" s="1275">
        <f t="shared" si="63"/>
        <v>0</v>
      </c>
      <c r="W69" s="1275">
        <f t="shared" si="63"/>
        <v>0</v>
      </c>
      <c r="X69" s="2953"/>
      <c r="Y69" s="3423"/>
    </row>
    <row r="70" spans="1:26" s="1283" customFormat="1" ht="13.5" hidden="1" thickBot="1">
      <c r="A70" s="3206"/>
      <c r="B70" s="2664" t="s">
        <v>33</v>
      </c>
      <c r="C70" s="2995"/>
      <c r="D70" s="533">
        <f>+M70+O70+P70+Q70+R70+S70+T70+U70+V70+W70</f>
        <v>0</v>
      </c>
      <c r="E70" s="491">
        <v>0</v>
      </c>
      <c r="F70" s="492"/>
      <c r="G70" s="491"/>
      <c r="H70" s="491"/>
      <c r="I70" s="491">
        <v>0</v>
      </c>
      <c r="J70" s="491">
        <v>0</v>
      </c>
      <c r="K70" s="491">
        <v>0</v>
      </c>
      <c r="L70" s="491">
        <v>0</v>
      </c>
      <c r="M70" s="491">
        <v>0</v>
      </c>
      <c r="N70" s="492">
        <v>0</v>
      </c>
      <c r="O70" s="491">
        <f>14000-14000</f>
        <v>0</v>
      </c>
      <c r="P70" s="491">
        <v>0</v>
      </c>
      <c r="Q70" s="491">
        <v>0</v>
      </c>
      <c r="R70" s="491">
        <v>0</v>
      </c>
      <c r="S70" s="491">
        <v>0</v>
      </c>
      <c r="T70" s="491">
        <v>0</v>
      </c>
      <c r="U70" s="491">
        <v>0</v>
      </c>
      <c r="V70" s="491">
        <v>0</v>
      </c>
      <c r="W70" s="491">
        <v>0</v>
      </c>
      <c r="X70" s="2954"/>
      <c r="Y70" s="3299"/>
    </row>
    <row r="71" spans="1:26" s="1283" customFormat="1" ht="30" hidden="1" customHeight="1">
      <c r="A71" s="3204" t="s">
        <v>82</v>
      </c>
      <c r="B71" s="717"/>
      <c r="C71" s="2662" t="s">
        <v>229</v>
      </c>
      <c r="D71" s="727"/>
      <c r="E71" s="697"/>
      <c r="F71" s="697"/>
      <c r="G71" s="697"/>
      <c r="H71" s="697"/>
      <c r="I71" s="697"/>
      <c r="J71" s="697"/>
      <c r="K71" s="697"/>
      <c r="L71" s="719"/>
      <c r="M71" s="719"/>
      <c r="N71" s="719"/>
      <c r="O71" s="719"/>
      <c r="P71" s="720"/>
      <c r="Q71" s="720"/>
      <c r="R71" s="720"/>
      <c r="S71" s="720"/>
      <c r="T71" s="719"/>
      <c r="U71" s="719"/>
      <c r="V71" s="719"/>
      <c r="W71" s="719"/>
      <c r="X71" s="721"/>
      <c r="Y71" s="3187" t="s">
        <v>316</v>
      </c>
    </row>
    <row r="72" spans="1:26" s="1283" customFormat="1" ht="12.75" hidden="1">
      <c r="A72" s="3205"/>
      <c r="B72" s="399" t="s">
        <v>22</v>
      </c>
      <c r="C72" s="375"/>
      <c r="D72" s="464">
        <f t="shared" ref="D72:X73" si="64">+D73</f>
        <v>0</v>
      </c>
      <c r="E72" s="464">
        <f t="shared" si="64"/>
        <v>0</v>
      </c>
      <c r="F72" s="464">
        <f t="shared" si="64"/>
        <v>0</v>
      </c>
      <c r="G72" s="464">
        <f t="shared" si="64"/>
        <v>0</v>
      </c>
      <c r="H72" s="464">
        <f t="shared" si="64"/>
        <v>0</v>
      </c>
      <c r="I72" s="464">
        <f t="shared" si="64"/>
        <v>0</v>
      </c>
      <c r="J72" s="464">
        <f t="shared" si="64"/>
        <v>0</v>
      </c>
      <c r="K72" s="464">
        <f t="shared" si="64"/>
        <v>0</v>
      </c>
      <c r="L72" s="464">
        <f t="shared" si="64"/>
        <v>0</v>
      </c>
      <c r="M72" s="464">
        <f t="shared" si="64"/>
        <v>0</v>
      </c>
      <c r="N72" s="464">
        <f t="shared" si="64"/>
        <v>0</v>
      </c>
      <c r="O72" s="464">
        <f t="shared" si="64"/>
        <v>0</v>
      </c>
      <c r="P72" s="464">
        <f t="shared" si="64"/>
        <v>0</v>
      </c>
      <c r="Q72" s="464">
        <f t="shared" si="64"/>
        <v>0</v>
      </c>
      <c r="R72" s="464">
        <f t="shared" si="64"/>
        <v>0</v>
      </c>
      <c r="S72" s="464">
        <f t="shared" si="64"/>
        <v>0</v>
      </c>
      <c r="T72" s="464">
        <f t="shared" si="64"/>
        <v>0</v>
      </c>
      <c r="U72" s="464">
        <f t="shared" si="64"/>
        <v>0</v>
      </c>
      <c r="V72" s="464">
        <f t="shared" si="64"/>
        <v>0</v>
      </c>
      <c r="W72" s="464">
        <f t="shared" si="64"/>
        <v>0</v>
      </c>
      <c r="X72" s="480">
        <f t="shared" si="64"/>
        <v>0</v>
      </c>
      <c r="Y72" s="3188"/>
    </row>
    <row r="73" spans="1:26" s="1283" customFormat="1" ht="12.75" hidden="1" customHeight="1">
      <c r="A73" s="3205"/>
      <c r="B73" s="553" t="s">
        <v>30</v>
      </c>
      <c r="C73" s="2978" t="s">
        <v>227</v>
      </c>
      <c r="D73" s="459">
        <f t="shared" si="64"/>
        <v>0</v>
      </c>
      <c r="E73" s="460">
        <f t="shared" si="64"/>
        <v>0</v>
      </c>
      <c r="F73" s="460">
        <f t="shared" si="64"/>
        <v>0</v>
      </c>
      <c r="G73" s="460">
        <f t="shared" si="64"/>
        <v>0</v>
      </c>
      <c r="H73" s="460">
        <f t="shared" si="64"/>
        <v>0</v>
      </c>
      <c r="I73" s="564">
        <f t="shared" si="64"/>
        <v>0</v>
      </c>
      <c r="J73" s="564">
        <f t="shared" si="64"/>
        <v>0</v>
      </c>
      <c r="K73" s="564">
        <f t="shared" si="64"/>
        <v>0</v>
      </c>
      <c r="L73" s="564">
        <f t="shared" si="64"/>
        <v>0</v>
      </c>
      <c r="M73" s="564">
        <f t="shared" si="64"/>
        <v>0</v>
      </c>
      <c r="N73" s="570">
        <f>N74</f>
        <v>0</v>
      </c>
      <c r="O73" s="570">
        <f>O74</f>
        <v>0</v>
      </c>
      <c r="P73" s="570">
        <v>0</v>
      </c>
      <c r="Q73" s="570">
        <v>0</v>
      </c>
      <c r="R73" s="570">
        <v>0</v>
      </c>
      <c r="S73" s="570">
        <v>0</v>
      </c>
      <c r="T73" s="570">
        <v>0</v>
      </c>
      <c r="U73" s="570">
        <v>0</v>
      </c>
      <c r="V73" s="570">
        <v>0</v>
      </c>
      <c r="W73" s="570">
        <v>0</v>
      </c>
      <c r="X73" s="502">
        <f t="shared" si="64"/>
        <v>0</v>
      </c>
      <c r="Y73" s="3423"/>
    </row>
    <row r="74" spans="1:26" s="1283" customFormat="1" ht="12.75" hidden="1">
      <c r="A74" s="3205"/>
      <c r="B74" s="1067" t="s">
        <v>33</v>
      </c>
      <c r="C74" s="2994"/>
      <c r="D74" s="466">
        <f>+M74+O74+P74+Q74+R74+S74+T74+U74+V74+W74</f>
        <v>0</v>
      </c>
      <c r="E74" s="454">
        <v>0</v>
      </c>
      <c r="F74" s="462">
        <v>0</v>
      </c>
      <c r="G74" s="462"/>
      <c r="H74" s="454"/>
      <c r="I74" s="454">
        <v>0</v>
      </c>
      <c r="J74" s="454">
        <v>0</v>
      </c>
      <c r="K74" s="454">
        <v>0</v>
      </c>
      <c r="L74" s="454">
        <v>0</v>
      </c>
      <c r="M74" s="456">
        <v>0</v>
      </c>
      <c r="N74" s="462"/>
      <c r="O74" s="462">
        <v>0</v>
      </c>
      <c r="P74" s="462">
        <v>0</v>
      </c>
      <c r="Q74" s="462">
        <v>0</v>
      </c>
      <c r="R74" s="462">
        <v>0</v>
      </c>
      <c r="S74" s="462">
        <v>0</v>
      </c>
      <c r="T74" s="462">
        <v>0</v>
      </c>
      <c r="U74" s="462">
        <v>0</v>
      </c>
      <c r="V74" s="462">
        <v>0</v>
      </c>
      <c r="W74" s="462">
        <v>0</v>
      </c>
      <c r="X74" s="370">
        <f>+P74+Q74+R74+S74</f>
        <v>0</v>
      </c>
      <c r="Y74" s="3423"/>
    </row>
    <row r="75" spans="1:26" s="1283" customFormat="1" ht="12.75" hidden="1">
      <c r="A75" s="3205"/>
      <c r="B75" s="374" t="s">
        <v>34</v>
      </c>
      <c r="C75" s="375"/>
      <c r="D75" s="464">
        <f>+D76</f>
        <v>0</v>
      </c>
      <c r="E75" s="464">
        <f t="shared" ref="E75:N76" si="65">+E76</f>
        <v>0</v>
      </c>
      <c r="F75" s="464">
        <f t="shared" si="65"/>
        <v>0</v>
      </c>
      <c r="G75" s="464">
        <f t="shared" si="65"/>
        <v>0</v>
      </c>
      <c r="H75" s="464">
        <f t="shared" si="65"/>
        <v>0</v>
      </c>
      <c r="I75" s="464">
        <f t="shared" si="65"/>
        <v>0</v>
      </c>
      <c r="J75" s="464">
        <f t="shared" si="65"/>
        <v>0</v>
      </c>
      <c r="K75" s="464">
        <f t="shared" si="65"/>
        <v>0</v>
      </c>
      <c r="L75" s="464">
        <f t="shared" si="65"/>
        <v>0</v>
      </c>
      <c r="M75" s="464">
        <f t="shared" si="65"/>
        <v>0</v>
      </c>
      <c r="N75" s="464">
        <f t="shared" si="65"/>
        <v>0</v>
      </c>
      <c r="O75" s="464">
        <f t="shared" ref="O75:W76" si="66">O76</f>
        <v>0</v>
      </c>
      <c r="P75" s="464">
        <f t="shared" si="66"/>
        <v>0</v>
      </c>
      <c r="Q75" s="464">
        <f t="shared" si="66"/>
        <v>0</v>
      </c>
      <c r="R75" s="464">
        <f t="shared" si="66"/>
        <v>0</v>
      </c>
      <c r="S75" s="464">
        <f t="shared" si="66"/>
        <v>0</v>
      </c>
      <c r="T75" s="464">
        <f t="shared" si="66"/>
        <v>0</v>
      </c>
      <c r="U75" s="464">
        <f t="shared" si="66"/>
        <v>0</v>
      </c>
      <c r="V75" s="464">
        <f t="shared" si="66"/>
        <v>0</v>
      </c>
      <c r="W75" s="464">
        <f t="shared" si="66"/>
        <v>0</v>
      </c>
      <c r="X75" s="2952" t="s">
        <v>77</v>
      </c>
      <c r="Y75" s="3423"/>
      <c r="Z75" s="843">
        <f>'[5]Tab. 6H - Kultura fiz. i turyst'!$D$73-D75</f>
        <v>6000000</v>
      </c>
    </row>
    <row r="76" spans="1:26" s="1283" customFormat="1" ht="12" hidden="1" customHeight="1">
      <c r="A76" s="3205"/>
      <c r="B76" s="698" t="s">
        <v>30</v>
      </c>
      <c r="C76" s="3039" t="s">
        <v>102</v>
      </c>
      <c r="D76" s="459">
        <f>+D77</f>
        <v>0</v>
      </c>
      <c r="E76" s="460">
        <f t="shared" si="65"/>
        <v>0</v>
      </c>
      <c r="F76" s="460">
        <f t="shared" si="65"/>
        <v>0</v>
      </c>
      <c r="G76" s="460">
        <f t="shared" si="65"/>
        <v>0</v>
      </c>
      <c r="H76" s="460">
        <f t="shared" si="65"/>
        <v>0</v>
      </c>
      <c r="I76" s="460">
        <f t="shared" si="65"/>
        <v>0</v>
      </c>
      <c r="J76" s="460">
        <f t="shared" si="65"/>
        <v>0</v>
      </c>
      <c r="K76" s="460">
        <f t="shared" si="65"/>
        <v>0</v>
      </c>
      <c r="L76" s="460">
        <f t="shared" si="65"/>
        <v>0</v>
      </c>
      <c r="M76" s="460">
        <f t="shared" si="65"/>
        <v>0</v>
      </c>
      <c r="N76" s="460">
        <f t="shared" si="65"/>
        <v>0</v>
      </c>
      <c r="O76" s="460">
        <f t="shared" si="66"/>
        <v>0</v>
      </c>
      <c r="P76" s="460">
        <f t="shared" si="66"/>
        <v>0</v>
      </c>
      <c r="Q76" s="460">
        <f t="shared" si="66"/>
        <v>0</v>
      </c>
      <c r="R76" s="460">
        <f t="shared" si="66"/>
        <v>0</v>
      </c>
      <c r="S76" s="460">
        <f t="shared" si="66"/>
        <v>0</v>
      </c>
      <c r="T76" s="460">
        <f t="shared" si="66"/>
        <v>0</v>
      </c>
      <c r="U76" s="460">
        <f t="shared" si="66"/>
        <v>0</v>
      </c>
      <c r="V76" s="460">
        <f t="shared" si="66"/>
        <v>0</v>
      </c>
      <c r="W76" s="460">
        <f t="shared" si="66"/>
        <v>0</v>
      </c>
      <c r="X76" s="2953"/>
      <c r="Y76" s="3423"/>
    </row>
    <row r="77" spans="1:26" s="1283" customFormat="1" ht="13.5" hidden="1" thickBot="1">
      <c r="A77" s="3206"/>
      <c r="B77" s="2664" t="s">
        <v>33</v>
      </c>
      <c r="C77" s="2995"/>
      <c r="D77" s="533">
        <f>+M77+O77+P77+Q77+R77+S77+T77+U77+V77+W77</f>
        <v>0</v>
      </c>
      <c r="E77" s="491">
        <v>0</v>
      </c>
      <c r="F77" s="492"/>
      <c r="G77" s="491"/>
      <c r="H77" s="491"/>
      <c r="I77" s="491">
        <v>0</v>
      </c>
      <c r="J77" s="491">
        <v>0</v>
      </c>
      <c r="K77" s="491">
        <v>0</v>
      </c>
      <c r="L77" s="491">
        <v>0</v>
      </c>
      <c r="M77" s="491">
        <v>0</v>
      </c>
      <c r="N77" s="492"/>
      <c r="O77" s="491">
        <v>0</v>
      </c>
      <c r="P77" s="491">
        <v>0</v>
      </c>
      <c r="Q77" s="491">
        <v>0</v>
      </c>
      <c r="R77" s="491">
        <v>0</v>
      </c>
      <c r="S77" s="491">
        <v>0</v>
      </c>
      <c r="T77" s="491">
        <v>0</v>
      </c>
      <c r="U77" s="491">
        <v>0</v>
      </c>
      <c r="V77" s="491">
        <v>0</v>
      </c>
      <c r="W77" s="491">
        <v>0</v>
      </c>
      <c r="X77" s="2954"/>
      <c r="Y77" s="3299"/>
    </row>
    <row r="78" spans="1:26" s="1283" customFormat="1" ht="27.75" customHeight="1">
      <c r="A78" s="3209" t="s">
        <v>79</v>
      </c>
      <c r="B78" s="717" t="s">
        <v>466</v>
      </c>
      <c r="C78" s="2662" t="s">
        <v>229</v>
      </c>
      <c r="D78" s="727"/>
      <c r="E78" s="697"/>
      <c r="F78" s="697"/>
      <c r="G78" s="697"/>
      <c r="H78" s="697"/>
      <c r="I78" s="697"/>
      <c r="J78" s="697"/>
      <c r="K78" s="697"/>
      <c r="L78" s="719"/>
      <c r="M78" s="719"/>
      <c r="N78" s="719"/>
      <c r="O78" s="719"/>
      <c r="P78" s="720"/>
      <c r="Q78" s="720"/>
      <c r="R78" s="720"/>
      <c r="S78" s="720"/>
      <c r="T78" s="719"/>
      <c r="U78" s="719"/>
      <c r="V78" s="719"/>
      <c r="W78" s="719"/>
      <c r="X78" s="721"/>
      <c r="Y78" s="2999" t="s">
        <v>316</v>
      </c>
    </row>
    <row r="79" spans="1:26" s="1283" customFormat="1" ht="12.75">
      <c r="A79" s="3205"/>
      <c r="B79" s="399" t="s">
        <v>22</v>
      </c>
      <c r="C79" s="375"/>
      <c r="D79" s="464">
        <f>I79+J79+K79+L79+N79+O79+P79+Q79+R79</f>
        <v>158934</v>
      </c>
      <c r="E79" s="464">
        <f t="shared" ref="E79:J79" si="67">+E82</f>
        <v>0</v>
      </c>
      <c r="F79" s="464">
        <f t="shared" si="67"/>
        <v>0</v>
      </c>
      <c r="G79" s="464">
        <f t="shared" si="67"/>
        <v>0</v>
      </c>
      <c r="H79" s="464">
        <f t="shared" si="67"/>
        <v>0</v>
      </c>
      <c r="I79" s="464">
        <f>+I82</f>
        <v>0</v>
      </c>
      <c r="J79" s="464">
        <f t="shared" si="67"/>
        <v>0</v>
      </c>
      <c r="K79" s="464">
        <f>K80+K82</f>
        <v>9565</v>
      </c>
      <c r="L79" s="464">
        <f>L80+L82</f>
        <v>52827</v>
      </c>
      <c r="M79" s="464">
        <f>M80+M82</f>
        <v>133659</v>
      </c>
      <c r="N79" s="464">
        <f>N80+N82</f>
        <v>71267</v>
      </c>
      <c r="O79" s="464">
        <f>O80+O82</f>
        <v>17034</v>
      </c>
      <c r="P79" s="464">
        <f t="shared" ref="P79" si="68">P80+P82</f>
        <v>8241</v>
      </c>
      <c r="Q79" s="464">
        <f t="shared" ref="Q79:W79" si="69">+Q82</f>
        <v>0</v>
      </c>
      <c r="R79" s="464">
        <f t="shared" si="69"/>
        <v>0</v>
      </c>
      <c r="S79" s="464">
        <f t="shared" si="69"/>
        <v>0</v>
      </c>
      <c r="T79" s="464">
        <f t="shared" si="69"/>
        <v>0</v>
      </c>
      <c r="U79" s="464">
        <f t="shared" si="69"/>
        <v>0</v>
      </c>
      <c r="V79" s="464">
        <f t="shared" si="69"/>
        <v>0</v>
      </c>
      <c r="W79" s="464">
        <f t="shared" si="69"/>
        <v>0</v>
      </c>
      <c r="X79" s="480">
        <f>+X82+X80</f>
        <v>8241</v>
      </c>
      <c r="Y79" s="3000"/>
    </row>
    <row r="80" spans="1:26" s="1283" customFormat="1" ht="14.25" customHeight="1">
      <c r="A80" s="3205"/>
      <c r="B80" s="1287" t="s">
        <v>36</v>
      </c>
      <c r="C80" s="3013" t="s">
        <v>227</v>
      </c>
      <c r="D80" s="1274">
        <f>D81</f>
        <v>31790</v>
      </c>
      <c r="E80" s="1275"/>
      <c r="F80" s="1275"/>
      <c r="G80" s="1275"/>
      <c r="H80" s="1275"/>
      <c r="I80" s="1281"/>
      <c r="J80" s="1281"/>
      <c r="K80" s="1281">
        <f>K81</f>
        <v>901</v>
      </c>
      <c r="L80" s="1281">
        <f t="shared" ref="L80:P80" si="70">L81</f>
        <v>5252</v>
      </c>
      <c r="M80" s="1281">
        <f t="shared" si="70"/>
        <v>18046</v>
      </c>
      <c r="N80" s="1282">
        <f t="shared" si="70"/>
        <v>11893</v>
      </c>
      <c r="O80" s="1282">
        <f t="shared" si="70"/>
        <v>5503</v>
      </c>
      <c r="P80" s="1282">
        <f t="shared" si="70"/>
        <v>8241</v>
      </c>
      <c r="Q80" s="1282"/>
      <c r="R80" s="1282"/>
      <c r="S80" s="1282"/>
      <c r="T80" s="1282"/>
      <c r="U80" s="1282"/>
      <c r="V80" s="1282"/>
      <c r="W80" s="1282"/>
      <c r="X80" s="1256">
        <f>X81</f>
        <v>8241</v>
      </c>
      <c r="Y80" s="3000"/>
    </row>
    <row r="81" spans="1:26" s="1283" customFormat="1" ht="14.25" customHeight="1">
      <c r="A81" s="3205"/>
      <c r="B81" s="1288" t="s">
        <v>24</v>
      </c>
      <c r="C81" s="2980"/>
      <c r="D81" s="1271">
        <f>+M81+O81+P81+Q81+R81+S81+T81+U81+V81+W81</f>
        <v>31790</v>
      </c>
      <c r="E81" s="1263"/>
      <c r="F81" s="1273"/>
      <c r="G81" s="1273"/>
      <c r="H81" s="1263"/>
      <c r="I81" s="1263"/>
      <c r="J81" s="1263"/>
      <c r="K81" s="1263">
        <f>900+1</f>
        <v>901</v>
      </c>
      <c r="L81" s="1263">
        <v>5252</v>
      </c>
      <c r="M81" s="1259">
        <f>+L81+K81+J81+I81+N81</f>
        <v>18046</v>
      </c>
      <c r="N81" s="1273">
        <v>11893</v>
      </c>
      <c r="O81" s="1273">
        <v>5503</v>
      </c>
      <c r="P81" s="1273">
        <v>8241</v>
      </c>
      <c r="Q81" s="1273"/>
      <c r="R81" s="1273"/>
      <c r="S81" s="1273"/>
      <c r="T81" s="1273"/>
      <c r="U81" s="1273"/>
      <c r="V81" s="1273"/>
      <c r="W81" s="1273"/>
      <c r="X81" s="1278">
        <f>+P81+Q81+R81+S81</f>
        <v>8241</v>
      </c>
      <c r="Y81" s="3000"/>
    </row>
    <row r="82" spans="1:26" s="1283" customFormat="1" ht="12.75" customHeight="1">
      <c r="A82" s="3205"/>
      <c r="B82" s="553" t="s">
        <v>30</v>
      </c>
      <c r="C82" s="2980"/>
      <c r="D82" s="459">
        <f>I82+J82+K82+L82+N82+O82+P82+Q82+R82</f>
        <v>127144</v>
      </c>
      <c r="E82" s="460">
        <f t="shared" ref="E82:X82" si="71">+E83</f>
        <v>0</v>
      </c>
      <c r="F82" s="460">
        <f t="shared" si="71"/>
        <v>0</v>
      </c>
      <c r="G82" s="460">
        <f t="shared" si="71"/>
        <v>0</v>
      </c>
      <c r="H82" s="460">
        <f t="shared" si="71"/>
        <v>0</v>
      </c>
      <c r="I82" s="564">
        <f t="shared" si="71"/>
        <v>0</v>
      </c>
      <c r="J82" s="564">
        <f t="shared" si="71"/>
        <v>0</v>
      </c>
      <c r="K82" s="564">
        <f t="shared" si="71"/>
        <v>8664</v>
      </c>
      <c r="L82" s="564">
        <f t="shared" si="71"/>
        <v>47575</v>
      </c>
      <c r="M82" s="564">
        <f t="shared" si="71"/>
        <v>115613</v>
      </c>
      <c r="N82" s="570">
        <f>N83</f>
        <v>59374</v>
      </c>
      <c r="O82" s="570">
        <f>O83</f>
        <v>11531</v>
      </c>
      <c r="P82" s="570">
        <v>0</v>
      </c>
      <c r="Q82" s="570">
        <v>0</v>
      </c>
      <c r="R82" s="570">
        <v>0</v>
      </c>
      <c r="S82" s="570">
        <v>0</v>
      </c>
      <c r="T82" s="570">
        <v>0</v>
      </c>
      <c r="U82" s="570">
        <v>0</v>
      </c>
      <c r="V82" s="570">
        <v>0</v>
      </c>
      <c r="W82" s="570">
        <v>0</v>
      </c>
      <c r="X82" s="502">
        <f t="shared" si="71"/>
        <v>0</v>
      </c>
      <c r="Y82" s="2992"/>
    </row>
    <row r="83" spans="1:26" s="1283" customFormat="1" ht="12.75">
      <c r="A83" s="3205"/>
      <c r="B83" s="1067" t="s">
        <v>33</v>
      </c>
      <c r="C83" s="2981"/>
      <c r="D83" s="466">
        <f>+M83+O83+P83+Q83+R83+S83+T83+U83+V83+W83</f>
        <v>127144</v>
      </c>
      <c r="E83" s="454"/>
      <c r="F83" s="462">
        <v>0</v>
      </c>
      <c r="G83" s="462"/>
      <c r="H83" s="454"/>
      <c r="I83" s="454"/>
      <c r="J83" s="454"/>
      <c r="K83" s="454">
        <f>8664</f>
        <v>8664</v>
      </c>
      <c r="L83" s="454">
        <v>47575</v>
      </c>
      <c r="M83" s="456">
        <f>+L83+K83+J83+I83+N83</f>
        <v>115613</v>
      </c>
      <c r="N83" s="462">
        <f>621201-549933-11894</f>
        <v>59374</v>
      </c>
      <c r="O83" s="462">
        <f>549933-238401-300001</f>
        <v>11531</v>
      </c>
      <c r="P83" s="462">
        <v>0</v>
      </c>
      <c r="Q83" s="462">
        <v>0</v>
      </c>
      <c r="R83" s="462">
        <v>0</v>
      </c>
      <c r="S83" s="462">
        <v>0</v>
      </c>
      <c r="T83" s="462">
        <v>0</v>
      </c>
      <c r="U83" s="462">
        <v>0</v>
      </c>
      <c r="V83" s="462">
        <v>0</v>
      </c>
      <c r="W83" s="462">
        <v>0</v>
      </c>
      <c r="X83" s="370">
        <f>+P83+Q83+R83+S83</f>
        <v>0</v>
      </c>
      <c r="Y83" s="2992"/>
    </row>
    <row r="84" spans="1:26" s="1283" customFormat="1" ht="12.75">
      <c r="A84" s="3205"/>
      <c r="B84" s="374" t="s">
        <v>34</v>
      </c>
      <c r="C84" s="375"/>
      <c r="D84" s="464">
        <f t="shared" ref="D84:D85" si="72">I84+J84+K84+L84+N84+O84+P84+Q84+R84</f>
        <v>127144</v>
      </c>
      <c r="E84" s="464">
        <f t="shared" ref="E84:N85" si="73">+E85</f>
        <v>0</v>
      </c>
      <c r="F84" s="464">
        <f t="shared" si="73"/>
        <v>0</v>
      </c>
      <c r="G84" s="464">
        <f t="shared" si="73"/>
        <v>0</v>
      </c>
      <c r="H84" s="464">
        <f t="shared" si="73"/>
        <v>0</v>
      </c>
      <c r="I84" s="464">
        <f t="shared" si="73"/>
        <v>0</v>
      </c>
      <c r="J84" s="464">
        <f t="shared" si="73"/>
        <v>0</v>
      </c>
      <c r="K84" s="464">
        <f t="shared" si="73"/>
        <v>0</v>
      </c>
      <c r="L84" s="464">
        <f t="shared" si="73"/>
        <v>0</v>
      </c>
      <c r="M84" s="464">
        <f t="shared" si="73"/>
        <v>0</v>
      </c>
      <c r="N84" s="464">
        <f t="shared" si="73"/>
        <v>0</v>
      </c>
      <c r="O84" s="464">
        <f t="shared" ref="O84:W85" si="74">O85</f>
        <v>127144</v>
      </c>
      <c r="P84" s="464">
        <f t="shared" si="74"/>
        <v>0</v>
      </c>
      <c r="Q84" s="464">
        <f t="shared" si="74"/>
        <v>0</v>
      </c>
      <c r="R84" s="464">
        <f t="shared" si="74"/>
        <v>0</v>
      </c>
      <c r="S84" s="464">
        <f t="shared" si="74"/>
        <v>0</v>
      </c>
      <c r="T84" s="464">
        <f t="shared" si="74"/>
        <v>0</v>
      </c>
      <c r="U84" s="464">
        <f t="shared" si="74"/>
        <v>0</v>
      </c>
      <c r="V84" s="464">
        <f t="shared" si="74"/>
        <v>0</v>
      </c>
      <c r="W84" s="464">
        <f t="shared" si="74"/>
        <v>0</v>
      </c>
      <c r="X84" s="2952" t="s">
        <v>77</v>
      </c>
      <c r="Y84" s="2992"/>
      <c r="Z84" s="843">
        <f>'[5]Tab. 6H - Kultura fiz. i turyst'!$D$80-D84</f>
        <v>556448</v>
      </c>
    </row>
    <row r="85" spans="1:26" s="1283" customFormat="1" ht="12.75" customHeight="1">
      <c r="A85" s="3205"/>
      <c r="B85" s="698" t="s">
        <v>30</v>
      </c>
      <c r="C85" s="3039" t="s">
        <v>102</v>
      </c>
      <c r="D85" s="459">
        <f t="shared" si="72"/>
        <v>127144</v>
      </c>
      <c r="E85" s="460">
        <f t="shared" si="73"/>
        <v>0</v>
      </c>
      <c r="F85" s="460">
        <f t="shared" si="73"/>
        <v>0</v>
      </c>
      <c r="G85" s="460">
        <f t="shared" si="73"/>
        <v>0</v>
      </c>
      <c r="H85" s="460">
        <f t="shared" si="73"/>
        <v>0</v>
      </c>
      <c r="I85" s="460">
        <f t="shared" si="73"/>
        <v>0</v>
      </c>
      <c r="J85" s="460">
        <f t="shared" si="73"/>
        <v>0</v>
      </c>
      <c r="K85" s="460">
        <f t="shared" si="73"/>
        <v>0</v>
      </c>
      <c r="L85" s="460">
        <f t="shared" si="73"/>
        <v>0</v>
      </c>
      <c r="M85" s="460">
        <f t="shared" si="73"/>
        <v>0</v>
      </c>
      <c r="N85" s="460">
        <f t="shared" si="73"/>
        <v>0</v>
      </c>
      <c r="O85" s="460">
        <f t="shared" si="74"/>
        <v>127144</v>
      </c>
      <c r="P85" s="460">
        <f t="shared" si="74"/>
        <v>0</v>
      </c>
      <c r="Q85" s="460">
        <f t="shared" si="74"/>
        <v>0</v>
      </c>
      <c r="R85" s="460">
        <f t="shared" si="74"/>
        <v>0</v>
      </c>
      <c r="S85" s="460">
        <f t="shared" si="74"/>
        <v>0</v>
      </c>
      <c r="T85" s="460">
        <f t="shared" si="74"/>
        <v>0</v>
      </c>
      <c r="U85" s="460">
        <f t="shared" si="74"/>
        <v>0</v>
      </c>
      <c r="V85" s="460">
        <f t="shared" si="74"/>
        <v>0</v>
      </c>
      <c r="W85" s="460">
        <f t="shared" si="74"/>
        <v>0</v>
      </c>
      <c r="X85" s="2953"/>
      <c r="Y85" s="2992"/>
    </row>
    <row r="86" spans="1:26" s="1283" customFormat="1" ht="13.5" thickBot="1">
      <c r="A86" s="3206"/>
      <c r="B86" s="2664" t="s">
        <v>33</v>
      </c>
      <c r="C86" s="2995"/>
      <c r="D86" s="466">
        <f>+M86+O86+P86+Q86+R86+S86+T86+U86+V86+W86</f>
        <v>127144</v>
      </c>
      <c r="E86" s="491"/>
      <c r="F86" s="492"/>
      <c r="G86" s="491"/>
      <c r="H86" s="491"/>
      <c r="I86" s="491">
        <v>0</v>
      </c>
      <c r="J86" s="491">
        <v>0</v>
      </c>
      <c r="K86" s="491">
        <v>0</v>
      </c>
      <c r="L86" s="491">
        <v>0</v>
      </c>
      <c r="M86" s="456">
        <f>+L86+K86+J86+I86+N86</f>
        <v>0</v>
      </c>
      <c r="N86" s="492">
        <v>0</v>
      </c>
      <c r="O86" s="491">
        <f>683592-238401-318047</f>
        <v>127144</v>
      </c>
      <c r="P86" s="491">
        <v>0</v>
      </c>
      <c r="Q86" s="491">
        <v>0</v>
      </c>
      <c r="R86" s="491">
        <v>0</v>
      </c>
      <c r="S86" s="491">
        <v>0</v>
      </c>
      <c r="T86" s="491">
        <v>0</v>
      </c>
      <c r="U86" s="491">
        <v>0</v>
      </c>
      <c r="V86" s="491">
        <v>0</v>
      </c>
      <c r="W86" s="491">
        <v>0</v>
      </c>
      <c r="X86" s="2954"/>
      <c r="Y86" s="3422"/>
    </row>
    <row r="87" spans="1:26" s="1283" customFormat="1" ht="27.75" customHeight="1">
      <c r="A87" s="3209" t="s">
        <v>80</v>
      </c>
      <c r="B87" s="717" t="s">
        <v>348</v>
      </c>
      <c r="C87" s="2662" t="s">
        <v>98</v>
      </c>
      <c r="D87" s="727"/>
      <c r="E87" s="697"/>
      <c r="F87" s="697"/>
      <c r="G87" s="697"/>
      <c r="H87" s="697"/>
      <c r="I87" s="697"/>
      <c r="J87" s="697"/>
      <c r="K87" s="697"/>
      <c r="L87" s="719"/>
      <c r="M87" s="719"/>
      <c r="N87" s="719"/>
      <c r="O87" s="719"/>
      <c r="P87" s="720"/>
      <c r="Q87" s="720"/>
      <c r="R87" s="720"/>
      <c r="S87" s="720"/>
      <c r="T87" s="719"/>
      <c r="U87" s="719"/>
      <c r="V87" s="719"/>
      <c r="W87" s="719"/>
      <c r="X87" s="721"/>
      <c r="Y87" s="3188" t="s">
        <v>316</v>
      </c>
    </row>
    <row r="88" spans="1:26" s="1283" customFormat="1" ht="12.75">
      <c r="A88" s="3205"/>
      <c r="B88" s="399" t="s">
        <v>22</v>
      </c>
      <c r="C88" s="375"/>
      <c r="D88" s="464">
        <f>D89</f>
        <v>238401</v>
      </c>
      <c r="E88" s="464">
        <f t="shared" ref="E88:X89" si="75">+E89</f>
        <v>0</v>
      </c>
      <c r="F88" s="464">
        <f t="shared" si="75"/>
        <v>0</v>
      </c>
      <c r="G88" s="464">
        <f t="shared" si="75"/>
        <v>0</v>
      </c>
      <c r="H88" s="464">
        <f t="shared" si="75"/>
        <v>0</v>
      </c>
      <c r="I88" s="464">
        <f t="shared" si="75"/>
        <v>0</v>
      </c>
      <c r="J88" s="464">
        <f t="shared" si="75"/>
        <v>0</v>
      </c>
      <c r="K88" s="464">
        <f t="shared" si="75"/>
        <v>0</v>
      </c>
      <c r="L88" s="464">
        <f t="shared" si="75"/>
        <v>0</v>
      </c>
      <c r="M88" s="464">
        <f t="shared" si="75"/>
        <v>0</v>
      </c>
      <c r="N88" s="464">
        <f t="shared" si="75"/>
        <v>0</v>
      </c>
      <c r="O88" s="464">
        <f t="shared" si="75"/>
        <v>238401</v>
      </c>
      <c r="P88" s="464">
        <f t="shared" si="75"/>
        <v>0</v>
      </c>
      <c r="Q88" s="464">
        <f t="shared" si="75"/>
        <v>0</v>
      </c>
      <c r="R88" s="464">
        <f t="shared" si="75"/>
        <v>0</v>
      </c>
      <c r="S88" s="464">
        <f t="shared" si="75"/>
        <v>0</v>
      </c>
      <c r="T88" s="464">
        <f t="shared" si="75"/>
        <v>0</v>
      </c>
      <c r="U88" s="464">
        <f t="shared" si="75"/>
        <v>0</v>
      </c>
      <c r="V88" s="464">
        <f t="shared" si="75"/>
        <v>0</v>
      </c>
      <c r="W88" s="464">
        <f t="shared" si="75"/>
        <v>0</v>
      </c>
      <c r="X88" s="480">
        <f t="shared" si="75"/>
        <v>0</v>
      </c>
      <c r="Y88" s="3188"/>
    </row>
    <row r="89" spans="1:26" s="1283" customFormat="1" ht="12.75">
      <c r="A89" s="3205"/>
      <c r="B89" s="553" t="s">
        <v>30</v>
      </c>
      <c r="C89" s="2978" t="s">
        <v>227</v>
      </c>
      <c r="D89" s="459">
        <f>D90</f>
        <v>238401</v>
      </c>
      <c r="E89" s="460">
        <f t="shared" si="75"/>
        <v>0</v>
      </c>
      <c r="F89" s="460">
        <f t="shared" si="75"/>
        <v>0</v>
      </c>
      <c r="G89" s="460">
        <f t="shared" si="75"/>
        <v>0</v>
      </c>
      <c r="H89" s="460">
        <f t="shared" si="75"/>
        <v>0</v>
      </c>
      <c r="I89" s="564">
        <f t="shared" si="75"/>
        <v>0</v>
      </c>
      <c r="J89" s="564">
        <f t="shared" si="75"/>
        <v>0</v>
      </c>
      <c r="K89" s="564">
        <f t="shared" si="75"/>
        <v>0</v>
      </c>
      <c r="L89" s="564">
        <f t="shared" si="75"/>
        <v>0</v>
      </c>
      <c r="M89" s="564">
        <f t="shared" si="75"/>
        <v>0</v>
      </c>
      <c r="N89" s="570">
        <f>N90</f>
        <v>0</v>
      </c>
      <c r="O89" s="570">
        <f>O90</f>
        <v>238401</v>
      </c>
      <c r="P89" s="570">
        <v>0</v>
      </c>
      <c r="Q89" s="570">
        <v>0</v>
      </c>
      <c r="R89" s="570">
        <v>0</v>
      </c>
      <c r="S89" s="570">
        <v>0</v>
      </c>
      <c r="T89" s="570">
        <v>0</v>
      </c>
      <c r="U89" s="570">
        <v>0</v>
      </c>
      <c r="V89" s="570">
        <v>0</v>
      </c>
      <c r="W89" s="570">
        <v>0</v>
      </c>
      <c r="X89" s="502">
        <f t="shared" si="75"/>
        <v>0</v>
      </c>
      <c r="Y89" s="3423"/>
    </row>
    <row r="90" spans="1:26" s="1283" customFormat="1" ht="12.75">
      <c r="A90" s="3205"/>
      <c r="B90" s="1067" t="s">
        <v>33</v>
      </c>
      <c r="C90" s="2994"/>
      <c r="D90" s="466">
        <f>+M90+O90+P90+Q90+R90+S90+T90+U90+V90+W90</f>
        <v>238401</v>
      </c>
      <c r="E90" s="454"/>
      <c r="F90" s="462">
        <v>0</v>
      </c>
      <c r="G90" s="462"/>
      <c r="H90" s="454"/>
      <c r="I90" s="454"/>
      <c r="J90" s="454"/>
      <c r="K90" s="454"/>
      <c r="L90" s="454"/>
      <c r="M90" s="456">
        <f>+L90+K90+J90+I90+N90</f>
        <v>0</v>
      </c>
      <c r="N90" s="462">
        <v>0</v>
      </c>
      <c r="O90" s="462">
        <v>238401</v>
      </c>
      <c r="P90" s="462">
        <v>0</v>
      </c>
      <c r="Q90" s="462">
        <v>0</v>
      </c>
      <c r="R90" s="462">
        <v>0</v>
      </c>
      <c r="S90" s="462">
        <v>0</v>
      </c>
      <c r="T90" s="462">
        <v>0</v>
      </c>
      <c r="U90" s="462">
        <v>0</v>
      </c>
      <c r="V90" s="462">
        <v>0</v>
      </c>
      <c r="W90" s="462">
        <v>0</v>
      </c>
      <c r="X90" s="370">
        <f>+P90+Q90+R90+S90</f>
        <v>0</v>
      </c>
      <c r="Y90" s="3423"/>
    </row>
    <row r="91" spans="1:26" s="1283" customFormat="1" ht="12.75">
      <c r="A91" s="3205"/>
      <c r="B91" s="374" t="s">
        <v>34</v>
      </c>
      <c r="C91" s="375"/>
      <c r="D91" s="464">
        <f t="shared" ref="D91:D92" si="76">I91+J91+K91+L91+N91+O91+P91+Q91+R91</f>
        <v>238401</v>
      </c>
      <c r="E91" s="464">
        <f t="shared" ref="E91:N92" si="77">+E92</f>
        <v>0</v>
      </c>
      <c r="F91" s="464">
        <f t="shared" si="77"/>
        <v>0</v>
      </c>
      <c r="G91" s="464">
        <f t="shared" si="77"/>
        <v>0</v>
      </c>
      <c r="H91" s="464">
        <f t="shared" si="77"/>
        <v>0</v>
      </c>
      <c r="I91" s="464">
        <f t="shared" si="77"/>
        <v>0</v>
      </c>
      <c r="J91" s="464">
        <f t="shared" si="77"/>
        <v>0</v>
      </c>
      <c r="K91" s="464">
        <f t="shared" si="77"/>
        <v>0</v>
      </c>
      <c r="L91" s="464">
        <f t="shared" si="77"/>
        <v>0</v>
      </c>
      <c r="M91" s="464">
        <f t="shared" si="77"/>
        <v>0</v>
      </c>
      <c r="N91" s="464">
        <f t="shared" si="77"/>
        <v>0</v>
      </c>
      <c r="O91" s="464">
        <f t="shared" ref="O91:W92" si="78">O92</f>
        <v>238401</v>
      </c>
      <c r="P91" s="464">
        <f t="shared" si="78"/>
        <v>0</v>
      </c>
      <c r="Q91" s="464">
        <f t="shared" si="78"/>
        <v>0</v>
      </c>
      <c r="R91" s="464">
        <f t="shared" si="78"/>
        <v>0</v>
      </c>
      <c r="S91" s="464">
        <f t="shared" si="78"/>
        <v>0</v>
      </c>
      <c r="T91" s="464">
        <f t="shared" si="78"/>
        <v>0</v>
      </c>
      <c r="U91" s="464">
        <f t="shared" si="78"/>
        <v>0</v>
      </c>
      <c r="V91" s="464">
        <f t="shared" si="78"/>
        <v>0</v>
      </c>
      <c r="W91" s="464">
        <f t="shared" si="78"/>
        <v>0</v>
      </c>
      <c r="X91" s="2952" t="s">
        <v>77</v>
      </c>
      <c r="Y91" s="3423"/>
    </row>
    <row r="92" spans="1:26" s="1283" customFormat="1" ht="12.75" customHeight="1">
      <c r="A92" s="3205"/>
      <c r="B92" s="698" t="s">
        <v>30</v>
      </c>
      <c r="C92" s="3039" t="s">
        <v>102</v>
      </c>
      <c r="D92" s="459">
        <f t="shared" si="76"/>
        <v>238401</v>
      </c>
      <c r="E92" s="460">
        <f t="shared" si="77"/>
        <v>0</v>
      </c>
      <c r="F92" s="460">
        <f t="shared" si="77"/>
        <v>0</v>
      </c>
      <c r="G92" s="460">
        <f t="shared" si="77"/>
        <v>0</v>
      </c>
      <c r="H92" s="460">
        <f t="shared" si="77"/>
        <v>0</v>
      </c>
      <c r="I92" s="460">
        <f t="shared" si="77"/>
        <v>0</v>
      </c>
      <c r="J92" s="460">
        <f t="shared" si="77"/>
        <v>0</v>
      </c>
      <c r="K92" s="460">
        <f t="shared" si="77"/>
        <v>0</v>
      </c>
      <c r="L92" s="460">
        <f t="shared" si="77"/>
        <v>0</v>
      </c>
      <c r="M92" s="460">
        <f t="shared" si="77"/>
        <v>0</v>
      </c>
      <c r="N92" s="460">
        <f t="shared" si="77"/>
        <v>0</v>
      </c>
      <c r="O92" s="460">
        <f t="shared" si="78"/>
        <v>238401</v>
      </c>
      <c r="P92" s="460">
        <f t="shared" si="78"/>
        <v>0</v>
      </c>
      <c r="Q92" s="460">
        <f t="shared" si="78"/>
        <v>0</v>
      </c>
      <c r="R92" s="460">
        <f t="shared" si="78"/>
        <v>0</v>
      </c>
      <c r="S92" s="460">
        <f t="shared" si="78"/>
        <v>0</v>
      </c>
      <c r="T92" s="460">
        <f t="shared" si="78"/>
        <v>0</v>
      </c>
      <c r="U92" s="460">
        <f t="shared" si="78"/>
        <v>0</v>
      </c>
      <c r="V92" s="460">
        <f t="shared" si="78"/>
        <v>0</v>
      </c>
      <c r="W92" s="460">
        <f t="shared" si="78"/>
        <v>0</v>
      </c>
      <c r="X92" s="2953"/>
      <c r="Y92" s="3423"/>
    </row>
    <row r="93" spans="1:26" s="1283" customFormat="1" ht="13.5" thickBot="1">
      <c r="A93" s="3206"/>
      <c r="B93" s="2664" t="s">
        <v>33</v>
      </c>
      <c r="C93" s="2995"/>
      <c r="D93" s="466">
        <f>+M93+O93+P93+Q93+R93+S93+T93+U93+V93+W93</f>
        <v>238401</v>
      </c>
      <c r="E93" s="491"/>
      <c r="F93" s="492"/>
      <c r="G93" s="491"/>
      <c r="H93" s="491"/>
      <c r="I93" s="491">
        <v>0</v>
      </c>
      <c r="J93" s="491">
        <v>0</v>
      </c>
      <c r="K93" s="491">
        <v>0</v>
      </c>
      <c r="L93" s="491">
        <v>0</v>
      </c>
      <c r="M93" s="456">
        <f>+L93+K93+J93+I93+N93</f>
        <v>0</v>
      </c>
      <c r="N93" s="492">
        <v>0</v>
      </c>
      <c r="O93" s="491">
        <v>238401</v>
      </c>
      <c r="P93" s="491">
        <v>0</v>
      </c>
      <c r="Q93" s="491">
        <v>0</v>
      </c>
      <c r="R93" s="491">
        <v>0</v>
      </c>
      <c r="S93" s="491">
        <v>0</v>
      </c>
      <c r="T93" s="491">
        <v>0</v>
      </c>
      <c r="U93" s="491">
        <v>0</v>
      </c>
      <c r="V93" s="491">
        <v>0</v>
      </c>
      <c r="W93" s="491">
        <v>0</v>
      </c>
      <c r="X93" s="2954"/>
      <c r="Y93" s="3194"/>
    </row>
    <row r="94" spans="1:26" s="1283" customFormat="1" ht="29.25" customHeight="1">
      <c r="A94" s="3204" t="s">
        <v>81</v>
      </c>
      <c r="B94" s="717" t="s">
        <v>620</v>
      </c>
      <c r="C94" s="2662" t="s">
        <v>98</v>
      </c>
      <c r="D94" s="727"/>
      <c r="E94" s="697"/>
      <c r="F94" s="697"/>
      <c r="G94" s="697"/>
      <c r="H94" s="697"/>
      <c r="I94" s="697"/>
      <c r="J94" s="697"/>
      <c r="K94" s="697"/>
      <c r="L94" s="719"/>
      <c r="M94" s="719"/>
      <c r="N94" s="719"/>
      <c r="O94" s="719"/>
      <c r="P94" s="720"/>
      <c r="Q94" s="720"/>
      <c r="R94" s="720"/>
      <c r="S94" s="720"/>
      <c r="T94" s="719"/>
      <c r="U94" s="719"/>
      <c r="V94" s="719"/>
      <c r="W94" s="719"/>
      <c r="X94" s="721"/>
      <c r="Y94" s="2999" t="s">
        <v>104</v>
      </c>
    </row>
    <row r="95" spans="1:26" s="1283" customFormat="1" ht="14.25" customHeight="1">
      <c r="A95" s="3205"/>
      <c r="B95" s="2871" t="s">
        <v>22</v>
      </c>
      <c r="C95" s="375"/>
      <c r="D95" s="2639">
        <f>D96+D98</f>
        <v>46259201</v>
      </c>
      <c r="E95" s="2639">
        <f t="shared" ref="E95:S95" si="79">+E98</f>
        <v>0</v>
      </c>
      <c r="F95" s="2639">
        <f t="shared" si="79"/>
        <v>0</v>
      </c>
      <c r="G95" s="2639">
        <f t="shared" si="79"/>
        <v>0</v>
      </c>
      <c r="H95" s="2639">
        <f t="shared" si="79"/>
        <v>0</v>
      </c>
      <c r="I95" s="2639">
        <f t="shared" si="79"/>
        <v>0</v>
      </c>
      <c r="J95" s="2639">
        <f t="shared" si="79"/>
        <v>0</v>
      </c>
      <c r="K95" s="2639">
        <f t="shared" si="79"/>
        <v>0</v>
      </c>
      <c r="L95" s="2639">
        <f t="shared" si="79"/>
        <v>0</v>
      </c>
      <c r="M95" s="2639">
        <f>+M98+M96</f>
        <v>0</v>
      </c>
      <c r="N95" s="2639">
        <f>+N98+N96</f>
        <v>0</v>
      </c>
      <c r="O95" s="2639">
        <f>+O98+O96</f>
        <v>0</v>
      </c>
      <c r="P95" s="2639">
        <f>+P98+P96</f>
        <v>1101580</v>
      </c>
      <c r="Q95" s="2639">
        <f>+Q98+Q96</f>
        <v>18215116</v>
      </c>
      <c r="R95" s="2639">
        <f>+R96+R98</f>
        <v>26942505</v>
      </c>
      <c r="S95" s="2639">
        <f t="shared" si="79"/>
        <v>0</v>
      </c>
      <c r="T95" s="2639"/>
      <c r="U95" s="2639"/>
      <c r="V95" s="2639"/>
      <c r="W95" s="2639"/>
      <c r="X95" s="2628">
        <f>+X98+X96</f>
        <v>46259201</v>
      </c>
      <c r="Y95" s="3000"/>
    </row>
    <row r="96" spans="1:26" s="1283" customFormat="1" ht="14.25" customHeight="1">
      <c r="A96" s="3205"/>
      <c r="B96" s="2872" t="s">
        <v>36</v>
      </c>
      <c r="C96" s="3043" t="s">
        <v>227</v>
      </c>
      <c r="D96" s="2637">
        <f>D97</f>
        <v>7875223</v>
      </c>
      <c r="E96" s="2829"/>
      <c r="F96" s="2829"/>
      <c r="G96" s="2829"/>
      <c r="H96" s="2829"/>
      <c r="I96" s="2873"/>
      <c r="J96" s="2873"/>
      <c r="K96" s="2873"/>
      <c r="L96" s="2873">
        <f>L97</f>
        <v>0</v>
      </c>
      <c r="M96" s="2873">
        <f>M97</f>
        <v>0</v>
      </c>
      <c r="N96" s="2874">
        <f>N97</f>
        <v>0</v>
      </c>
      <c r="O96" s="2874">
        <f>O97</f>
        <v>0</v>
      </c>
      <c r="P96" s="2874">
        <f t="shared" ref="P96:S96" si="80">P97</f>
        <v>1101580</v>
      </c>
      <c r="Q96" s="2874">
        <f t="shared" si="80"/>
        <v>2732267</v>
      </c>
      <c r="R96" s="2874">
        <f t="shared" si="80"/>
        <v>4041376</v>
      </c>
      <c r="S96" s="2874">
        <f t="shared" si="80"/>
        <v>0</v>
      </c>
      <c r="T96" s="2874"/>
      <c r="U96" s="2874"/>
      <c r="V96" s="2874"/>
      <c r="W96" s="2874"/>
      <c r="X96" s="2875">
        <f>X97</f>
        <v>7875223</v>
      </c>
      <c r="Y96" s="3000"/>
    </row>
    <row r="97" spans="1:27" s="1283" customFormat="1" ht="14.25" customHeight="1">
      <c r="A97" s="3205"/>
      <c r="B97" s="2876" t="s">
        <v>24</v>
      </c>
      <c r="C97" s="2980"/>
      <c r="D97" s="2877">
        <f>+M97+O97+P97+Q97+R97+S97+T97+U97+V97+W97</f>
        <v>7875223</v>
      </c>
      <c r="E97" s="2878"/>
      <c r="F97" s="2879"/>
      <c r="G97" s="2879"/>
      <c r="H97" s="2878"/>
      <c r="I97" s="2878"/>
      <c r="J97" s="2878"/>
      <c r="K97" s="2878"/>
      <c r="L97" s="2878"/>
      <c r="M97" s="2632">
        <v>0</v>
      </c>
      <c r="N97" s="2879">
        <v>0</v>
      </c>
      <c r="O97" s="2879">
        <f>1010-1010</f>
        <v>0</v>
      </c>
      <c r="P97" s="2879">
        <v>1101580</v>
      </c>
      <c r="Q97" s="2879">
        <v>2732267</v>
      </c>
      <c r="R97" s="2879">
        <v>4041376</v>
      </c>
      <c r="S97" s="2879">
        <v>0</v>
      </c>
      <c r="T97" s="2879"/>
      <c r="U97" s="2879"/>
      <c r="V97" s="2879"/>
      <c r="W97" s="2879"/>
      <c r="X97" s="2880">
        <f>+P97+Q97+R97+S97</f>
        <v>7875223</v>
      </c>
      <c r="Y97" s="3000"/>
    </row>
    <row r="98" spans="1:27" s="1283" customFormat="1" ht="14.25" customHeight="1">
      <c r="A98" s="3205"/>
      <c r="B98" s="2881" t="s">
        <v>30</v>
      </c>
      <c r="C98" s="2980"/>
      <c r="D98" s="2637">
        <f>D99</f>
        <v>38383978</v>
      </c>
      <c r="E98" s="2829">
        <f t="shared" ref="E98:M98" si="81">+E99</f>
        <v>0</v>
      </c>
      <c r="F98" s="2829">
        <f t="shared" si="81"/>
        <v>0</v>
      </c>
      <c r="G98" s="2829">
        <f t="shared" si="81"/>
        <v>0</v>
      </c>
      <c r="H98" s="2829">
        <f t="shared" si="81"/>
        <v>0</v>
      </c>
      <c r="I98" s="2873">
        <f t="shared" si="81"/>
        <v>0</v>
      </c>
      <c r="J98" s="2873">
        <f t="shared" si="81"/>
        <v>0</v>
      </c>
      <c r="K98" s="2873">
        <f t="shared" si="81"/>
        <v>0</v>
      </c>
      <c r="L98" s="2873">
        <f t="shared" si="81"/>
        <v>0</v>
      </c>
      <c r="M98" s="2873">
        <f t="shared" si="81"/>
        <v>0</v>
      </c>
      <c r="N98" s="2874">
        <f>N99</f>
        <v>0</v>
      </c>
      <c r="O98" s="2874">
        <f>O99</f>
        <v>0</v>
      </c>
      <c r="P98" s="2874">
        <v>0</v>
      </c>
      <c r="Q98" s="2874">
        <f>+Q99</f>
        <v>15482849</v>
      </c>
      <c r="R98" s="2874">
        <f>+R99</f>
        <v>22901129</v>
      </c>
      <c r="S98" s="2874">
        <v>0</v>
      </c>
      <c r="T98" s="2874"/>
      <c r="U98" s="2874"/>
      <c r="V98" s="2874"/>
      <c r="W98" s="2874"/>
      <c r="X98" s="2875">
        <f>+X99</f>
        <v>38383978</v>
      </c>
      <c r="Y98" s="3000"/>
    </row>
    <row r="99" spans="1:27" s="1283" customFormat="1" ht="15" customHeight="1">
      <c r="A99" s="3205"/>
      <c r="B99" s="1067" t="s">
        <v>33</v>
      </c>
      <c r="C99" s="2981"/>
      <c r="D99" s="2877">
        <f>+M99+O99+P99+Q99+R99+S99+T99+U99+V99+W99</f>
        <v>38383978</v>
      </c>
      <c r="E99" s="2878"/>
      <c r="F99" s="2879">
        <v>0</v>
      </c>
      <c r="G99" s="2879"/>
      <c r="H99" s="2878"/>
      <c r="I99" s="2878"/>
      <c r="J99" s="2878"/>
      <c r="K99" s="2878"/>
      <c r="L99" s="2878"/>
      <c r="M99" s="2632">
        <v>0</v>
      </c>
      <c r="N99" s="2879">
        <v>0</v>
      </c>
      <c r="O99" s="2879">
        <v>0</v>
      </c>
      <c r="P99" s="2879">
        <v>0</v>
      </c>
      <c r="Q99" s="2879">
        <v>15482849</v>
      </c>
      <c r="R99" s="2879">
        <v>22901129</v>
      </c>
      <c r="S99" s="2879">
        <v>0</v>
      </c>
      <c r="T99" s="2879"/>
      <c r="U99" s="2879"/>
      <c r="V99" s="2879"/>
      <c r="W99" s="2879"/>
      <c r="X99" s="2880">
        <f>+P99+Q99+R99+S99</f>
        <v>38383978</v>
      </c>
      <c r="Y99" s="3417"/>
    </row>
    <row r="100" spans="1:27" s="1283" customFormat="1" ht="14.25" customHeight="1">
      <c r="A100" s="3205"/>
      <c r="B100" s="374" t="s">
        <v>34</v>
      </c>
      <c r="C100" s="375"/>
      <c r="D100" s="2639">
        <f>+D101</f>
        <v>38383978</v>
      </c>
      <c r="E100" s="2639">
        <f t="shared" ref="E100:N101" si="82">+E101</f>
        <v>0</v>
      </c>
      <c r="F100" s="2639">
        <f t="shared" si="82"/>
        <v>0</v>
      </c>
      <c r="G100" s="2639">
        <f t="shared" si="82"/>
        <v>0</v>
      </c>
      <c r="H100" s="2639">
        <f t="shared" si="82"/>
        <v>0</v>
      </c>
      <c r="I100" s="2639">
        <f t="shared" si="82"/>
        <v>0</v>
      </c>
      <c r="J100" s="2639">
        <f t="shared" si="82"/>
        <v>0</v>
      </c>
      <c r="K100" s="2639">
        <f t="shared" si="82"/>
        <v>0</v>
      </c>
      <c r="L100" s="2639">
        <f t="shared" si="82"/>
        <v>0</v>
      </c>
      <c r="M100" s="2639">
        <f t="shared" si="82"/>
        <v>0</v>
      </c>
      <c r="N100" s="2639">
        <f t="shared" si="82"/>
        <v>0</v>
      </c>
      <c r="O100" s="2639">
        <f t="shared" ref="O100:S101" si="83">O101</f>
        <v>0</v>
      </c>
      <c r="P100" s="2639">
        <f t="shared" si="83"/>
        <v>0</v>
      </c>
      <c r="Q100" s="2639">
        <f t="shared" si="83"/>
        <v>14000000</v>
      </c>
      <c r="R100" s="2639">
        <f t="shared" si="83"/>
        <v>23383978</v>
      </c>
      <c r="S100" s="2639">
        <f t="shared" si="83"/>
        <v>1000000</v>
      </c>
      <c r="T100" s="2639"/>
      <c r="U100" s="2639"/>
      <c r="V100" s="2639"/>
      <c r="W100" s="2639"/>
      <c r="X100" s="3446" t="s">
        <v>77</v>
      </c>
      <c r="Y100" s="2992" t="s">
        <v>122</v>
      </c>
      <c r="Z100" s="843"/>
    </row>
    <row r="101" spans="1:27" s="1283" customFormat="1" ht="14.25" customHeight="1">
      <c r="A101" s="3205"/>
      <c r="B101" s="698" t="s">
        <v>30</v>
      </c>
      <c r="C101" s="3445" t="s">
        <v>309</v>
      </c>
      <c r="D101" s="2637">
        <f>+D102</f>
        <v>38383978</v>
      </c>
      <c r="E101" s="2829">
        <f t="shared" si="82"/>
        <v>0</v>
      </c>
      <c r="F101" s="2829">
        <f t="shared" si="82"/>
        <v>0</v>
      </c>
      <c r="G101" s="2829">
        <f t="shared" si="82"/>
        <v>0</v>
      </c>
      <c r="H101" s="2829">
        <f t="shared" si="82"/>
        <v>0</v>
      </c>
      <c r="I101" s="2829">
        <f t="shared" si="82"/>
        <v>0</v>
      </c>
      <c r="J101" s="2829">
        <f t="shared" si="82"/>
        <v>0</v>
      </c>
      <c r="K101" s="2829">
        <f t="shared" si="82"/>
        <v>0</v>
      </c>
      <c r="L101" s="2829">
        <f t="shared" si="82"/>
        <v>0</v>
      </c>
      <c r="M101" s="2829">
        <f t="shared" si="82"/>
        <v>0</v>
      </c>
      <c r="N101" s="2829">
        <f t="shared" si="82"/>
        <v>0</v>
      </c>
      <c r="O101" s="2829">
        <f t="shared" si="83"/>
        <v>0</v>
      </c>
      <c r="P101" s="2829">
        <f t="shared" si="83"/>
        <v>0</v>
      </c>
      <c r="Q101" s="2829">
        <f t="shared" si="83"/>
        <v>14000000</v>
      </c>
      <c r="R101" s="2829">
        <f t="shared" si="83"/>
        <v>23383978</v>
      </c>
      <c r="S101" s="2829">
        <f t="shared" si="83"/>
        <v>1000000</v>
      </c>
      <c r="T101" s="2829"/>
      <c r="U101" s="2829"/>
      <c r="V101" s="2829"/>
      <c r="W101" s="2829"/>
      <c r="X101" s="2953"/>
      <c r="Y101" s="2992"/>
    </row>
    <row r="102" spans="1:27" s="1283" customFormat="1" ht="14.25" customHeight="1" thickBot="1">
      <c r="A102" s="3206"/>
      <c r="B102" s="2664" t="s">
        <v>33</v>
      </c>
      <c r="C102" s="2995"/>
      <c r="D102" s="533">
        <f>+M102+O102+P102+Q102+R102+S102+T102+U102+V102+W102</f>
        <v>38383978</v>
      </c>
      <c r="E102" s="491"/>
      <c r="F102" s="492"/>
      <c r="G102" s="491"/>
      <c r="H102" s="491"/>
      <c r="I102" s="491">
        <v>0</v>
      </c>
      <c r="J102" s="491">
        <v>0</v>
      </c>
      <c r="K102" s="491">
        <v>0</v>
      </c>
      <c r="L102" s="491">
        <v>0</v>
      </c>
      <c r="M102" s="491">
        <f>+L102+K102+J102+I102+N102</f>
        <v>0</v>
      </c>
      <c r="N102" s="492"/>
      <c r="O102" s="491">
        <v>0</v>
      </c>
      <c r="P102" s="491">
        <v>0</v>
      </c>
      <c r="Q102" s="491">
        <v>14000000</v>
      </c>
      <c r="R102" s="491">
        <v>23383978</v>
      </c>
      <c r="S102" s="491">
        <v>1000000</v>
      </c>
      <c r="T102" s="491"/>
      <c r="U102" s="491"/>
      <c r="V102" s="491"/>
      <c r="W102" s="491"/>
      <c r="X102" s="2954"/>
      <c r="Y102" s="2993"/>
    </row>
    <row r="103" spans="1:27" ht="33" customHeight="1">
      <c r="A103" s="3204" t="s">
        <v>82</v>
      </c>
      <c r="B103" s="717" t="s">
        <v>621</v>
      </c>
      <c r="C103" s="2662" t="s">
        <v>98</v>
      </c>
      <c r="D103" s="767"/>
      <c r="E103" s="768"/>
      <c r="F103" s="765"/>
      <c r="G103" s="766"/>
      <c r="H103" s="768"/>
      <c r="I103" s="768"/>
      <c r="J103" s="768"/>
      <c r="K103" s="768"/>
      <c r="L103" s="769"/>
      <c r="M103" s="769"/>
      <c r="N103" s="769"/>
      <c r="O103" s="769"/>
      <c r="P103" s="770"/>
      <c r="Q103" s="770"/>
      <c r="R103" s="770"/>
      <c r="S103" s="770"/>
      <c r="T103" s="769"/>
      <c r="U103" s="769"/>
      <c r="V103" s="769"/>
      <c r="W103" s="769"/>
      <c r="X103" s="771"/>
      <c r="Y103" s="2999" t="s">
        <v>104</v>
      </c>
    </row>
    <row r="104" spans="1:27" ht="16.5" customHeight="1">
      <c r="A104" s="3209"/>
      <c r="B104" s="1279" t="s">
        <v>22</v>
      </c>
      <c r="C104" s="657"/>
      <c r="D104" s="1276">
        <f>+D105+D107</f>
        <v>17188678</v>
      </c>
      <c r="E104" s="1276">
        <f t="shared" ref="E104:P104" si="84">+E105+E107</f>
        <v>0</v>
      </c>
      <c r="F104" s="1276">
        <f t="shared" si="84"/>
        <v>0</v>
      </c>
      <c r="G104" s="1276">
        <f t="shared" si="84"/>
        <v>0</v>
      </c>
      <c r="H104" s="1276">
        <f t="shared" si="84"/>
        <v>0</v>
      </c>
      <c r="I104" s="1276">
        <f t="shared" si="84"/>
        <v>0</v>
      </c>
      <c r="J104" s="1276">
        <f t="shared" si="84"/>
        <v>0</v>
      </c>
      <c r="K104" s="1276">
        <f t="shared" si="84"/>
        <v>0</v>
      </c>
      <c r="L104" s="1276">
        <f t="shared" si="84"/>
        <v>0</v>
      </c>
      <c r="M104" s="1276">
        <f t="shared" si="84"/>
        <v>0</v>
      </c>
      <c r="N104" s="1276">
        <f t="shared" si="84"/>
        <v>0</v>
      </c>
      <c r="O104" s="1276">
        <f t="shared" si="84"/>
        <v>0</v>
      </c>
      <c r="P104" s="1276">
        <f t="shared" si="84"/>
        <v>455580</v>
      </c>
      <c r="Q104" s="1276">
        <f t="shared" ref="Q104" si="85">+Q105+Q107</f>
        <v>6726772</v>
      </c>
      <c r="R104" s="1276">
        <f t="shared" ref="R104" si="86">+R105+R107</f>
        <v>10006326</v>
      </c>
      <c r="S104" s="1276"/>
      <c r="T104" s="1276"/>
      <c r="U104" s="1276"/>
      <c r="V104" s="1276"/>
      <c r="W104" s="1276"/>
      <c r="X104" s="1277"/>
      <c r="Y104" s="3000"/>
      <c r="Z104" s="751"/>
      <c r="AA104" s="751"/>
    </row>
    <row r="105" spans="1:27" s="1283" customFormat="1" ht="14.25" customHeight="1">
      <c r="A105" s="3209"/>
      <c r="B105" s="1287" t="s">
        <v>36</v>
      </c>
      <c r="C105" s="3013" t="s">
        <v>227</v>
      </c>
      <c r="D105" s="1274">
        <f>D106</f>
        <v>2965545</v>
      </c>
      <c r="E105" s="1275"/>
      <c r="F105" s="1275"/>
      <c r="G105" s="1275"/>
      <c r="H105" s="1275"/>
      <c r="I105" s="1281"/>
      <c r="J105" s="1281"/>
      <c r="K105" s="1281"/>
      <c r="L105" s="1281">
        <f>L106</f>
        <v>0</v>
      </c>
      <c r="M105" s="1281">
        <f>M106</f>
        <v>0</v>
      </c>
      <c r="N105" s="1282">
        <f>N106</f>
        <v>0</v>
      </c>
      <c r="O105" s="1282">
        <f>O106</f>
        <v>0</v>
      </c>
      <c r="P105" s="1282">
        <f t="shared" ref="P105" si="87">P106</f>
        <v>455580</v>
      </c>
      <c r="Q105" s="1282">
        <f t="shared" ref="Q105" si="88">Q106</f>
        <v>1009016</v>
      </c>
      <c r="R105" s="1282">
        <f t="shared" ref="R105" si="89">R106</f>
        <v>1500949</v>
      </c>
      <c r="S105" s="1282"/>
      <c r="T105" s="1282"/>
      <c r="U105" s="1282"/>
      <c r="V105" s="1282"/>
      <c r="W105" s="1282"/>
      <c r="X105" s="1256">
        <f>X106</f>
        <v>2965545</v>
      </c>
      <c r="Y105" s="3000"/>
    </row>
    <row r="106" spans="1:27" s="1283" customFormat="1" ht="14.25" customHeight="1">
      <c r="A106" s="3209"/>
      <c r="B106" s="1288" t="s">
        <v>24</v>
      </c>
      <c r="C106" s="2980"/>
      <c r="D106" s="1271">
        <f>+M106+O106+P106+Q106+R106+S106+T106+U106+V106+W106</f>
        <v>2965545</v>
      </c>
      <c r="E106" s="1263"/>
      <c r="F106" s="1273"/>
      <c r="G106" s="1273"/>
      <c r="H106" s="1263"/>
      <c r="I106" s="1263"/>
      <c r="J106" s="1263"/>
      <c r="K106" s="1263"/>
      <c r="L106" s="1263"/>
      <c r="M106" s="1259">
        <v>0</v>
      </c>
      <c r="N106" s="1273">
        <v>0</v>
      </c>
      <c r="O106" s="1273">
        <f>1010-1010</f>
        <v>0</v>
      </c>
      <c r="P106" s="1273">
        <v>455580</v>
      </c>
      <c r="Q106" s="1273">
        <v>1009016</v>
      </c>
      <c r="R106" s="1273">
        <v>1500949</v>
      </c>
      <c r="S106" s="1273"/>
      <c r="T106" s="1273"/>
      <c r="U106" s="1273"/>
      <c r="V106" s="1273"/>
      <c r="W106" s="1273"/>
      <c r="X106" s="1278">
        <f>+P106+Q106+R106+S106</f>
        <v>2965545</v>
      </c>
      <c r="Y106" s="3000"/>
    </row>
    <row r="107" spans="1:27" ht="14.25" customHeight="1">
      <c r="A107" s="3209"/>
      <c r="B107" s="1280" t="s">
        <v>30</v>
      </c>
      <c r="C107" s="2980"/>
      <c r="D107" s="1274">
        <f>+D108</f>
        <v>14223133</v>
      </c>
      <c r="E107" s="1275">
        <f t="shared" ref="E107:L107" si="90">+E108</f>
        <v>0</v>
      </c>
      <c r="F107" s="1275">
        <f t="shared" si="90"/>
        <v>0</v>
      </c>
      <c r="G107" s="1275">
        <f t="shared" si="90"/>
        <v>0</v>
      </c>
      <c r="H107" s="1275">
        <f t="shared" si="90"/>
        <v>0</v>
      </c>
      <c r="I107" s="1281">
        <f t="shared" si="90"/>
        <v>0</v>
      </c>
      <c r="J107" s="1281">
        <f t="shared" si="90"/>
        <v>0</v>
      </c>
      <c r="K107" s="1281">
        <f t="shared" si="90"/>
        <v>0</v>
      </c>
      <c r="L107" s="1281">
        <f t="shared" si="90"/>
        <v>0</v>
      </c>
      <c r="M107" s="1281">
        <f>+M108</f>
        <v>0</v>
      </c>
      <c r="N107" s="1281">
        <f t="shared" ref="N107:P107" si="91">+N108</f>
        <v>0</v>
      </c>
      <c r="O107" s="1281">
        <f t="shared" si="91"/>
        <v>0</v>
      </c>
      <c r="P107" s="1281">
        <f t="shared" si="91"/>
        <v>0</v>
      </c>
      <c r="Q107" s="1282">
        <f>Q108</f>
        <v>5717756</v>
      </c>
      <c r="R107" s="1282">
        <f>R108</f>
        <v>8505377</v>
      </c>
      <c r="S107" s="1282"/>
      <c r="T107" s="1282"/>
      <c r="U107" s="1282"/>
      <c r="V107" s="1282"/>
      <c r="W107" s="1282"/>
      <c r="X107" s="1278">
        <f>+X108</f>
        <v>14223133</v>
      </c>
      <c r="Y107" s="3000"/>
    </row>
    <row r="108" spans="1:27" ht="13.5" customHeight="1">
      <c r="A108" s="3209"/>
      <c r="B108" s="1067" t="s">
        <v>33</v>
      </c>
      <c r="C108" s="2981"/>
      <c r="D108" s="1271">
        <f>+M108+O108+P108+Q108+R108</f>
        <v>14223133</v>
      </c>
      <c r="E108" s="1263"/>
      <c r="F108" s="1273"/>
      <c r="G108" s="1273"/>
      <c r="H108" s="1263"/>
      <c r="I108" s="1263"/>
      <c r="J108" s="1263"/>
      <c r="K108" s="1263"/>
      <c r="L108" s="1263"/>
      <c r="M108" s="1259">
        <v>0</v>
      </c>
      <c r="N108" s="1273"/>
      <c r="O108" s="1273">
        <v>0</v>
      </c>
      <c r="P108" s="1273">
        <v>0</v>
      </c>
      <c r="Q108" s="1273">
        <v>5717756</v>
      </c>
      <c r="R108" s="1273">
        <v>8505377</v>
      </c>
      <c r="S108" s="1273"/>
      <c r="T108" s="1273"/>
      <c r="U108" s="1273"/>
      <c r="V108" s="1273"/>
      <c r="W108" s="1273"/>
      <c r="X108" s="1278">
        <f>+P108+Q108+R108+S108</f>
        <v>14223133</v>
      </c>
      <c r="Y108" s="3417"/>
    </row>
    <row r="109" spans="1:27" ht="15.75" customHeight="1">
      <c r="A109" s="3209"/>
      <c r="B109" s="374" t="s">
        <v>34</v>
      </c>
      <c r="C109" s="375"/>
      <c r="D109" s="1276">
        <f>+D110</f>
        <v>14223133</v>
      </c>
      <c r="E109" s="1276">
        <f t="shared" ref="E109:N110" si="92">+E110</f>
        <v>0</v>
      </c>
      <c r="F109" s="1276">
        <f t="shared" si="92"/>
        <v>0</v>
      </c>
      <c r="G109" s="1276">
        <f t="shared" si="92"/>
        <v>0</v>
      </c>
      <c r="H109" s="1276">
        <f t="shared" si="92"/>
        <v>0</v>
      </c>
      <c r="I109" s="1276">
        <f t="shared" si="92"/>
        <v>0</v>
      </c>
      <c r="J109" s="1276">
        <f t="shared" si="92"/>
        <v>0</v>
      </c>
      <c r="K109" s="1276">
        <f t="shared" si="92"/>
        <v>0</v>
      </c>
      <c r="L109" s="1276">
        <f t="shared" si="92"/>
        <v>0</v>
      </c>
      <c r="M109" s="1276">
        <f>+M110</f>
        <v>0</v>
      </c>
      <c r="N109" s="1276">
        <f t="shared" si="92"/>
        <v>0</v>
      </c>
      <c r="O109" s="1276">
        <f t="shared" ref="O109:S110" si="93">O110</f>
        <v>0</v>
      </c>
      <c r="P109" s="1276">
        <f t="shared" si="93"/>
        <v>0</v>
      </c>
      <c r="Q109" s="1276">
        <f t="shared" si="93"/>
        <v>5600000</v>
      </c>
      <c r="R109" s="1276">
        <f t="shared" si="93"/>
        <v>8123133</v>
      </c>
      <c r="S109" s="1276">
        <f t="shared" si="93"/>
        <v>500000</v>
      </c>
      <c r="T109" s="1276"/>
      <c r="U109" s="1276"/>
      <c r="V109" s="1276"/>
      <c r="W109" s="1276"/>
      <c r="X109" s="3447"/>
      <c r="Y109" s="2992" t="s">
        <v>122</v>
      </c>
    </row>
    <row r="110" spans="1:27" ht="12.75" customHeight="1">
      <c r="A110" s="3209"/>
      <c r="B110" s="698" t="s">
        <v>30</v>
      </c>
      <c r="C110" s="3415" t="s">
        <v>309</v>
      </c>
      <c r="D110" s="1274">
        <f>+D111</f>
        <v>14223133</v>
      </c>
      <c r="E110" s="1275">
        <f t="shared" si="92"/>
        <v>0</v>
      </c>
      <c r="F110" s="1275">
        <f t="shared" si="92"/>
        <v>0</v>
      </c>
      <c r="G110" s="1275">
        <f t="shared" si="92"/>
        <v>0</v>
      </c>
      <c r="H110" s="1275">
        <f t="shared" si="92"/>
        <v>0</v>
      </c>
      <c r="I110" s="1275">
        <f t="shared" si="92"/>
        <v>0</v>
      </c>
      <c r="J110" s="1275">
        <f t="shared" si="92"/>
        <v>0</v>
      </c>
      <c r="K110" s="1275">
        <f t="shared" si="92"/>
        <v>0</v>
      </c>
      <c r="L110" s="1275">
        <f t="shared" si="92"/>
        <v>0</v>
      </c>
      <c r="M110" s="1275">
        <f>+M111</f>
        <v>0</v>
      </c>
      <c r="N110" s="1275">
        <f t="shared" si="92"/>
        <v>0</v>
      </c>
      <c r="O110" s="1275">
        <f t="shared" si="93"/>
        <v>0</v>
      </c>
      <c r="P110" s="1275">
        <f t="shared" si="93"/>
        <v>0</v>
      </c>
      <c r="Q110" s="1275">
        <f t="shared" si="93"/>
        <v>5600000</v>
      </c>
      <c r="R110" s="1275">
        <f t="shared" si="93"/>
        <v>8123133</v>
      </c>
      <c r="S110" s="1275">
        <f t="shared" si="93"/>
        <v>500000</v>
      </c>
      <c r="T110" s="1275"/>
      <c r="U110" s="1275"/>
      <c r="V110" s="1275"/>
      <c r="W110" s="1275"/>
      <c r="X110" s="3448"/>
      <c r="Y110" s="2992"/>
    </row>
    <row r="111" spans="1:27" ht="17.25" customHeight="1" thickBot="1">
      <c r="A111" s="3425"/>
      <c r="B111" s="2664" t="s">
        <v>33</v>
      </c>
      <c r="C111" s="2995"/>
      <c r="D111" s="1271">
        <f>+M111+O111+P111+Q111+R111+S111</f>
        <v>14223133</v>
      </c>
      <c r="E111" s="491"/>
      <c r="F111" s="492"/>
      <c r="G111" s="491"/>
      <c r="H111" s="491"/>
      <c r="I111" s="491"/>
      <c r="J111" s="491"/>
      <c r="K111" s="491"/>
      <c r="L111" s="491"/>
      <c r="M111" s="1259">
        <v>0</v>
      </c>
      <c r="N111" s="492"/>
      <c r="O111" s="491">
        <v>0</v>
      </c>
      <c r="P111" s="491">
        <v>0</v>
      </c>
      <c r="Q111" s="491">
        <v>5600000</v>
      </c>
      <c r="R111" s="491">
        <v>8123133</v>
      </c>
      <c r="S111" s="491">
        <v>500000</v>
      </c>
      <c r="T111" s="491"/>
      <c r="U111" s="491"/>
      <c r="V111" s="491"/>
      <c r="W111" s="491"/>
      <c r="X111" s="3449"/>
      <c r="Y111" s="2993"/>
    </row>
    <row r="112" spans="1:27" s="1283" customFormat="1" ht="41.25" customHeight="1">
      <c r="A112" s="3204" t="s">
        <v>83</v>
      </c>
      <c r="B112" s="717" t="s">
        <v>533</v>
      </c>
      <c r="C112" s="2662" t="s">
        <v>98</v>
      </c>
      <c r="D112" s="727"/>
      <c r="E112" s="697"/>
      <c r="F112" s="697"/>
      <c r="G112" s="697"/>
      <c r="H112" s="697"/>
      <c r="I112" s="697"/>
      <c r="J112" s="697"/>
      <c r="K112" s="697"/>
      <c r="L112" s="719"/>
      <c r="M112" s="719"/>
      <c r="N112" s="719"/>
      <c r="O112" s="719"/>
      <c r="P112" s="720"/>
      <c r="Q112" s="720"/>
      <c r="R112" s="720"/>
      <c r="S112" s="720"/>
      <c r="T112" s="719"/>
      <c r="U112" s="719"/>
      <c r="V112" s="719"/>
      <c r="W112" s="719"/>
      <c r="X112" s="721"/>
      <c r="Y112" s="2882"/>
    </row>
    <row r="113" spans="1:25" s="1283" customFormat="1" ht="14.25" customHeight="1">
      <c r="A113" s="3205"/>
      <c r="B113" s="1279" t="s">
        <v>22</v>
      </c>
      <c r="C113" s="375"/>
      <c r="D113" s="1276">
        <f t="shared" ref="D113:P113" si="94">+D116+D114</f>
        <v>15204902</v>
      </c>
      <c r="E113" s="1276">
        <f t="shared" si="94"/>
        <v>0</v>
      </c>
      <c r="F113" s="1276">
        <f t="shared" si="94"/>
        <v>0</v>
      </c>
      <c r="G113" s="1276">
        <f t="shared" si="94"/>
        <v>0</v>
      </c>
      <c r="H113" s="1276">
        <f t="shared" si="94"/>
        <v>0</v>
      </c>
      <c r="I113" s="1276">
        <f t="shared" si="94"/>
        <v>0</v>
      </c>
      <c r="J113" s="1276">
        <f t="shared" si="94"/>
        <v>0</v>
      </c>
      <c r="K113" s="1276">
        <f t="shared" si="94"/>
        <v>0</v>
      </c>
      <c r="L113" s="1276">
        <f t="shared" si="94"/>
        <v>0</v>
      </c>
      <c r="M113" s="1276">
        <f t="shared" si="94"/>
        <v>0</v>
      </c>
      <c r="N113" s="1276">
        <f t="shared" si="94"/>
        <v>0</v>
      </c>
      <c r="O113" s="1276">
        <f t="shared" si="94"/>
        <v>0</v>
      </c>
      <c r="P113" s="1276">
        <f t="shared" si="94"/>
        <v>0</v>
      </c>
      <c r="Q113" s="1276">
        <f>+Q116+Q114</f>
        <v>7602451</v>
      </c>
      <c r="R113" s="1276">
        <f t="shared" ref="R113:W113" si="95">+R116+R114</f>
        <v>7602451</v>
      </c>
      <c r="S113" s="1276">
        <f t="shared" si="95"/>
        <v>0</v>
      </c>
      <c r="T113" s="1276">
        <f t="shared" si="95"/>
        <v>0</v>
      </c>
      <c r="U113" s="1276">
        <f t="shared" si="95"/>
        <v>0</v>
      </c>
      <c r="V113" s="1276">
        <f t="shared" si="95"/>
        <v>0</v>
      </c>
      <c r="W113" s="1276">
        <f t="shared" si="95"/>
        <v>0</v>
      </c>
      <c r="X113" s="1272">
        <f>+X116+X114</f>
        <v>15204902</v>
      </c>
      <c r="Y113" s="3000" t="s">
        <v>593</v>
      </c>
    </row>
    <row r="114" spans="1:25" s="1283" customFormat="1" ht="14.25" customHeight="1">
      <c r="A114" s="3205"/>
      <c r="B114" s="1287" t="s">
        <v>36</v>
      </c>
      <c r="C114" s="3013" t="s">
        <v>227</v>
      </c>
      <c r="D114" s="1274">
        <f>D115</f>
        <v>2280735</v>
      </c>
      <c r="E114" s="1275"/>
      <c r="F114" s="1275"/>
      <c r="G114" s="1275"/>
      <c r="H114" s="1275"/>
      <c r="I114" s="1281"/>
      <c r="J114" s="1281"/>
      <c r="K114" s="1281"/>
      <c r="L114" s="1281">
        <f>L115</f>
        <v>0</v>
      </c>
      <c r="M114" s="1281">
        <f>M115</f>
        <v>0</v>
      </c>
      <c r="N114" s="1282">
        <f>N115</f>
        <v>0</v>
      </c>
      <c r="O114" s="1282">
        <f>O115</f>
        <v>0</v>
      </c>
      <c r="P114" s="1282">
        <f t="shared" ref="P114:T114" si="96">P115</f>
        <v>0</v>
      </c>
      <c r="Q114" s="1282">
        <f t="shared" si="96"/>
        <v>1140368</v>
      </c>
      <c r="R114" s="1282">
        <f t="shared" si="96"/>
        <v>1140367</v>
      </c>
      <c r="S114" s="1282">
        <f t="shared" si="96"/>
        <v>0</v>
      </c>
      <c r="T114" s="1282">
        <f t="shared" si="96"/>
        <v>0</v>
      </c>
      <c r="U114" s="1282"/>
      <c r="V114" s="1282"/>
      <c r="W114" s="1282"/>
      <c r="X114" s="1256">
        <f>X115</f>
        <v>2280735</v>
      </c>
      <c r="Y114" s="3000"/>
    </row>
    <row r="115" spans="1:25" s="1283" customFormat="1" ht="14.25" customHeight="1">
      <c r="A115" s="3205"/>
      <c r="B115" s="1288" t="s">
        <v>24</v>
      </c>
      <c r="C115" s="2980"/>
      <c r="D115" s="1271">
        <f>+M115+O115+P115+Q115+R115+S115+T115+U115+V115+W115</f>
        <v>2280735</v>
      </c>
      <c r="E115" s="1263"/>
      <c r="F115" s="1273"/>
      <c r="G115" s="1273"/>
      <c r="H115" s="1263"/>
      <c r="I115" s="1263"/>
      <c r="J115" s="1263"/>
      <c r="K115" s="1263"/>
      <c r="L115" s="1263"/>
      <c r="M115" s="1259">
        <v>0</v>
      </c>
      <c r="N115" s="1273">
        <v>0</v>
      </c>
      <c r="O115" s="1273">
        <v>0</v>
      </c>
      <c r="P115" s="1273"/>
      <c r="Q115" s="1273">
        <v>1140368</v>
      </c>
      <c r="R115" s="1273">
        <v>1140367</v>
      </c>
      <c r="S115" s="1273"/>
      <c r="T115" s="1273"/>
      <c r="U115" s="1273"/>
      <c r="V115" s="1273"/>
      <c r="W115" s="1273"/>
      <c r="X115" s="1278">
        <f>+P115+Q115+R115+S115</f>
        <v>2280735</v>
      </c>
      <c r="Y115" s="3000"/>
    </row>
    <row r="116" spans="1:25" s="1283" customFormat="1" ht="14.25" customHeight="1">
      <c r="A116" s="3205"/>
      <c r="B116" s="1280" t="s">
        <v>30</v>
      </c>
      <c r="C116" s="2980"/>
      <c r="D116" s="1274">
        <f>D117</f>
        <v>12924167</v>
      </c>
      <c r="E116" s="1274">
        <f t="shared" ref="E116:W116" si="97">E117</f>
        <v>0</v>
      </c>
      <c r="F116" s="1274">
        <f t="shared" si="97"/>
        <v>0</v>
      </c>
      <c r="G116" s="1274">
        <f t="shared" si="97"/>
        <v>0</v>
      </c>
      <c r="H116" s="1274">
        <f t="shared" si="97"/>
        <v>0</v>
      </c>
      <c r="I116" s="1274">
        <f t="shared" si="97"/>
        <v>0</v>
      </c>
      <c r="J116" s="1274">
        <f t="shared" si="97"/>
        <v>0</v>
      </c>
      <c r="K116" s="1274">
        <f t="shared" si="97"/>
        <v>0</v>
      </c>
      <c r="L116" s="1274">
        <f t="shared" si="97"/>
        <v>0</v>
      </c>
      <c r="M116" s="1274">
        <f t="shared" si="97"/>
        <v>0</v>
      </c>
      <c r="N116" s="1274">
        <f t="shared" si="97"/>
        <v>0</v>
      </c>
      <c r="O116" s="1274">
        <f t="shared" si="97"/>
        <v>0</v>
      </c>
      <c r="P116" s="1274">
        <f t="shared" si="97"/>
        <v>0</v>
      </c>
      <c r="Q116" s="1274">
        <f t="shared" si="97"/>
        <v>6462083</v>
      </c>
      <c r="R116" s="1274">
        <f t="shared" si="97"/>
        <v>6462084</v>
      </c>
      <c r="S116" s="1274">
        <f t="shared" si="97"/>
        <v>0</v>
      </c>
      <c r="T116" s="1274">
        <f t="shared" si="97"/>
        <v>0</v>
      </c>
      <c r="U116" s="1274">
        <f t="shared" si="97"/>
        <v>0</v>
      </c>
      <c r="V116" s="1274">
        <f t="shared" si="97"/>
        <v>0</v>
      </c>
      <c r="W116" s="1274">
        <f t="shared" si="97"/>
        <v>0</v>
      </c>
      <c r="X116" s="1256">
        <f>+X117</f>
        <v>12924167</v>
      </c>
      <c r="Y116" s="3000"/>
    </row>
    <row r="117" spans="1:25" s="1283" customFormat="1" ht="15" customHeight="1">
      <c r="A117" s="3205"/>
      <c r="B117" s="1067" t="s">
        <v>33</v>
      </c>
      <c r="C117" s="2981"/>
      <c r="D117" s="1271">
        <f>+M117+O117+P117+Q117+R117+S117+T117+U117+V117+W117</f>
        <v>12924167</v>
      </c>
      <c r="E117" s="1263"/>
      <c r="F117" s="1273">
        <v>0</v>
      </c>
      <c r="G117" s="1273"/>
      <c r="H117" s="1263"/>
      <c r="I117" s="1263"/>
      <c r="J117" s="1263"/>
      <c r="K117" s="1263"/>
      <c r="L117" s="1263"/>
      <c r="M117" s="1259">
        <f>+L117+K117+J117+I117+N117</f>
        <v>0</v>
      </c>
      <c r="N117" s="1273">
        <v>0</v>
      </c>
      <c r="O117" s="1273">
        <v>0</v>
      </c>
      <c r="P117" s="1273">
        <v>0</v>
      </c>
      <c r="Q117" s="1273">
        <f>6462083</f>
        <v>6462083</v>
      </c>
      <c r="R117" s="1273">
        <v>6462084</v>
      </c>
      <c r="S117" s="1273">
        <v>0</v>
      </c>
      <c r="T117" s="1273">
        <v>0</v>
      </c>
      <c r="U117" s="1273">
        <v>0</v>
      </c>
      <c r="V117" s="1273">
        <v>0</v>
      </c>
      <c r="W117" s="1273">
        <v>0</v>
      </c>
      <c r="X117" s="1278">
        <f>+P117+Q117+R117+S117</f>
        <v>12924167</v>
      </c>
      <c r="Y117" s="3417"/>
    </row>
    <row r="118" spans="1:25" s="1283" customFormat="1" ht="15.75" customHeight="1">
      <c r="A118" s="3205"/>
      <c r="B118" s="374" t="s">
        <v>34</v>
      </c>
      <c r="C118" s="375"/>
      <c r="D118" s="1276">
        <f t="shared" ref="D118" si="98">I118+J118+K118+L118+N118+O118+P118+Q118+R118</f>
        <v>12924167</v>
      </c>
      <c r="E118" s="1276">
        <f t="shared" ref="E118:N119" si="99">+E119</f>
        <v>0</v>
      </c>
      <c r="F118" s="1276">
        <f t="shared" si="99"/>
        <v>0</v>
      </c>
      <c r="G118" s="1276">
        <f t="shared" si="99"/>
        <v>0</v>
      </c>
      <c r="H118" s="1276">
        <f t="shared" si="99"/>
        <v>0</v>
      </c>
      <c r="I118" s="1276">
        <f t="shared" si="99"/>
        <v>0</v>
      </c>
      <c r="J118" s="1276">
        <f t="shared" si="99"/>
        <v>0</v>
      </c>
      <c r="K118" s="1276">
        <f t="shared" si="99"/>
        <v>0</v>
      </c>
      <c r="L118" s="1276">
        <f t="shared" si="99"/>
        <v>0</v>
      </c>
      <c r="M118" s="1276">
        <f t="shared" si="99"/>
        <v>0</v>
      </c>
      <c r="N118" s="1276">
        <f t="shared" si="99"/>
        <v>0</v>
      </c>
      <c r="O118" s="1276">
        <f t="shared" ref="O118:W119" si="100">O119</f>
        <v>0</v>
      </c>
      <c r="P118" s="1276">
        <f t="shared" si="100"/>
        <v>0</v>
      </c>
      <c r="Q118" s="1276">
        <f t="shared" si="100"/>
        <v>6462083</v>
      </c>
      <c r="R118" s="1276">
        <f t="shared" si="100"/>
        <v>6462084</v>
      </c>
      <c r="S118" s="1276">
        <f t="shared" si="100"/>
        <v>0</v>
      </c>
      <c r="T118" s="1276">
        <f t="shared" si="100"/>
        <v>0</v>
      </c>
      <c r="U118" s="1276">
        <f t="shared" si="100"/>
        <v>0</v>
      </c>
      <c r="V118" s="1276">
        <f t="shared" si="100"/>
        <v>0</v>
      </c>
      <c r="W118" s="1276">
        <f t="shared" si="100"/>
        <v>0</v>
      </c>
      <c r="X118" s="3416" t="s">
        <v>77</v>
      </c>
      <c r="Y118" s="3044" t="s">
        <v>532</v>
      </c>
    </row>
    <row r="119" spans="1:25" s="1283" customFormat="1" ht="15" customHeight="1">
      <c r="A119" s="3205"/>
      <c r="B119" s="698" t="s">
        <v>30</v>
      </c>
      <c r="C119" s="3415" t="s">
        <v>309</v>
      </c>
      <c r="D119" s="1274">
        <f>I119+J119+K119+L119+N119+O119+P119+Q119+R119</f>
        <v>12924167</v>
      </c>
      <c r="E119" s="1275">
        <f t="shared" si="99"/>
        <v>0</v>
      </c>
      <c r="F119" s="1275">
        <f t="shared" si="99"/>
        <v>0</v>
      </c>
      <c r="G119" s="1275">
        <f t="shared" si="99"/>
        <v>0</v>
      </c>
      <c r="H119" s="1275">
        <f t="shared" si="99"/>
        <v>0</v>
      </c>
      <c r="I119" s="1275">
        <f t="shared" si="99"/>
        <v>0</v>
      </c>
      <c r="J119" s="1275">
        <f t="shared" si="99"/>
        <v>0</v>
      </c>
      <c r="K119" s="1275">
        <f t="shared" si="99"/>
        <v>0</v>
      </c>
      <c r="L119" s="1275">
        <f t="shared" si="99"/>
        <v>0</v>
      </c>
      <c r="M119" s="1275">
        <f t="shared" si="99"/>
        <v>0</v>
      </c>
      <c r="N119" s="1275">
        <f t="shared" si="99"/>
        <v>0</v>
      </c>
      <c r="O119" s="1275">
        <f t="shared" si="100"/>
        <v>0</v>
      </c>
      <c r="P119" s="1275">
        <f t="shared" si="100"/>
        <v>0</v>
      </c>
      <c r="Q119" s="1275">
        <f t="shared" si="100"/>
        <v>6462083</v>
      </c>
      <c r="R119" s="1275">
        <f t="shared" si="100"/>
        <v>6462084</v>
      </c>
      <c r="S119" s="1275">
        <f t="shared" si="100"/>
        <v>0</v>
      </c>
      <c r="T119" s="1275">
        <f t="shared" si="100"/>
        <v>0</v>
      </c>
      <c r="U119" s="1275">
        <f t="shared" si="100"/>
        <v>0</v>
      </c>
      <c r="V119" s="1275">
        <f t="shared" si="100"/>
        <v>0</v>
      </c>
      <c r="W119" s="1275">
        <f t="shared" si="100"/>
        <v>0</v>
      </c>
      <c r="X119" s="2953"/>
      <c r="Y119" s="3033"/>
    </row>
    <row r="120" spans="1:25" s="1283" customFormat="1" ht="15" customHeight="1" thickBot="1">
      <c r="A120" s="3206"/>
      <c r="B120" s="2664" t="s">
        <v>33</v>
      </c>
      <c r="C120" s="2995"/>
      <c r="D120" s="533">
        <f>+M120+O120+P120+Q120+R120+S120+T120+U120+V120+W120</f>
        <v>12924167</v>
      </c>
      <c r="E120" s="491"/>
      <c r="F120" s="492"/>
      <c r="G120" s="491"/>
      <c r="H120" s="491"/>
      <c r="I120" s="491">
        <v>0</v>
      </c>
      <c r="J120" s="491">
        <v>0</v>
      </c>
      <c r="K120" s="491">
        <v>0</v>
      </c>
      <c r="L120" s="491">
        <v>0</v>
      </c>
      <c r="M120" s="491">
        <f>+L120+K120+J120+I120+N120</f>
        <v>0</v>
      </c>
      <c r="N120" s="492"/>
      <c r="O120" s="491">
        <v>0</v>
      </c>
      <c r="P120" s="491">
        <v>0</v>
      </c>
      <c r="Q120" s="491">
        <v>6462083</v>
      </c>
      <c r="R120" s="491">
        <v>6462084</v>
      </c>
      <c r="S120" s="491">
        <v>0</v>
      </c>
      <c r="T120" s="491">
        <v>0</v>
      </c>
      <c r="U120" s="491">
        <v>0</v>
      </c>
      <c r="V120" s="491">
        <v>0</v>
      </c>
      <c r="W120" s="491">
        <v>0</v>
      </c>
      <c r="X120" s="2954"/>
      <c r="Y120" s="3034"/>
    </row>
    <row r="121" spans="1:25" ht="23.25" customHeight="1" thickBot="1">
      <c r="A121" s="734" t="s">
        <v>230</v>
      </c>
      <c r="B121" s="735"/>
      <c r="C121" s="735"/>
      <c r="D121" s="735"/>
      <c r="E121" s="736"/>
      <c r="F121" s="735"/>
      <c r="G121" s="735"/>
      <c r="H121" s="735"/>
      <c r="I121" s="735"/>
      <c r="J121" s="735"/>
      <c r="K121" s="735"/>
      <c r="L121" s="735"/>
      <c r="M121" s="735"/>
      <c r="N121" s="735"/>
      <c r="O121" s="735"/>
      <c r="P121" s="735"/>
      <c r="Q121" s="735"/>
      <c r="R121" s="735"/>
      <c r="S121" s="735"/>
      <c r="T121" s="735"/>
      <c r="U121" s="735"/>
      <c r="V121" s="735"/>
      <c r="W121" s="735"/>
      <c r="X121" s="737"/>
      <c r="Y121" s="738"/>
    </row>
    <row r="122" spans="1:25" ht="18.75" customHeight="1">
      <c r="A122" s="907"/>
      <c r="B122" s="789" t="s">
        <v>92</v>
      </c>
      <c r="C122" s="2883"/>
      <c r="D122" s="791">
        <f>+D123+D124</f>
        <v>15694800</v>
      </c>
      <c r="E122" s="791">
        <f t="shared" ref="E122:Q122" si="101">+E123+E124</f>
        <v>0</v>
      </c>
      <c r="F122" s="791">
        <f t="shared" si="101"/>
        <v>0</v>
      </c>
      <c r="G122" s="791">
        <f t="shared" si="101"/>
        <v>0</v>
      </c>
      <c r="H122" s="791">
        <f t="shared" si="101"/>
        <v>0</v>
      </c>
      <c r="I122" s="791">
        <f t="shared" si="101"/>
        <v>0</v>
      </c>
      <c r="J122" s="791">
        <f t="shared" si="101"/>
        <v>0</v>
      </c>
      <c r="K122" s="791">
        <f t="shared" si="101"/>
        <v>0</v>
      </c>
      <c r="L122" s="791">
        <f t="shared" si="101"/>
        <v>0</v>
      </c>
      <c r="M122" s="791">
        <f t="shared" si="101"/>
        <v>2798000</v>
      </c>
      <c r="N122" s="791">
        <f t="shared" si="101"/>
        <v>2798000</v>
      </c>
      <c r="O122" s="791">
        <f t="shared" si="101"/>
        <v>2378300</v>
      </c>
      <c r="P122" s="791">
        <f t="shared" si="101"/>
        <v>2566500</v>
      </c>
      <c r="Q122" s="791">
        <f t="shared" si="101"/>
        <v>2600000</v>
      </c>
      <c r="R122" s="791">
        <f t="shared" ref="R122:T122" si="102">+R123+R124</f>
        <v>2647000</v>
      </c>
      <c r="S122" s="791">
        <f t="shared" si="102"/>
        <v>2705000</v>
      </c>
      <c r="T122" s="791">
        <f t="shared" si="102"/>
        <v>0</v>
      </c>
      <c r="U122" s="791">
        <f t="shared" ref="U122:W122" si="103">+U123+U124</f>
        <v>0</v>
      </c>
      <c r="V122" s="791">
        <f t="shared" si="103"/>
        <v>0</v>
      </c>
      <c r="W122" s="791">
        <f t="shared" si="103"/>
        <v>0</v>
      </c>
      <c r="X122" s="345">
        <f>+X123+X124</f>
        <v>10518500</v>
      </c>
      <c r="Y122" s="3265"/>
    </row>
    <row r="123" spans="1:25" ht="14.25" customHeight="1">
      <c r="A123" s="732"/>
      <c r="B123" s="792" t="s">
        <v>93</v>
      </c>
      <c r="C123" s="794"/>
      <c r="D123" s="794">
        <f>+N123+O123+P123+Q123+R123+S123+T123+U123+V123+W123</f>
        <v>15694800</v>
      </c>
      <c r="E123" s="794">
        <f>+E137</f>
        <v>0</v>
      </c>
      <c r="F123" s="794">
        <f>+F135</f>
        <v>0</v>
      </c>
      <c r="G123" s="794">
        <f t="shared" ref="G123:H123" si="104">+G135</f>
        <v>0</v>
      </c>
      <c r="H123" s="794">
        <f t="shared" si="104"/>
        <v>0</v>
      </c>
      <c r="I123" s="794">
        <f>+I137</f>
        <v>0</v>
      </c>
      <c r="J123" s="794">
        <f>+J137</f>
        <v>0</v>
      </c>
      <c r="K123" s="794">
        <f>+K137</f>
        <v>0</v>
      </c>
      <c r="L123" s="794">
        <f>+L137</f>
        <v>0</v>
      </c>
      <c r="M123" s="794">
        <f t="shared" ref="M123" si="105">M133+M137</f>
        <v>2798000</v>
      </c>
      <c r="N123" s="794">
        <f>N133+N137</f>
        <v>2798000</v>
      </c>
      <c r="O123" s="794">
        <f t="shared" ref="O123:T123" si="106">O133+O137</f>
        <v>2378300</v>
      </c>
      <c r="P123" s="794">
        <f t="shared" si="106"/>
        <v>2566500</v>
      </c>
      <c r="Q123" s="794">
        <f t="shared" si="106"/>
        <v>2600000</v>
      </c>
      <c r="R123" s="794">
        <f t="shared" si="106"/>
        <v>2647000</v>
      </c>
      <c r="S123" s="794">
        <f t="shared" si="106"/>
        <v>2705000</v>
      </c>
      <c r="T123" s="794">
        <f t="shared" si="106"/>
        <v>0</v>
      </c>
      <c r="U123" s="794">
        <f t="shared" ref="U123:W123" si="107">U133+U137</f>
        <v>0</v>
      </c>
      <c r="V123" s="794">
        <f t="shared" si="107"/>
        <v>0</v>
      </c>
      <c r="W123" s="794">
        <f t="shared" si="107"/>
        <v>0</v>
      </c>
      <c r="X123" s="347">
        <f>SUM(P123:S123)</f>
        <v>10518500</v>
      </c>
      <c r="Y123" s="3266"/>
    </row>
    <row r="124" spans="1:25" ht="14.25" customHeight="1" thickBot="1">
      <c r="A124" s="732"/>
      <c r="B124" s="814" t="s">
        <v>21</v>
      </c>
      <c r="C124" s="811"/>
      <c r="D124" s="811">
        <v>0</v>
      </c>
      <c r="E124" s="811">
        <f>+E133</f>
        <v>0</v>
      </c>
      <c r="F124" s="811">
        <v>0</v>
      </c>
      <c r="G124" s="811">
        <v>0</v>
      </c>
      <c r="H124" s="811">
        <v>0</v>
      </c>
      <c r="I124" s="811">
        <f>+I133</f>
        <v>0</v>
      </c>
      <c r="J124" s="811">
        <f>+J133</f>
        <v>0</v>
      </c>
      <c r="K124" s="811">
        <f t="shared" ref="K124:L124" si="108">+K133</f>
        <v>0</v>
      </c>
      <c r="L124" s="811">
        <f t="shared" si="108"/>
        <v>0</v>
      </c>
      <c r="M124" s="811">
        <v>0</v>
      </c>
      <c r="N124" s="811">
        <v>0</v>
      </c>
      <c r="O124" s="811">
        <v>0</v>
      </c>
      <c r="P124" s="811">
        <v>0</v>
      </c>
      <c r="Q124" s="811">
        <v>0</v>
      </c>
      <c r="R124" s="811">
        <v>0</v>
      </c>
      <c r="S124" s="811">
        <v>0</v>
      </c>
      <c r="T124" s="811">
        <f t="shared" ref="T124" si="109">+T133</f>
        <v>0</v>
      </c>
      <c r="U124" s="811">
        <f t="shared" ref="U124:W124" si="110">+U133</f>
        <v>0</v>
      </c>
      <c r="V124" s="811">
        <f t="shared" si="110"/>
        <v>0</v>
      </c>
      <c r="W124" s="811">
        <f t="shared" si="110"/>
        <v>0</v>
      </c>
      <c r="X124" s="678">
        <f>SUM(P124:T124)</f>
        <v>0</v>
      </c>
      <c r="Y124" s="3266"/>
    </row>
    <row r="125" spans="1:25" ht="16.5" customHeight="1">
      <c r="A125" s="679"/>
      <c r="B125" s="517" t="s">
        <v>22</v>
      </c>
      <c r="C125" s="723"/>
      <c r="D125" s="739">
        <f t="shared" ref="D125:W125" si="111">+D126</f>
        <v>15694800</v>
      </c>
      <c r="E125" s="739">
        <f t="shared" si="111"/>
        <v>0</v>
      </c>
      <c r="F125" s="739">
        <f t="shared" si="111"/>
        <v>0</v>
      </c>
      <c r="G125" s="739">
        <f t="shared" si="111"/>
        <v>0</v>
      </c>
      <c r="H125" s="739">
        <f t="shared" si="111"/>
        <v>0</v>
      </c>
      <c r="I125" s="739">
        <f t="shared" si="111"/>
        <v>0</v>
      </c>
      <c r="J125" s="739">
        <f t="shared" si="111"/>
        <v>0</v>
      </c>
      <c r="K125" s="739">
        <f t="shared" si="111"/>
        <v>0</v>
      </c>
      <c r="L125" s="739">
        <f t="shared" si="111"/>
        <v>0</v>
      </c>
      <c r="M125" s="739">
        <f t="shared" si="111"/>
        <v>2798000</v>
      </c>
      <c r="N125" s="739">
        <f t="shared" si="111"/>
        <v>2798000</v>
      </c>
      <c r="O125" s="739">
        <f t="shared" si="111"/>
        <v>2378300</v>
      </c>
      <c r="P125" s="739">
        <f t="shared" si="111"/>
        <v>2566500</v>
      </c>
      <c r="Q125" s="739">
        <f t="shared" si="111"/>
        <v>2600000</v>
      </c>
      <c r="R125" s="739">
        <f t="shared" si="111"/>
        <v>2647000</v>
      </c>
      <c r="S125" s="739">
        <f t="shared" si="111"/>
        <v>2705000</v>
      </c>
      <c r="T125" s="739">
        <f t="shared" si="111"/>
        <v>0</v>
      </c>
      <c r="U125" s="739">
        <f t="shared" si="111"/>
        <v>0</v>
      </c>
      <c r="V125" s="739">
        <f t="shared" si="111"/>
        <v>0</v>
      </c>
      <c r="W125" s="739">
        <f t="shared" si="111"/>
        <v>0</v>
      </c>
      <c r="X125" s="725">
        <f>+X126</f>
        <v>10518500</v>
      </c>
      <c r="Y125" s="3266"/>
    </row>
    <row r="126" spans="1:25" ht="15" customHeight="1">
      <c r="A126" s="740"/>
      <c r="B126" s="683" t="s">
        <v>23</v>
      </c>
      <c r="C126" s="3421" t="s">
        <v>77</v>
      </c>
      <c r="D126" s="741">
        <f t="shared" ref="D126:M126" si="112">+D128</f>
        <v>15694800</v>
      </c>
      <c r="E126" s="741">
        <f t="shared" si="112"/>
        <v>0</v>
      </c>
      <c r="F126" s="741">
        <f t="shared" si="112"/>
        <v>0</v>
      </c>
      <c r="G126" s="741">
        <f t="shared" si="112"/>
        <v>0</v>
      </c>
      <c r="H126" s="741">
        <f t="shared" si="112"/>
        <v>0</v>
      </c>
      <c r="I126" s="741">
        <f t="shared" si="112"/>
        <v>0</v>
      </c>
      <c r="J126" s="741">
        <f t="shared" si="112"/>
        <v>0</v>
      </c>
      <c r="K126" s="741">
        <f t="shared" si="112"/>
        <v>0</v>
      </c>
      <c r="L126" s="741">
        <f t="shared" si="112"/>
        <v>0</v>
      </c>
      <c r="M126" s="741">
        <f t="shared" si="112"/>
        <v>2798000</v>
      </c>
      <c r="N126" s="741">
        <f>+N127+N128</f>
        <v>2798000</v>
      </c>
      <c r="O126" s="741">
        <f t="shared" ref="O126:T126" si="113">+O127+O128</f>
        <v>2378300</v>
      </c>
      <c r="P126" s="741">
        <f t="shared" si="113"/>
        <v>2566500</v>
      </c>
      <c r="Q126" s="741">
        <f t="shared" si="113"/>
        <v>2600000</v>
      </c>
      <c r="R126" s="741">
        <f t="shared" si="113"/>
        <v>2647000</v>
      </c>
      <c r="S126" s="741">
        <f t="shared" si="113"/>
        <v>2705000</v>
      </c>
      <c r="T126" s="741">
        <f t="shared" si="113"/>
        <v>0</v>
      </c>
      <c r="U126" s="741">
        <f t="shared" ref="U126:W126" si="114">+U127+U128</f>
        <v>0</v>
      </c>
      <c r="V126" s="741">
        <f t="shared" si="114"/>
        <v>0</v>
      </c>
      <c r="W126" s="741">
        <f t="shared" si="114"/>
        <v>0</v>
      </c>
      <c r="X126" s="502">
        <f t="shared" ref="X126" si="115">+X127+X128</f>
        <v>10518500</v>
      </c>
      <c r="Y126" s="3266"/>
    </row>
    <row r="127" spans="1:25" ht="13.5" hidden="1" customHeight="1">
      <c r="A127" s="740"/>
      <c r="B127" s="686" t="s">
        <v>78</v>
      </c>
      <c r="C127" s="3269"/>
      <c r="D127" s="669">
        <f t="shared" ref="D127" si="116">+M127+N127+O127+P127+Q127+R127+S127+T127</f>
        <v>0</v>
      </c>
      <c r="E127" s="741"/>
      <c r="F127" s="741"/>
      <c r="G127" s="741"/>
      <c r="H127" s="741"/>
      <c r="I127" s="741"/>
      <c r="J127" s="741"/>
      <c r="K127" s="741"/>
      <c r="L127" s="741"/>
      <c r="M127" s="669">
        <f>M139</f>
        <v>0</v>
      </c>
      <c r="N127" s="669">
        <f>N139</f>
        <v>0</v>
      </c>
      <c r="O127" s="669">
        <f>O139</f>
        <v>0</v>
      </c>
      <c r="P127" s="669">
        <f t="shared" ref="P127:T127" si="117">P139</f>
        <v>0</v>
      </c>
      <c r="Q127" s="669">
        <f t="shared" si="117"/>
        <v>0</v>
      </c>
      <c r="R127" s="669">
        <f t="shared" si="117"/>
        <v>0</v>
      </c>
      <c r="S127" s="669">
        <f t="shared" si="117"/>
        <v>0</v>
      </c>
      <c r="T127" s="669">
        <f t="shared" si="117"/>
        <v>0</v>
      </c>
      <c r="U127" s="669">
        <f t="shared" ref="U127:W127" si="118">U139</f>
        <v>0</v>
      </c>
      <c r="V127" s="669">
        <f t="shared" si="118"/>
        <v>0</v>
      </c>
      <c r="W127" s="669">
        <f t="shared" si="118"/>
        <v>0</v>
      </c>
      <c r="X127" s="743">
        <f>X139</f>
        <v>0</v>
      </c>
      <c r="Y127" s="3266"/>
    </row>
    <row r="128" spans="1:25" ht="15.75" customHeight="1" thickBot="1">
      <c r="A128" s="685"/>
      <c r="B128" s="686" t="s">
        <v>233</v>
      </c>
      <c r="C128" s="3269"/>
      <c r="D128" s="742">
        <f>+D135+D139</f>
        <v>15694800</v>
      </c>
      <c r="E128" s="742">
        <f t="shared" ref="E128:L128" si="119">+E135+E139</f>
        <v>0</v>
      </c>
      <c r="F128" s="742">
        <f t="shared" si="119"/>
        <v>0</v>
      </c>
      <c r="G128" s="742">
        <f t="shared" si="119"/>
        <v>0</v>
      </c>
      <c r="H128" s="742">
        <f t="shared" si="119"/>
        <v>0</v>
      </c>
      <c r="I128" s="742">
        <f t="shared" si="119"/>
        <v>0</v>
      </c>
      <c r="J128" s="742">
        <f t="shared" si="119"/>
        <v>0</v>
      </c>
      <c r="K128" s="742">
        <f t="shared" si="119"/>
        <v>0</v>
      </c>
      <c r="L128" s="742">
        <f t="shared" si="119"/>
        <v>0</v>
      </c>
      <c r="M128" s="742">
        <f>+M135+M139</f>
        <v>2798000</v>
      </c>
      <c r="N128" s="742">
        <f t="shared" ref="N128:T128" si="120">+N135</f>
        <v>2798000</v>
      </c>
      <c r="O128" s="742">
        <f t="shared" si="120"/>
        <v>2378300</v>
      </c>
      <c r="P128" s="742">
        <f t="shared" si="120"/>
        <v>2566500</v>
      </c>
      <c r="Q128" s="742">
        <f t="shared" si="120"/>
        <v>2600000</v>
      </c>
      <c r="R128" s="742">
        <f t="shared" si="120"/>
        <v>2647000</v>
      </c>
      <c r="S128" s="742">
        <f t="shared" si="120"/>
        <v>2705000</v>
      </c>
      <c r="T128" s="742">
        <f t="shared" si="120"/>
        <v>0</v>
      </c>
      <c r="U128" s="742">
        <f t="shared" ref="U128:W128" si="121">+U135</f>
        <v>0</v>
      </c>
      <c r="V128" s="742">
        <f t="shared" si="121"/>
        <v>0</v>
      </c>
      <c r="W128" s="742">
        <f t="shared" si="121"/>
        <v>0</v>
      </c>
      <c r="X128" s="743">
        <f>X135</f>
        <v>10518500</v>
      </c>
      <c r="Y128" s="3266"/>
    </row>
    <row r="129" spans="1:25" ht="18.75" hidden="1" customHeight="1">
      <c r="A129" s="668"/>
      <c r="B129" s="748" t="s">
        <v>34</v>
      </c>
      <c r="C129" s="375"/>
      <c r="D129" s="749">
        <f t="shared" ref="D129:D130" si="122">+M129+N129+O129+P129+Q129+R129+S129+T129</f>
        <v>0</v>
      </c>
      <c r="E129" s="750">
        <f t="shared" ref="E129:T130" si="123">E130</f>
        <v>0</v>
      </c>
      <c r="F129" s="750">
        <f t="shared" si="123"/>
        <v>0</v>
      </c>
      <c r="G129" s="750">
        <f t="shared" si="123"/>
        <v>0</v>
      </c>
      <c r="H129" s="750">
        <f t="shared" si="123"/>
        <v>0</v>
      </c>
      <c r="I129" s="750">
        <f t="shared" si="123"/>
        <v>0</v>
      </c>
      <c r="J129" s="750">
        <f t="shared" si="123"/>
        <v>0</v>
      </c>
      <c r="K129" s="750">
        <f t="shared" si="123"/>
        <v>0</v>
      </c>
      <c r="L129" s="750">
        <f t="shared" si="123"/>
        <v>0</v>
      </c>
      <c r="M129" s="750">
        <f t="shared" si="123"/>
        <v>0</v>
      </c>
      <c r="N129" s="750">
        <f t="shared" si="123"/>
        <v>0</v>
      </c>
      <c r="O129" s="750">
        <f>O140</f>
        <v>0</v>
      </c>
      <c r="P129" s="750">
        <f t="shared" si="123"/>
        <v>0</v>
      </c>
      <c r="Q129" s="750">
        <f t="shared" si="123"/>
        <v>0</v>
      </c>
      <c r="R129" s="750">
        <f t="shared" si="123"/>
        <v>0</v>
      </c>
      <c r="S129" s="750">
        <f t="shared" si="123"/>
        <v>0</v>
      </c>
      <c r="T129" s="750">
        <f t="shared" si="123"/>
        <v>0</v>
      </c>
      <c r="U129" s="750">
        <f t="shared" ref="U129:W129" si="124">U130</f>
        <v>0</v>
      </c>
      <c r="V129" s="750">
        <f t="shared" si="124"/>
        <v>0</v>
      </c>
      <c r="W129" s="750">
        <f t="shared" si="124"/>
        <v>0</v>
      </c>
      <c r="X129" s="2952" t="s">
        <v>77</v>
      </c>
      <c r="Y129" s="3266"/>
    </row>
    <row r="130" spans="1:25" ht="13.5" hidden="1" customHeight="1">
      <c r="A130" s="668"/>
      <c r="B130" s="752" t="s">
        <v>23</v>
      </c>
      <c r="C130" s="757"/>
      <c r="D130" s="847">
        <f t="shared" si="122"/>
        <v>0</v>
      </c>
      <c r="E130" s="847">
        <f t="shared" si="123"/>
        <v>0</v>
      </c>
      <c r="F130" s="847">
        <f t="shared" si="123"/>
        <v>0</v>
      </c>
      <c r="G130" s="847">
        <f t="shared" si="123"/>
        <v>0</v>
      </c>
      <c r="H130" s="847">
        <f t="shared" si="123"/>
        <v>0</v>
      </c>
      <c r="I130" s="847">
        <f t="shared" si="123"/>
        <v>0</v>
      </c>
      <c r="J130" s="847">
        <f t="shared" si="123"/>
        <v>0</v>
      </c>
      <c r="K130" s="847">
        <f t="shared" si="123"/>
        <v>0</v>
      </c>
      <c r="L130" s="847">
        <f t="shared" si="123"/>
        <v>0</v>
      </c>
      <c r="M130" s="847">
        <f t="shared" si="123"/>
        <v>0</v>
      </c>
      <c r="N130" s="847">
        <f t="shared" si="123"/>
        <v>0</v>
      </c>
      <c r="O130" s="847">
        <f>O141</f>
        <v>0</v>
      </c>
      <c r="P130" s="847">
        <f>P131</f>
        <v>0</v>
      </c>
      <c r="Q130" s="847">
        <f t="shared" si="123"/>
        <v>0</v>
      </c>
      <c r="R130" s="847">
        <f t="shared" si="123"/>
        <v>0</v>
      </c>
      <c r="S130" s="847">
        <f t="shared" si="123"/>
        <v>0</v>
      </c>
      <c r="T130" s="847">
        <f t="shared" si="123"/>
        <v>0</v>
      </c>
      <c r="U130" s="847">
        <f t="shared" ref="U130:W130" si="125">U131</f>
        <v>0</v>
      </c>
      <c r="V130" s="847">
        <f t="shared" si="125"/>
        <v>0</v>
      </c>
      <c r="W130" s="847">
        <f t="shared" si="125"/>
        <v>0</v>
      </c>
      <c r="X130" s="2953"/>
      <c r="Y130" s="3266"/>
    </row>
    <row r="131" spans="1:25" ht="13.5" hidden="1" customHeight="1" thickBot="1">
      <c r="A131" s="758"/>
      <c r="B131" s="1213" t="s">
        <v>78</v>
      </c>
      <c r="C131" s="2884"/>
      <c r="D131" s="935">
        <f>+M131+N131+O131+P131+Q131+R131+S131+T131</f>
        <v>0</v>
      </c>
      <c r="E131" s="935">
        <f t="shared" ref="E131:R131" si="126">E141+E159+E166+E173+E180+E150+E187+E194+E201+E208</f>
        <v>0</v>
      </c>
      <c r="F131" s="935">
        <f t="shared" si="126"/>
        <v>0</v>
      </c>
      <c r="G131" s="935">
        <f t="shared" si="126"/>
        <v>0</v>
      </c>
      <c r="H131" s="935">
        <f t="shared" si="126"/>
        <v>0</v>
      </c>
      <c r="I131" s="935">
        <f t="shared" si="126"/>
        <v>0</v>
      </c>
      <c r="J131" s="935">
        <f t="shared" si="126"/>
        <v>0</v>
      </c>
      <c r="K131" s="935">
        <f t="shared" si="126"/>
        <v>0</v>
      </c>
      <c r="L131" s="935">
        <f t="shared" si="126"/>
        <v>0</v>
      </c>
      <c r="M131" s="935">
        <f t="shared" si="126"/>
        <v>0</v>
      </c>
      <c r="N131" s="935">
        <f t="shared" si="126"/>
        <v>0</v>
      </c>
      <c r="O131" s="935">
        <f>O142</f>
        <v>0</v>
      </c>
      <c r="P131" s="935">
        <f>P142</f>
        <v>0</v>
      </c>
      <c r="Q131" s="935">
        <f t="shared" si="126"/>
        <v>0</v>
      </c>
      <c r="R131" s="935">
        <f t="shared" si="126"/>
        <v>0</v>
      </c>
      <c r="S131" s="935">
        <f>S142</f>
        <v>0</v>
      </c>
      <c r="T131" s="935">
        <f t="shared" ref="T131:W131" si="127">T142</f>
        <v>0</v>
      </c>
      <c r="U131" s="935">
        <f t="shared" si="127"/>
        <v>0</v>
      </c>
      <c r="V131" s="935">
        <f t="shared" si="127"/>
        <v>0</v>
      </c>
      <c r="W131" s="935">
        <f t="shared" si="127"/>
        <v>0</v>
      </c>
      <c r="X131" s="2954"/>
      <c r="Y131" s="3267"/>
    </row>
    <row r="132" spans="1:25" ht="39.75" customHeight="1">
      <c r="A132" s="3418" t="s">
        <v>79</v>
      </c>
      <c r="B132" s="717" t="s">
        <v>562</v>
      </c>
      <c r="C132" s="2662" t="s">
        <v>229</v>
      </c>
      <c r="D132" s="727"/>
      <c r="E132" s="697"/>
      <c r="F132" s="697"/>
      <c r="G132" s="697"/>
      <c r="H132" s="697"/>
      <c r="I132" s="697"/>
      <c r="J132" s="697"/>
      <c r="K132" s="697"/>
      <c r="L132" s="719"/>
      <c r="M132" s="719"/>
      <c r="N132" s="719"/>
      <c r="O132" s="719"/>
      <c r="P132" s="720"/>
      <c r="Q132" s="720"/>
      <c r="R132" s="720"/>
      <c r="S132" s="720"/>
      <c r="T132" s="719"/>
      <c r="U132" s="719"/>
      <c r="V132" s="719"/>
      <c r="W132" s="719"/>
      <c r="X132" s="721"/>
      <c r="Y132" s="2999" t="s">
        <v>231</v>
      </c>
    </row>
    <row r="133" spans="1:25" s="762" customFormat="1" ht="15.75" customHeight="1">
      <c r="A133" s="3419"/>
      <c r="B133" s="374" t="s">
        <v>22</v>
      </c>
      <c r="C133" s="375"/>
      <c r="D133" s="749">
        <f t="shared" ref="D133:X134" si="128">+D134</f>
        <v>15694800</v>
      </c>
      <c r="E133" s="749">
        <f t="shared" si="128"/>
        <v>0</v>
      </c>
      <c r="F133" s="749">
        <f t="shared" si="128"/>
        <v>0</v>
      </c>
      <c r="G133" s="749">
        <f t="shared" si="128"/>
        <v>0</v>
      </c>
      <c r="H133" s="749">
        <f t="shared" si="128"/>
        <v>0</v>
      </c>
      <c r="I133" s="749">
        <f t="shared" si="128"/>
        <v>0</v>
      </c>
      <c r="J133" s="749">
        <f t="shared" si="128"/>
        <v>0</v>
      </c>
      <c r="K133" s="749">
        <f t="shared" si="128"/>
        <v>0</v>
      </c>
      <c r="L133" s="749">
        <f t="shared" si="128"/>
        <v>0</v>
      </c>
      <c r="M133" s="749">
        <f t="shared" si="128"/>
        <v>2798000</v>
      </c>
      <c r="N133" s="749">
        <f t="shared" si="128"/>
        <v>2798000</v>
      </c>
      <c r="O133" s="749">
        <f t="shared" si="128"/>
        <v>2378300</v>
      </c>
      <c r="P133" s="749">
        <f t="shared" si="128"/>
        <v>2566500</v>
      </c>
      <c r="Q133" s="749">
        <f t="shared" si="128"/>
        <v>2600000</v>
      </c>
      <c r="R133" s="749">
        <f t="shared" si="128"/>
        <v>2647000</v>
      </c>
      <c r="S133" s="749">
        <f t="shared" si="128"/>
        <v>2705000</v>
      </c>
      <c r="T133" s="749">
        <f t="shared" si="128"/>
        <v>0</v>
      </c>
      <c r="U133" s="749">
        <f t="shared" si="128"/>
        <v>0</v>
      </c>
      <c r="V133" s="749">
        <f t="shared" si="128"/>
        <v>0</v>
      </c>
      <c r="W133" s="749">
        <f t="shared" si="128"/>
        <v>0</v>
      </c>
      <c r="X133" s="780">
        <f t="shared" si="128"/>
        <v>10518500</v>
      </c>
      <c r="Y133" s="3000"/>
    </row>
    <row r="134" spans="1:25" s="762" customFormat="1" ht="15" customHeight="1">
      <c r="A134" s="3419"/>
      <c r="B134" s="2885" t="s">
        <v>36</v>
      </c>
      <c r="C134" s="2978" t="s">
        <v>232</v>
      </c>
      <c r="D134" s="564">
        <f t="shared" si="128"/>
        <v>15694800</v>
      </c>
      <c r="E134" s="460">
        <f t="shared" si="128"/>
        <v>0</v>
      </c>
      <c r="F134" s="460">
        <f t="shared" si="128"/>
        <v>0</v>
      </c>
      <c r="G134" s="460">
        <f t="shared" si="128"/>
        <v>0</v>
      </c>
      <c r="H134" s="460">
        <f t="shared" si="128"/>
        <v>0</v>
      </c>
      <c r="I134" s="564">
        <f t="shared" si="128"/>
        <v>0</v>
      </c>
      <c r="J134" s="564">
        <f t="shared" si="128"/>
        <v>0</v>
      </c>
      <c r="K134" s="564">
        <f t="shared" si="128"/>
        <v>0</v>
      </c>
      <c r="L134" s="564">
        <f t="shared" si="128"/>
        <v>0</v>
      </c>
      <c r="M134" s="564">
        <f t="shared" si="128"/>
        <v>2798000</v>
      </c>
      <c r="N134" s="570">
        <f>N135</f>
        <v>2798000</v>
      </c>
      <c r="O134" s="570">
        <f>O135</f>
        <v>2378300</v>
      </c>
      <c r="P134" s="570">
        <f>P135</f>
        <v>2566500</v>
      </c>
      <c r="Q134" s="570">
        <f t="shared" ref="Q134:S134" si="129">Q135</f>
        <v>2600000</v>
      </c>
      <c r="R134" s="570">
        <f t="shared" si="129"/>
        <v>2647000</v>
      </c>
      <c r="S134" s="570">
        <f t="shared" si="129"/>
        <v>2705000</v>
      </c>
      <c r="T134" s="570">
        <v>0</v>
      </c>
      <c r="U134" s="570">
        <v>0</v>
      </c>
      <c r="V134" s="570">
        <v>0</v>
      </c>
      <c r="W134" s="570">
        <v>0</v>
      </c>
      <c r="X134" s="502">
        <f t="shared" si="128"/>
        <v>10518500</v>
      </c>
      <c r="Y134" s="3000"/>
    </row>
    <row r="135" spans="1:25" s="762" customFormat="1" ht="15" customHeight="1" thickBot="1">
      <c r="A135" s="3420"/>
      <c r="B135" s="820" t="s">
        <v>233</v>
      </c>
      <c r="C135" s="3016"/>
      <c r="D135" s="534">
        <f>+M135+O135+P135+Q135+R135+S135+T135+U135+V135+W135</f>
        <v>15694800</v>
      </c>
      <c r="E135" s="491">
        <v>0</v>
      </c>
      <c r="F135" s="492">
        <v>0</v>
      </c>
      <c r="G135" s="492"/>
      <c r="H135" s="491"/>
      <c r="I135" s="491">
        <v>0</v>
      </c>
      <c r="J135" s="491">
        <v>0</v>
      </c>
      <c r="K135" s="491">
        <v>0</v>
      </c>
      <c r="L135" s="491">
        <v>0</v>
      </c>
      <c r="M135" s="491">
        <f>+L135+K135+J135+I135+N135</f>
        <v>2798000</v>
      </c>
      <c r="N135" s="492">
        <f>2758000+40000</f>
        <v>2798000</v>
      </c>
      <c r="O135" s="492">
        <f>1650000+728300</f>
        <v>2378300</v>
      </c>
      <c r="P135" s="492">
        <f>2828000-258000-3500</f>
        <v>2566500</v>
      </c>
      <c r="Q135" s="492">
        <v>2600000</v>
      </c>
      <c r="R135" s="492">
        <v>2647000</v>
      </c>
      <c r="S135" s="492">
        <v>2705000</v>
      </c>
      <c r="T135" s="492">
        <v>0</v>
      </c>
      <c r="U135" s="492">
        <v>0</v>
      </c>
      <c r="V135" s="492">
        <v>0</v>
      </c>
      <c r="W135" s="492">
        <v>0</v>
      </c>
      <c r="X135" s="2886">
        <f>+P135+Q135+R135+S135</f>
        <v>10518500</v>
      </c>
      <c r="Y135" s="3001"/>
    </row>
    <row r="136" spans="1:25" ht="40.5" hidden="1" customHeight="1">
      <c r="A136" s="3441" t="s">
        <v>80</v>
      </c>
      <c r="B136" s="1042"/>
      <c r="C136" s="1000" t="s">
        <v>229</v>
      </c>
      <c r="D136" s="1043"/>
      <c r="E136" s="998"/>
      <c r="F136" s="998"/>
      <c r="G136" s="998"/>
      <c r="H136" s="998"/>
      <c r="I136" s="998"/>
      <c r="J136" s="998"/>
      <c r="K136" s="998"/>
      <c r="L136" s="1001"/>
      <c r="M136" s="1001"/>
      <c r="N136" s="1001"/>
      <c r="O136" s="1001"/>
      <c r="P136" s="1002"/>
      <c r="Q136" s="1002"/>
      <c r="R136" s="1002"/>
      <c r="S136" s="1002"/>
      <c r="T136" s="1001"/>
      <c r="U136" s="1001"/>
      <c r="V136" s="1001"/>
      <c r="W136" s="1001"/>
      <c r="X136" s="1003"/>
      <c r="Y136" s="3442" t="s">
        <v>307</v>
      </c>
    </row>
    <row r="137" spans="1:25" ht="17.25" hidden="1" customHeight="1">
      <c r="A137" s="3441"/>
      <c r="B137" s="647" t="s">
        <v>22</v>
      </c>
      <c r="C137" s="647"/>
      <c r="D137" s="852">
        <f>M137+N137+O137+P137+Q137+R137</f>
        <v>0</v>
      </c>
      <c r="E137" s="1044">
        <f t="shared" ref="E137:X138" si="130">+E138</f>
        <v>0</v>
      </c>
      <c r="F137" s="1045">
        <f t="shared" si="130"/>
        <v>0</v>
      </c>
      <c r="G137" s="1045">
        <f t="shared" si="130"/>
        <v>0</v>
      </c>
      <c r="H137" s="1045">
        <f t="shared" si="130"/>
        <v>0</v>
      </c>
      <c r="I137" s="1045">
        <f t="shared" si="130"/>
        <v>0</v>
      </c>
      <c r="J137" s="1045">
        <f t="shared" si="130"/>
        <v>0</v>
      </c>
      <c r="K137" s="1045">
        <f t="shared" si="130"/>
        <v>0</v>
      </c>
      <c r="L137" s="1046">
        <f t="shared" si="130"/>
        <v>0</v>
      </c>
      <c r="M137" s="852">
        <f>+M138</f>
        <v>0</v>
      </c>
      <c r="N137" s="1234">
        <f t="shared" si="130"/>
        <v>0</v>
      </c>
      <c r="O137" s="1047">
        <f t="shared" si="130"/>
        <v>0</v>
      </c>
      <c r="P137" s="852">
        <f>+P138</f>
        <v>0</v>
      </c>
      <c r="Q137" s="1048">
        <f t="shared" si="130"/>
        <v>0</v>
      </c>
      <c r="R137" s="1047">
        <f t="shared" si="130"/>
        <v>0</v>
      </c>
      <c r="S137" s="1047">
        <f t="shared" si="130"/>
        <v>0</v>
      </c>
      <c r="T137" s="1048">
        <f t="shared" si="130"/>
        <v>0</v>
      </c>
      <c r="U137" s="1048"/>
      <c r="V137" s="1048"/>
      <c r="W137" s="1048"/>
      <c r="X137" s="480">
        <f t="shared" si="130"/>
        <v>0</v>
      </c>
      <c r="Y137" s="3442"/>
    </row>
    <row r="138" spans="1:25" ht="16.5" hidden="1" customHeight="1">
      <c r="A138" s="3441"/>
      <c r="B138" s="702" t="s">
        <v>308</v>
      </c>
      <c r="C138" s="3443" t="s">
        <v>306</v>
      </c>
      <c r="D138" s="1049">
        <f>M138+N138+O138+P138+Q138+R138</f>
        <v>0</v>
      </c>
      <c r="E138" s="1050">
        <f t="shared" si="130"/>
        <v>0</v>
      </c>
      <c r="F138" s="1050">
        <f t="shared" si="130"/>
        <v>0</v>
      </c>
      <c r="G138" s="1050">
        <f t="shared" si="130"/>
        <v>0</v>
      </c>
      <c r="H138" s="1050">
        <f t="shared" si="130"/>
        <v>0</v>
      </c>
      <c r="I138" s="1051">
        <f t="shared" si="130"/>
        <v>0</v>
      </c>
      <c r="J138" s="1051">
        <f t="shared" si="130"/>
        <v>0</v>
      </c>
      <c r="K138" s="1051">
        <f t="shared" si="130"/>
        <v>0</v>
      </c>
      <c r="L138" s="1051">
        <f t="shared" si="130"/>
        <v>0</v>
      </c>
      <c r="M138" s="1051">
        <f t="shared" si="130"/>
        <v>0</v>
      </c>
      <c r="N138" s="1051">
        <f>N139</f>
        <v>0</v>
      </c>
      <c r="O138" s="1051">
        <f>O139</f>
        <v>0</v>
      </c>
      <c r="P138" s="1051">
        <f>+P139</f>
        <v>0</v>
      </c>
      <c r="Q138" s="1051">
        <f>Q139</f>
        <v>0</v>
      </c>
      <c r="R138" s="1051">
        <f>R139</f>
        <v>0</v>
      </c>
      <c r="S138" s="1051">
        <f>S139</f>
        <v>0</v>
      </c>
      <c r="T138" s="1052">
        <f>T139</f>
        <v>0</v>
      </c>
      <c r="U138" s="1052"/>
      <c r="V138" s="1052"/>
      <c r="W138" s="1052"/>
      <c r="X138" s="502">
        <f>+X139</f>
        <v>0</v>
      </c>
      <c r="Y138" s="3442"/>
    </row>
    <row r="139" spans="1:25" ht="13.5" hidden="1" customHeight="1">
      <c r="A139" s="3441"/>
      <c r="B139" s="1053" t="s">
        <v>78</v>
      </c>
      <c r="C139" s="3444"/>
      <c r="D139" s="1054">
        <f>+M139+N139+O139+P139+Q139+R139+S139+T139</f>
        <v>0</v>
      </c>
      <c r="E139" s="1055"/>
      <c r="F139" s="1055">
        <v>0</v>
      </c>
      <c r="G139" s="1055"/>
      <c r="H139" s="1055"/>
      <c r="I139" s="1055"/>
      <c r="J139" s="1055"/>
      <c r="K139" s="1055"/>
      <c r="L139" s="1055"/>
      <c r="M139" s="1055">
        <v>0</v>
      </c>
      <c r="N139" s="1055">
        <v>0</v>
      </c>
      <c r="O139" s="1055">
        <v>0</v>
      </c>
      <c r="P139" s="1055">
        <v>0</v>
      </c>
      <c r="Q139" s="1055">
        <v>0</v>
      </c>
      <c r="R139" s="1055">
        <v>0</v>
      </c>
      <c r="S139" s="1055">
        <v>0</v>
      </c>
      <c r="T139" s="1055">
        <v>0</v>
      </c>
      <c r="U139" s="1055"/>
      <c r="V139" s="1055"/>
      <c r="W139" s="1055"/>
      <c r="X139" s="1056">
        <f>+P139+Q139+R139+S139</f>
        <v>0</v>
      </c>
      <c r="Y139" s="3442"/>
    </row>
    <row r="140" spans="1:25" ht="15.75" hidden="1" customHeight="1">
      <c r="A140" s="3441"/>
      <c r="B140" s="1057" t="s">
        <v>34</v>
      </c>
      <c r="C140" s="375"/>
      <c r="D140" s="1058">
        <f>MO140+N140+O140+P140+Q140+R140</f>
        <v>0</v>
      </c>
      <c r="E140" s="464">
        <f t="shared" ref="E140:N141" si="131">+E141</f>
        <v>0</v>
      </c>
      <c r="F140" s="464">
        <f t="shared" si="131"/>
        <v>0</v>
      </c>
      <c r="G140" s="464">
        <f t="shared" si="131"/>
        <v>0</v>
      </c>
      <c r="H140" s="464">
        <f t="shared" si="131"/>
        <v>0</v>
      </c>
      <c r="I140" s="464">
        <f t="shared" si="131"/>
        <v>0</v>
      </c>
      <c r="J140" s="464">
        <f t="shared" si="131"/>
        <v>0</v>
      </c>
      <c r="K140" s="464">
        <f t="shared" si="131"/>
        <v>0</v>
      </c>
      <c r="L140" s="464">
        <f t="shared" si="131"/>
        <v>0</v>
      </c>
      <c r="M140" s="464">
        <f t="shared" si="131"/>
        <v>0</v>
      </c>
      <c r="N140" s="464">
        <f t="shared" si="131"/>
        <v>0</v>
      </c>
      <c r="O140" s="464">
        <f t="shared" ref="O140:T141" si="132">O141</f>
        <v>0</v>
      </c>
      <c r="P140" s="464">
        <f t="shared" si="132"/>
        <v>0</v>
      </c>
      <c r="Q140" s="464">
        <f t="shared" si="132"/>
        <v>0</v>
      </c>
      <c r="R140" s="464"/>
      <c r="S140" s="464">
        <f t="shared" si="132"/>
        <v>0</v>
      </c>
      <c r="T140" s="464">
        <f t="shared" si="132"/>
        <v>0</v>
      </c>
      <c r="U140" s="1179"/>
      <c r="V140" s="1179"/>
      <c r="W140" s="1179"/>
      <c r="X140" s="2953" t="s">
        <v>77</v>
      </c>
      <c r="Y140" s="3442"/>
    </row>
    <row r="141" spans="1:25" ht="16.5" hidden="1" customHeight="1">
      <c r="A141" s="3441"/>
      <c r="B141" s="702" t="s">
        <v>23</v>
      </c>
      <c r="C141" s="3039" t="s">
        <v>306</v>
      </c>
      <c r="D141" s="615">
        <f>M141+N141+O141+P141+Q141+R141</f>
        <v>0</v>
      </c>
      <c r="E141" s="460">
        <f t="shared" si="131"/>
        <v>0</v>
      </c>
      <c r="F141" s="460">
        <f t="shared" si="131"/>
        <v>0</v>
      </c>
      <c r="G141" s="460">
        <f t="shared" si="131"/>
        <v>0</v>
      </c>
      <c r="H141" s="460">
        <f t="shared" si="131"/>
        <v>0</v>
      </c>
      <c r="I141" s="460">
        <f t="shared" si="131"/>
        <v>0</v>
      </c>
      <c r="J141" s="460">
        <f t="shared" si="131"/>
        <v>0</v>
      </c>
      <c r="K141" s="460">
        <f t="shared" si="131"/>
        <v>0</v>
      </c>
      <c r="L141" s="460">
        <f t="shared" si="131"/>
        <v>0</v>
      </c>
      <c r="M141" s="460">
        <f t="shared" si="131"/>
        <v>0</v>
      </c>
      <c r="N141" s="460">
        <f t="shared" si="131"/>
        <v>0</v>
      </c>
      <c r="O141" s="460">
        <f t="shared" si="132"/>
        <v>0</v>
      </c>
      <c r="P141" s="460">
        <f t="shared" si="132"/>
        <v>0</v>
      </c>
      <c r="Q141" s="460">
        <f t="shared" si="132"/>
        <v>0</v>
      </c>
      <c r="R141" s="460">
        <f t="shared" si="132"/>
        <v>0</v>
      </c>
      <c r="S141" s="460">
        <f t="shared" si="132"/>
        <v>0</v>
      </c>
      <c r="T141" s="460">
        <f t="shared" si="132"/>
        <v>0</v>
      </c>
      <c r="U141" s="1173"/>
      <c r="V141" s="1173"/>
      <c r="W141" s="1173"/>
      <c r="X141" s="2953"/>
      <c r="Y141" s="3442"/>
    </row>
    <row r="142" spans="1:25" ht="13.5" hidden="1" customHeight="1" thickBot="1">
      <c r="A142" s="3441"/>
      <c r="B142" s="2664" t="s">
        <v>78</v>
      </c>
      <c r="C142" s="2995"/>
      <c r="D142" s="1059">
        <f>+M142+N142+O142+P142+Q142+R142+S142+T142</f>
        <v>0</v>
      </c>
      <c r="E142" s="491"/>
      <c r="F142" s="492"/>
      <c r="G142" s="491"/>
      <c r="H142" s="491"/>
      <c r="I142" s="491">
        <v>0</v>
      </c>
      <c r="J142" s="491">
        <v>0</v>
      </c>
      <c r="K142" s="491">
        <v>0</v>
      </c>
      <c r="L142" s="491">
        <v>0</v>
      </c>
      <c r="M142" s="492">
        <f>+L142+K142+J142+I142</f>
        <v>0</v>
      </c>
      <c r="N142" s="492"/>
      <c r="O142" s="491">
        <v>0</v>
      </c>
      <c r="P142" s="491">
        <v>0</v>
      </c>
      <c r="Q142" s="491">
        <v>0</v>
      </c>
      <c r="R142" s="491">
        <v>0</v>
      </c>
      <c r="S142" s="491">
        <v>0</v>
      </c>
      <c r="T142" s="491">
        <v>0</v>
      </c>
      <c r="U142" s="470"/>
      <c r="V142" s="470"/>
      <c r="W142" s="470"/>
      <c r="X142" s="2954"/>
      <c r="Y142" s="3442"/>
    </row>
    <row r="143" spans="1:25">
      <c r="E143" s="729"/>
      <c r="F143" s="729"/>
      <c r="G143" s="729"/>
      <c r="H143" s="729"/>
      <c r="I143" s="729"/>
      <c r="J143" s="729"/>
      <c r="K143" s="729"/>
      <c r="L143" s="729"/>
      <c r="M143" s="729"/>
      <c r="N143" s="729"/>
      <c r="O143" s="729"/>
      <c r="P143" s="729"/>
      <c r="Y143" s="730"/>
    </row>
    <row r="144" spans="1:25" ht="11.25" customHeight="1">
      <c r="A144" s="3440"/>
      <c r="B144" s="3440"/>
      <c r="C144" s="3440"/>
      <c r="D144" s="3440"/>
      <c r="E144" s="3440"/>
      <c r="F144" s="3440"/>
      <c r="G144" s="3440"/>
      <c r="H144" s="3440"/>
      <c r="I144" s="3440"/>
      <c r="J144" s="3440"/>
      <c r="K144" s="3440"/>
      <c r="L144" s="3440"/>
      <c r="M144" s="3440"/>
      <c r="N144" s="3440"/>
      <c r="O144" s="3440"/>
      <c r="P144" s="3440"/>
      <c r="Q144" s="3440"/>
      <c r="R144" s="3440"/>
      <c r="S144" s="3440"/>
      <c r="T144" s="3440"/>
      <c r="U144" s="3440"/>
      <c r="V144" s="3440"/>
      <c r="W144" s="3440"/>
      <c r="X144" s="3440"/>
      <c r="Y144" s="3440"/>
    </row>
    <row r="145" spans="1:25">
      <c r="A145" s="3440"/>
      <c r="B145" s="3440"/>
      <c r="C145" s="3440"/>
      <c r="D145" s="3440"/>
      <c r="E145" s="3440"/>
      <c r="F145" s="3440"/>
      <c r="G145" s="3440"/>
      <c r="H145" s="3440"/>
      <c r="I145" s="3440"/>
      <c r="J145" s="3440"/>
      <c r="K145" s="3440"/>
      <c r="L145" s="3440"/>
      <c r="M145" s="3440"/>
      <c r="N145" s="3440"/>
      <c r="O145" s="3440"/>
      <c r="P145" s="3440"/>
      <c r="Q145" s="3440"/>
      <c r="R145" s="3440"/>
      <c r="S145" s="3440"/>
      <c r="T145" s="3440"/>
      <c r="U145" s="3440"/>
      <c r="V145" s="3440"/>
      <c r="W145" s="3440"/>
      <c r="X145" s="3440"/>
      <c r="Y145" s="3440"/>
    </row>
    <row r="146" spans="1:25">
      <c r="E146" s="729"/>
      <c r="F146" s="729"/>
      <c r="G146" s="729"/>
      <c r="H146" s="729"/>
      <c r="I146" s="729"/>
      <c r="J146" s="729"/>
      <c r="K146" s="729"/>
      <c r="L146" s="729"/>
      <c r="M146" s="729"/>
      <c r="N146" s="729"/>
      <c r="O146" s="729"/>
      <c r="P146" s="729"/>
      <c r="Y146" s="730"/>
    </row>
    <row r="147" spans="1:25">
      <c r="E147" s="729"/>
      <c r="F147" s="729"/>
      <c r="G147" s="729"/>
      <c r="H147" s="729"/>
      <c r="I147" s="729"/>
      <c r="J147" s="729"/>
      <c r="K147" s="729"/>
      <c r="L147" s="729"/>
      <c r="M147" s="729"/>
      <c r="N147" s="729"/>
      <c r="O147" s="729"/>
      <c r="P147" s="729"/>
      <c r="Y147" s="730"/>
    </row>
    <row r="148" spans="1:25">
      <c r="E148" s="729"/>
      <c r="F148" s="729"/>
      <c r="G148" s="729"/>
      <c r="H148" s="729"/>
      <c r="I148" s="729"/>
      <c r="J148" s="729"/>
      <c r="K148" s="729"/>
      <c r="L148" s="729"/>
      <c r="M148" s="729"/>
      <c r="N148" s="729"/>
      <c r="O148" s="729"/>
      <c r="P148" s="729"/>
      <c r="Y148" s="730"/>
    </row>
    <row r="149" spans="1:25">
      <c r="E149" s="729"/>
      <c r="F149" s="729"/>
      <c r="G149" s="729"/>
      <c r="H149" s="729"/>
      <c r="I149" s="729"/>
      <c r="J149" s="729"/>
      <c r="K149" s="729"/>
      <c r="L149" s="729"/>
      <c r="M149" s="729"/>
      <c r="N149" s="729"/>
      <c r="O149" s="729"/>
      <c r="P149" s="729"/>
      <c r="Y149" s="730"/>
    </row>
    <row r="150" spans="1:25">
      <c r="E150" s="729"/>
      <c r="F150" s="729"/>
      <c r="G150" s="729"/>
      <c r="H150" s="729"/>
      <c r="I150" s="729"/>
      <c r="J150" s="729"/>
      <c r="K150" s="729"/>
      <c r="L150" s="729"/>
      <c r="M150" s="729"/>
      <c r="N150" s="729"/>
      <c r="O150" s="729"/>
      <c r="P150" s="729"/>
      <c r="Y150" s="730"/>
    </row>
    <row r="151" spans="1:25">
      <c r="E151" s="729"/>
      <c r="F151" s="729"/>
      <c r="G151" s="729"/>
      <c r="H151" s="729"/>
      <c r="I151" s="729"/>
      <c r="J151" s="729"/>
      <c r="K151" s="729"/>
      <c r="L151" s="729"/>
      <c r="M151" s="729"/>
      <c r="N151" s="729"/>
      <c r="O151" s="729"/>
      <c r="P151" s="729"/>
      <c r="Y151" s="730"/>
    </row>
    <row r="152" spans="1:25">
      <c r="E152" s="729"/>
      <c r="F152" s="729"/>
      <c r="G152" s="729"/>
      <c r="H152" s="729"/>
      <c r="I152" s="729"/>
      <c r="J152" s="729"/>
      <c r="K152" s="729"/>
      <c r="L152" s="729"/>
      <c r="M152" s="729"/>
      <c r="N152" s="729"/>
      <c r="O152" s="729"/>
      <c r="P152" s="729"/>
      <c r="Y152" s="730"/>
    </row>
    <row r="153" spans="1:25">
      <c r="E153" s="729"/>
      <c r="F153" s="729"/>
      <c r="G153" s="729"/>
      <c r="H153" s="729"/>
      <c r="I153" s="729"/>
      <c r="J153" s="729"/>
      <c r="K153" s="729"/>
      <c r="L153" s="729"/>
      <c r="M153" s="729"/>
      <c r="N153" s="729"/>
      <c r="O153" s="729"/>
      <c r="P153" s="729"/>
      <c r="Y153" s="730"/>
    </row>
    <row r="154" spans="1:25">
      <c r="E154" s="729"/>
      <c r="F154" s="729"/>
      <c r="G154" s="729"/>
      <c r="H154" s="729"/>
      <c r="I154" s="729"/>
      <c r="J154" s="729"/>
      <c r="K154" s="729"/>
      <c r="L154" s="729"/>
      <c r="M154" s="729"/>
      <c r="N154" s="729"/>
      <c r="O154" s="729"/>
      <c r="P154" s="729"/>
      <c r="Y154" s="730"/>
    </row>
    <row r="155" spans="1:25">
      <c r="E155" s="729"/>
      <c r="F155" s="729"/>
      <c r="G155" s="729"/>
      <c r="H155" s="729"/>
      <c r="I155" s="729"/>
      <c r="J155" s="729"/>
      <c r="K155" s="729"/>
      <c r="L155" s="729"/>
      <c r="M155" s="729"/>
      <c r="N155" s="729"/>
      <c r="O155" s="729"/>
      <c r="P155" s="729"/>
      <c r="Y155" s="730"/>
    </row>
    <row r="156" spans="1:25">
      <c r="E156" s="729"/>
      <c r="F156" s="729"/>
      <c r="G156" s="729"/>
      <c r="H156" s="729"/>
      <c r="I156" s="729"/>
      <c r="J156" s="729"/>
      <c r="K156" s="729"/>
      <c r="L156" s="729"/>
      <c r="M156" s="729"/>
      <c r="N156" s="729"/>
      <c r="O156" s="729"/>
      <c r="P156" s="729"/>
      <c r="Y156" s="730"/>
    </row>
    <row r="157" spans="1:25">
      <c r="E157" s="729"/>
      <c r="F157" s="729"/>
      <c r="G157" s="729"/>
      <c r="H157" s="729"/>
      <c r="I157" s="729"/>
      <c r="J157" s="729"/>
      <c r="K157" s="729"/>
      <c r="L157" s="729"/>
      <c r="M157" s="729"/>
      <c r="N157" s="729"/>
      <c r="O157" s="729"/>
      <c r="P157" s="729"/>
      <c r="Y157" s="730"/>
    </row>
    <row r="158" spans="1:25">
      <c r="E158" s="729"/>
      <c r="F158" s="729"/>
      <c r="G158" s="729"/>
      <c r="H158" s="729"/>
      <c r="I158" s="729"/>
      <c r="J158" s="729"/>
      <c r="K158" s="729"/>
      <c r="L158" s="729"/>
      <c r="M158" s="729"/>
      <c r="N158" s="729"/>
      <c r="O158" s="729"/>
      <c r="P158" s="729"/>
      <c r="Y158" s="730"/>
    </row>
    <row r="159" spans="1:25">
      <c r="E159" s="729"/>
      <c r="F159" s="729"/>
      <c r="G159" s="729"/>
      <c r="H159" s="729"/>
      <c r="I159" s="729"/>
      <c r="J159" s="729"/>
      <c r="K159" s="729"/>
      <c r="L159" s="729"/>
      <c r="M159" s="729"/>
      <c r="N159" s="729"/>
      <c r="O159" s="729"/>
      <c r="P159" s="729"/>
      <c r="Y159" s="730"/>
    </row>
    <row r="160" spans="1:25">
      <c r="E160" s="729"/>
      <c r="F160" s="729"/>
      <c r="G160" s="729"/>
      <c r="H160" s="729"/>
      <c r="I160" s="729"/>
      <c r="J160" s="729"/>
      <c r="K160" s="729"/>
      <c r="L160" s="729"/>
      <c r="M160" s="729"/>
      <c r="N160" s="729"/>
      <c r="O160" s="729"/>
      <c r="P160" s="729"/>
      <c r="Y160" s="730"/>
    </row>
    <row r="161" spans="5:25">
      <c r="E161" s="729"/>
      <c r="F161" s="729"/>
      <c r="G161" s="729"/>
      <c r="H161" s="729"/>
      <c r="I161" s="729"/>
      <c r="J161" s="729"/>
      <c r="K161" s="729"/>
      <c r="L161" s="729"/>
      <c r="M161" s="729"/>
      <c r="N161" s="729"/>
      <c r="O161" s="729"/>
      <c r="P161" s="729"/>
      <c r="Y161" s="730"/>
    </row>
    <row r="162" spans="5:25">
      <c r="E162" s="729"/>
      <c r="F162" s="729"/>
      <c r="G162" s="729"/>
      <c r="H162" s="729"/>
      <c r="I162" s="729"/>
      <c r="J162" s="729"/>
      <c r="K162" s="729"/>
      <c r="L162" s="729"/>
      <c r="M162" s="729"/>
      <c r="N162" s="729"/>
      <c r="O162" s="729"/>
      <c r="P162" s="729"/>
      <c r="Y162" s="730"/>
    </row>
    <row r="163" spans="5:25">
      <c r="E163" s="729"/>
      <c r="F163" s="729"/>
      <c r="G163" s="729"/>
      <c r="H163" s="729"/>
      <c r="I163" s="729"/>
      <c r="J163" s="729"/>
      <c r="K163" s="729"/>
      <c r="L163" s="729"/>
      <c r="M163" s="729"/>
      <c r="N163" s="729"/>
      <c r="O163" s="729"/>
      <c r="P163" s="729"/>
      <c r="Y163" s="730"/>
    </row>
    <row r="164" spans="5:25">
      <c r="E164" s="729"/>
      <c r="F164" s="729"/>
      <c r="G164" s="729"/>
      <c r="H164" s="729"/>
      <c r="I164" s="729"/>
      <c r="J164" s="729"/>
      <c r="K164" s="729"/>
      <c r="L164" s="729"/>
      <c r="M164" s="729"/>
      <c r="N164" s="729"/>
      <c r="O164" s="729"/>
      <c r="P164" s="729"/>
      <c r="Y164" s="730"/>
    </row>
    <row r="165" spans="5:25">
      <c r="E165" s="729"/>
      <c r="F165" s="729"/>
      <c r="G165" s="729"/>
      <c r="H165" s="729"/>
      <c r="I165" s="729"/>
      <c r="J165" s="729"/>
      <c r="K165" s="729"/>
      <c r="L165" s="729"/>
      <c r="M165" s="729"/>
      <c r="N165" s="729"/>
      <c r="O165" s="729"/>
      <c r="P165" s="729"/>
      <c r="Y165" s="730"/>
    </row>
    <row r="166" spans="5:25">
      <c r="E166" s="729"/>
      <c r="F166" s="729"/>
      <c r="G166" s="729"/>
      <c r="H166" s="729"/>
      <c r="I166" s="729"/>
      <c r="J166" s="729"/>
      <c r="K166" s="729"/>
      <c r="L166" s="729"/>
      <c r="M166" s="729"/>
      <c r="N166" s="729"/>
      <c r="O166" s="729"/>
      <c r="P166" s="729"/>
      <c r="Y166" s="730"/>
    </row>
    <row r="167" spans="5:25">
      <c r="E167" s="729"/>
      <c r="F167" s="729"/>
      <c r="G167" s="729"/>
      <c r="H167" s="729"/>
      <c r="I167" s="729"/>
      <c r="J167" s="729"/>
      <c r="K167" s="729"/>
      <c r="L167" s="729"/>
      <c r="M167" s="729"/>
      <c r="N167" s="729"/>
      <c r="O167" s="729"/>
      <c r="P167" s="729"/>
      <c r="Y167" s="730"/>
    </row>
    <row r="168" spans="5:25">
      <c r="E168" s="729"/>
      <c r="F168" s="729"/>
      <c r="G168" s="729"/>
      <c r="H168" s="729"/>
      <c r="I168" s="729"/>
      <c r="J168" s="729"/>
      <c r="K168" s="729"/>
      <c r="L168" s="729"/>
      <c r="M168" s="729"/>
      <c r="N168" s="729"/>
      <c r="O168" s="729"/>
      <c r="P168" s="729"/>
      <c r="Y168" s="730"/>
    </row>
    <row r="169" spans="5:25">
      <c r="E169" s="729"/>
      <c r="F169" s="729"/>
      <c r="G169" s="729"/>
      <c r="H169" s="729"/>
      <c r="I169" s="729"/>
      <c r="J169" s="729"/>
      <c r="K169" s="729"/>
      <c r="L169" s="729"/>
      <c r="M169" s="729"/>
      <c r="N169" s="729"/>
      <c r="O169" s="729"/>
      <c r="P169" s="729"/>
      <c r="Y169" s="730"/>
    </row>
    <row r="170" spans="5:25">
      <c r="E170" s="729"/>
      <c r="F170" s="729"/>
      <c r="G170" s="729"/>
      <c r="H170" s="729"/>
      <c r="I170" s="729"/>
      <c r="J170" s="729"/>
      <c r="K170" s="729"/>
      <c r="L170" s="729"/>
      <c r="M170" s="729"/>
      <c r="N170" s="729"/>
      <c r="O170" s="729"/>
      <c r="P170" s="729"/>
      <c r="Y170" s="730"/>
    </row>
    <row r="171" spans="5:25">
      <c r="E171" s="729"/>
      <c r="F171" s="729"/>
      <c r="G171" s="729"/>
      <c r="H171" s="729"/>
      <c r="I171" s="729"/>
      <c r="J171" s="729"/>
      <c r="K171" s="729"/>
      <c r="L171" s="729"/>
      <c r="M171" s="729"/>
      <c r="N171" s="729"/>
      <c r="O171" s="729"/>
      <c r="P171" s="729"/>
      <c r="Y171" s="730"/>
    </row>
    <row r="172" spans="5:25">
      <c r="E172" s="729"/>
      <c r="F172" s="729"/>
      <c r="G172" s="729"/>
      <c r="H172" s="729"/>
      <c r="I172" s="729"/>
      <c r="J172" s="729"/>
      <c r="K172" s="729"/>
      <c r="L172" s="729"/>
      <c r="M172" s="729"/>
      <c r="N172" s="729"/>
      <c r="O172" s="729"/>
      <c r="P172" s="729"/>
      <c r="Y172" s="730"/>
    </row>
    <row r="173" spans="5:25">
      <c r="E173" s="729"/>
      <c r="F173" s="729"/>
      <c r="G173" s="729"/>
      <c r="H173" s="729"/>
      <c r="I173" s="729"/>
      <c r="J173" s="729"/>
      <c r="K173" s="729"/>
      <c r="L173" s="729"/>
      <c r="M173" s="729"/>
      <c r="N173" s="729"/>
      <c r="O173" s="729"/>
      <c r="P173" s="729"/>
      <c r="Y173" s="730"/>
    </row>
    <row r="174" spans="5:25">
      <c r="E174" s="729"/>
      <c r="F174" s="729"/>
      <c r="G174" s="729"/>
      <c r="H174" s="729"/>
      <c r="I174" s="729"/>
      <c r="J174" s="729"/>
      <c r="K174" s="729"/>
      <c r="L174" s="729"/>
      <c r="M174" s="729"/>
      <c r="N174" s="729"/>
      <c r="O174" s="729"/>
      <c r="P174" s="729"/>
      <c r="Y174" s="730"/>
    </row>
    <row r="175" spans="5:25">
      <c r="E175" s="729"/>
      <c r="F175" s="729"/>
      <c r="G175" s="729"/>
      <c r="H175" s="729"/>
      <c r="I175" s="729"/>
      <c r="J175" s="729"/>
      <c r="K175" s="729"/>
      <c r="L175" s="729"/>
      <c r="M175" s="729"/>
      <c r="N175" s="729"/>
      <c r="O175" s="729"/>
      <c r="P175" s="729"/>
      <c r="Y175" s="730"/>
    </row>
    <row r="176" spans="5:25">
      <c r="E176" s="729"/>
      <c r="F176" s="729"/>
      <c r="G176" s="729"/>
      <c r="H176" s="729"/>
      <c r="I176" s="729"/>
      <c r="J176" s="729"/>
      <c r="K176" s="729"/>
      <c r="L176" s="729"/>
      <c r="M176" s="729"/>
      <c r="N176" s="729"/>
      <c r="O176" s="729"/>
      <c r="P176" s="729"/>
      <c r="Y176" s="730"/>
    </row>
    <row r="177" spans="5:25">
      <c r="E177" s="729"/>
      <c r="F177" s="729"/>
      <c r="G177" s="729"/>
      <c r="H177" s="729"/>
      <c r="I177" s="729"/>
      <c r="J177" s="729"/>
      <c r="K177" s="729"/>
      <c r="L177" s="729"/>
      <c r="M177" s="729"/>
      <c r="N177" s="729"/>
      <c r="O177" s="729"/>
      <c r="P177" s="729"/>
      <c r="Y177" s="730"/>
    </row>
    <row r="178" spans="5:25">
      <c r="E178" s="729"/>
      <c r="F178" s="729"/>
      <c r="G178" s="729"/>
      <c r="H178" s="729"/>
      <c r="I178" s="729"/>
      <c r="J178" s="729"/>
      <c r="K178" s="729"/>
      <c r="L178" s="729"/>
      <c r="M178" s="729"/>
      <c r="N178" s="729"/>
      <c r="O178" s="729"/>
      <c r="P178" s="729"/>
      <c r="Y178" s="730"/>
    </row>
    <row r="179" spans="5:25">
      <c r="E179" s="729"/>
      <c r="F179" s="729"/>
      <c r="G179" s="729"/>
      <c r="H179" s="729"/>
      <c r="I179" s="729"/>
      <c r="J179" s="729"/>
      <c r="K179" s="729"/>
      <c r="L179" s="729"/>
      <c r="M179" s="729"/>
      <c r="N179" s="729"/>
      <c r="O179" s="729"/>
      <c r="P179" s="729"/>
      <c r="Y179" s="730"/>
    </row>
    <row r="180" spans="5:25">
      <c r="E180" s="729"/>
      <c r="F180" s="729"/>
      <c r="G180" s="729"/>
      <c r="H180" s="729"/>
      <c r="I180" s="729"/>
      <c r="J180" s="729"/>
      <c r="K180" s="729"/>
      <c r="L180" s="729"/>
      <c r="M180" s="729"/>
      <c r="N180" s="729"/>
      <c r="O180" s="729"/>
      <c r="P180" s="729"/>
      <c r="Y180" s="730"/>
    </row>
    <row r="181" spans="5:25">
      <c r="E181" s="729"/>
      <c r="F181" s="729"/>
      <c r="G181" s="729"/>
      <c r="H181" s="729"/>
      <c r="I181" s="729"/>
      <c r="J181" s="729"/>
      <c r="K181" s="729"/>
      <c r="L181" s="729"/>
      <c r="M181" s="729"/>
      <c r="N181" s="729"/>
      <c r="O181" s="729"/>
      <c r="P181" s="729"/>
      <c r="Y181" s="730"/>
    </row>
    <row r="182" spans="5:25">
      <c r="E182" s="729"/>
      <c r="F182" s="729"/>
      <c r="G182" s="729"/>
      <c r="H182" s="729"/>
      <c r="I182" s="729"/>
      <c r="J182" s="729"/>
      <c r="K182" s="729"/>
      <c r="L182" s="729"/>
      <c r="M182" s="729"/>
      <c r="N182" s="729"/>
      <c r="O182" s="729"/>
      <c r="P182" s="729"/>
      <c r="Y182" s="730"/>
    </row>
    <row r="183" spans="5:25">
      <c r="E183" s="729"/>
      <c r="F183" s="729"/>
      <c r="G183" s="729"/>
      <c r="H183" s="729"/>
      <c r="I183" s="729"/>
      <c r="J183" s="729"/>
      <c r="K183" s="729"/>
      <c r="L183" s="729"/>
      <c r="M183" s="729"/>
      <c r="N183" s="729"/>
      <c r="O183" s="729"/>
      <c r="P183" s="729"/>
      <c r="Y183" s="730"/>
    </row>
    <row r="184" spans="5:25">
      <c r="E184" s="729"/>
      <c r="F184" s="729"/>
      <c r="G184" s="729"/>
      <c r="H184" s="729"/>
      <c r="I184" s="729"/>
      <c r="J184" s="729"/>
      <c r="K184" s="729"/>
      <c r="L184" s="729"/>
      <c r="M184" s="729"/>
      <c r="N184" s="729"/>
      <c r="O184" s="729"/>
      <c r="P184" s="729"/>
      <c r="Y184" s="730"/>
    </row>
    <row r="185" spans="5:25">
      <c r="E185" s="729"/>
      <c r="F185" s="729"/>
      <c r="G185" s="729"/>
      <c r="H185" s="729"/>
      <c r="I185" s="729"/>
      <c r="J185" s="729"/>
      <c r="K185" s="729"/>
      <c r="L185" s="729"/>
      <c r="M185" s="729"/>
      <c r="N185" s="729"/>
      <c r="O185" s="729"/>
      <c r="P185" s="729"/>
      <c r="Y185" s="730"/>
    </row>
    <row r="186" spans="5:25">
      <c r="E186" s="729"/>
      <c r="F186" s="729"/>
      <c r="G186" s="729"/>
      <c r="H186" s="729"/>
      <c r="I186" s="729"/>
      <c r="J186" s="729"/>
      <c r="K186" s="729"/>
      <c r="L186" s="729"/>
      <c r="M186" s="729"/>
      <c r="N186" s="729"/>
      <c r="O186" s="729"/>
      <c r="P186" s="729"/>
      <c r="Y186" s="730"/>
    </row>
    <row r="187" spans="5:25">
      <c r="E187" s="729"/>
      <c r="F187" s="729"/>
      <c r="G187" s="729"/>
      <c r="H187" s="729"/>
      <c r="I187" s="729"/>
      <c r="J187" s="729"/>
      <c r="K187" s="729"/>
      <c r="L187" s="729"/>
      <c r="M187" s="729"/>
      <c r="N187" s="729"/>
      <c r="O187" s="729"/>
      <c r="P187" s="729"/>
      <c r="Y187" s="730"/>
    </row>
    <row r="188" spans="5:25">
      <c r="E188" s="729"/>
      <c r="F188" s="729"/>
      <c r="G188" s="729"/>
      <c r="H188" s="729"/>
      <c r="I188" s="729"/>
      <c r="J188" s="729"/>
      <c r="K188" s="729"/>
      <c r="L188" s="729"/>
      <c r="M188" s="729"/>
      <c r="N188" s="729"/>
      <c r="O188" s="729"/>
      <c r="P188" s="729"/>
      <c r="Y188" s="730"/>
    </row>
    <row r="189" spans="5:25">
      <c r="E189" s="729"/>
      <c r="F189" s="729"/>
      <c r="G189" s="729"/>
      <c r="H189" s="729"/>
      <c r="I189" s="729"/>
      <c r="J189" s="729"/>
      <c r="K189" s="729"/>
      <c r="L189" s="729"/>
      <c r="M189" s="729"/>
      <c r="N189" s="729"/>
      <c r="O189" s="729"/>
      <c r="P189" s="729"/>
      <c r="Y189" s="730"/>
    </row>
    <row r="190" spans="5:25">
      <c r="E190" s="729"/>
      <c r="F190" s="729"/>
      <c r="G190" s="729"/>
      <c r="H190" s="729"/>
      <c r="I190" s="729"/>
      <c r="J190" s="729"/>
      <c r="K190" s="729"/>
      <c r="L190" s="729"/>
      <c r="M190" s="729"/>
      <c r="N190" s="729"/>
      <c r="O190" s="729"/>
      <c r="P190" s="729"/>
      <c r="Y190" s="730"/>
    </row>
    <row r="191" spans="5:25">
      <c r="E191" s="729"/>
      <c r="F191" s="729"/>
      <c r="G191" s="729"/>
      <c r="H191" s="729"/>
      <c r="I191" s="729"/>
      <c r="J191" s="729"/>
      <c r="K191" s="729"/>
      <c r="L191" s="729"/>
      <c r="M191" s="729"/>
      <c r="N191" s="729"/>
      <c r="O191" s="729"/>
      <c r="P191" s="729"/>
      <c r="Y191" s="730"/>
    </row>
    <row r="192" spans="5:25">
      <c r="E192" s="729"/>
      <c r="F192" s="729"/>
      <c r="G192" s="729"/>
      <c r="H192" s="729"/>
      <c r="I192" s="729"/>
      <c r="J192" s="729"/>
      <c r="K192" s="729"/>
      <c r="L192" s="729"/>
      <c r="M192" s="729"/>
      <c r="N192" s="729"/>
      <c r="O192" s="729"/>
      <c r="P192" s="729"/>
      <c r="Y192" s="730"/>
    </row>
    <row r="193" spans="5:25">
      <c r="E193" s="729"/>
      <c r="F193" s="729"/>
      <c r="G193" s="729"/>
      <c r="H193" s="729"/>
      <c r="I193" s="729"/>
      <c r="J193" s="729"/>
      <c r="K193" s="729"/>
      <c r="L193" s="729"/>
      <c r="M193" s="729"/>
      <c r="N193" s="729"/>
      <c r="O193" s="729"/>
      <c r="P193" s="729"/>
      <c r="Y193" s="730"/>
    </row>
    <row r="194" spans="5:25">
      <c r="E194" s="729"/>
      <c r="F194" s="729"/>
      <c r="G194" s="729"/>
      <c r="H194" s="729"/>
      <c r="I194" s="729"/>
      <c r="J194" s="729"/>
      <c r="K194" s="729"/>
      <c r="L194" s="729"/>
      <c r="M194" s="729"/>
      <c r="N194" s="729"/>
      <c r="O194" s="729"/>
      <c r="P194" s="729"/>
      <c r="Y194" s="730"/>
    </row>
    <row r="195" spans="5:25">
      <c r="E195" s="729"/>
      <c r="F195" s="729"/>
      <c r="G195" s="729"/>
      <c r="H195" s="729"/>
      <c r="I195" s="729"/>
      <c r="J195" s="729"/>
      <c r="K195" s="729"/>
      <c r="L195" s="729"/>
      <c r="M195" s="729"/>
      <c r="N195" s="729"/>
      <c r="O195" s="729"/>
      <c r="P195" s="729"/>
      <c r="Y195" s="730"/>
    </row>
    <row r="196" spans="5:25">
      <c r="E196" s="729"/>
      <c r="F196" s="729"/>
      <c r="G196" s="729"/>
      <c r="H196" s="729"/>
      <c r="I196" s="729"/>
      <c r="J196" s="729"/>
      <c r="K196" s="729"/>
      <c r="L196" s="729"/>
      <c r="M196" s="729"/>
      <c r="N196" s="729"/>
      <c r="O196" s="729"/>
      <c r="P196" s="729"/>
      <c r="Y196" s="730"/>
    </row>
    <row r="197" spans="5:25">
      <c r="E197" s="729"/>
      <c r="F197" s="729"/>
      <c r="G197" s="729"/>
      <c r="H197" s="729"/>
      <c r="I197" s="729"/>
      <c r="J197" s="729"/>
      <c r="K197" s="729"/>
      <c r="L197" s="729"/>
      <c r="M197" s="729"/>
      <c r="N197" s="729"/>
      <c r="O197" s="729"/>
      <c r="P197" s="729"/>
      <c r="Y197" s="730"/>
    </row>
    <row r="198" spans="5:25">
      <c r="E198" s="729"/>
      <c r="F198" s="729"/>
      <c r="G198" s="729"/>
      <c r="H198" s="729"/>
      <c r="I198" s="729"/>
      <c r="J198" s="729"/>
      <c r="K198" s="729"/>
      <c r="L198" s="729"/>
      <c r="M198" s="729"/>
      <c r="N198" s="729"/>
      <c r="O198" s="729"/>
      <c r="P198" s="729"/>
      <c r="Y198" s="730"/>
    </row>
    <row r="199" spans="5:25">
      <c r="E199" s="729"/>
      <c r="F199" s="729"/>
      <c r="G199" s="729"/>
      <c r="H199" s="729"/>
      <c r="I199" s="729"/>
      <c r="J199" s="729"/>
      <c r="K199" s="729"/>
      <c r="L199" s="729"/>
      <c r="M199" s="729"/>
      <c r="N199" s="729"/>
      <c r="O199" s="729"/>
      <c r="P199" s="729"/>
      <c r="Y199" s="730"/>
    </row>
    <row r="200" spans="5:25">
      <c r="E200" s="729"/>
      <c r="F200" s="729"/>
      <c r="G200" s="729"/>
      <c r="H200" s="729"/>
      <c r="I200" s="729"/>
      <c r="J200" s="729"/>
      <c r="K200" s="729"/>
      <c r="L200" s="729"/>
      <c r="M200" s="729"/>
      <c r="N200" s="729"/>
      <c r="O200" s="729"/>
      <c r="P200" s="729"/>
      <c r="Y200" s="730"/>
    </row>
    <row r="201" spans="5:25">
      <c r="E201" s="729"/>
      <c r="F201" s="729"/>
      <c r="G201" s="729"/>
      <c r="H201" s="729"/>
      <c r="I201" s="729"/>
      <c r="J201" s="729"/>
      <c r="K201" s="729"/>
      <c r="L201" s="729"/>
      <c r="M201" s="729"/>
      <c r="N201" s="729"/>
      <c r="O201" s="729"/>
      <c r="P201" s="729"/>
      <c r="Y201" s="730"/>
    </row>
    <row r="202" spans="5:25">
      <c r="E202" s="729"/>
      <c r="F202" s="729"/>
      <c r="G202" s="729"/>
      <c r="H202" s="729"/>
      <c r="I202" s="729"/>
      <c r="J202" s="729"/>
      <c r="K202" s="729"/>
      <c r="L202" s="729"/>
      <c r="M202" s="729"/>
      <c r="N202" s="729"/>
      <c r="O202" s="729"/>
      <c r="P202" s="729"/>
      <c r="Y202" s="730"/>
    </row>
    <row r="203" spans="5:25">
      <c r="E203" s="729"/>
      <c r="F203" s="729"/>
      <c r="G203" s="729"/>
      <c r="H203" s="729"/>
      <c r="I203" s="729"/>
      <c r="J203" s="729"/>
      <c r="K203" s="729"/>
      <c r="L203" s="729"/>
      <c r="M203" s="729"/>
      <c r="N203" s="729"/>
      <c r="O203" s="729"/>
      <c r="P203" s="729"/>
      <c r="Y203" s="730"/>
    </row>
    <row r="204" spans="5:25">
      <c r="E204" s="729"/>
      <c r="F204" s="729"/>
      <c r="G204" s="729"/>
      <c r="H204" s="729"/>
      <c r="I204" s="729"/>
      <c r="J204" s="729"/>
      <c r="K204" s="729"/>
      <c r="L204" s="729"/>
      <c r="M204" s="729"/>
      <c r="N204" s="729"/>
      <c r="O204" s="729"/>
      <c r="P204" s="729"/>
      <c r="Y204" s="730"/>
    </row>
    <row r="205" spans="5:25">
      <c r="E205" s="729"/>
      <c r="F205" s="729"/>
      <c r="G205" s="729"/>
      <c r="H205" s="729"/>
      <c r="I205" s="729"/>
      <c r="J205" s="729"/>
      <c r="K205" s="729"/>
      <c r="L205" s="729"/>
      <c r="M205" s="729"/>
      <c r="N205" s="729"/>
      <c r="O205" s="729"/>
      <c r="P205" s="729"/>
      <c r="Y205" s="730"/>
    </row>
    <row r="206" spans="5:25">
      <c r="E206" s="729"/>
      <c r="F206" s="729"/>
      <c r="G206" s="729"/>
      <c r="H206" s="729"/>
      <c r="I206" s="729"/>
      <c r="J206" s="729"/>
      <c r="K206" s="729"/>
      <c r="L206" s="729"/>
      <c r="M206" s="729"/>
      <c r="N206" s="729"/>
      <c r="O206" s="729"/>
      <c r="P206" s="729"/>
      <c r="Y206" s="730"/>
    </row>
    <row r="207" spans="5:25">
      <c r="E207" s="729"/>
      <c r="F207" s="729"/>
      <c r="G207" s="729"/>
      <c r="H207" s="729"/>
      <c r="I207" s="729"/>
      <c r="J207" s="729"/>
      <c r="K207" s="729"/>
      <c r="L207" s="729"/>
      <c r="M207" s="729"/>
      <c r="N207" s="729"/>
      <c r="O207" s="729"/>
      <c r="P207" s="729"/>
      <c r="Y207" s="730"/>
    </row>
    <row r="208" spans="5:25">
      <c r="E208" s="729"/>
      <c r="F208" s="729"/>
      <c r="G208" s="729"/>
      <c r="H208" s="729"/>
      <c r="I208" s="729"/>
      <c r="J208" s="729"/>
      <c r="K208" s="729"/>
      <c r="L208" s="729"/>
      <c r="M208" s="729"/>
      <c r="N208" s="729"/>
      <c r="O208" s="729"/>
      <c r="P208" s="729"/>
      <c r="Y208" s="730"/>
    </row>
    <row r="209" spans="5:25">
      <c r="E209" s="729"/>
      <c r="F209" s="729"/>
      <c r="G209" s="729"/>
      <c r="H209" s="729"/>
      <c r="I209" s="729"/>
      <c r="J209" s="729"/>
      <c r="K209" s="729"/>
      <c r="L209" s="729"/>
      <c r="M209" s="729"/>
      <c r="N209" s="729"/>
      <c r="O209" s="729"/>
      <c r="P209" s="729"/>
      <c r="Y209" s="730"/>
    </row>
    <row r="210" spans="5:25">
      <c r="E210" s="729"/>
      <c r="F210" s="729"/>
      <c r="G210" s="729"/>
      <c r="H210" s="729"/>
      <c r="I210" s="729"/>
      <c r="J210" s="729"/>
      <c r="K210" s="729"/>
      <c r="L210" s="729"/>
      <c r="M210" s="729"/>
      <c r="N210" s="729"/>
      <c r="O210" s="729"/>
      <c r="P210" s="729"/>
      <c r="Y210" s="730"/>
    </row>
    <row r="211" spans="5:25">
      <c r="E211" s="729"/>
      <c r="F211" s="729"/>
      <c r="G211" s="729"/>
      <c r="H211" s="729"/>
      <c r="I211" s="729"/>
      <c r="J211" s="729"/>
      <c r="K211" s="729"/>
      <c r="L211" s="729"/>
      <c r="M211" s="729"/>
      <c r="N211" s="729"/>
      <c r="O211" s="729"/>
      <c r="P211" s="729"/>
      <c r="Y211" s="730"/>
    </row>
    <row r="212" spans="5:25">
      <c r="E212" s="729"/>
      <c r="F212" s="729"/>
      <c r="G212" s="729"/>
      <c r="H212" s="729"/>
      <c r="I212" s="729"/>
      <c r="J212" s="729"/>
      <c r="K212" s="729"/>
      <c r="L212" s="729"/>
      <c r="M212" s="729"/>
      <c r="N212" s="729"/>
      <c r="O212" s="729"/>
      <c r="P212" s="729"/>
      <c r="Y212" s="730"/>
    </row>
    <row r="213" spans="5:25">
      <c r="E213" s="729"/>
      <c r="F213" s="729"/>
      <c r="G213" s="729"/>
      <c r="H213" s="729"/>
      <c r="I213" s="729"/>
      <c r="J213" s="729"/>
      <c r="K213" s="729"/>
      <c r="L213" s="729"/>
      <c r="M213" s="729"/>
      <c r="N213" s="729"/>
      <c r="O213" s="729"/>
      <c r="P213" s="729"/>
      <c r="Y213" s="730"/>
    </row>
    <row r="214" spans="5:25">
      <c r="E214" s="729"/>
      <c r="F214" s="729"/>
      <c r="G214" s="729"/>
      <c r="H214" s="729"/>
      <c r="I214" s="729"/>
      <c r="J214" s="729"/>
      <c r="K214" s="729"/>
      <c r="L214" s="729"/>
      <c r="M214" s="729"/>
      <c r="N214" s="729"/>
      <c r="O214" s="729"/>
      <c r="P214" s="729"/>
      <c r="Y214" s="730"/>
    </row>
    <row r="215" spans="5:25">
      <c r="E215" s="729"/>
      <c r="F215" s="729"/>
      <c r="G215" s="729"/>
      <c r="H215" s="729"/>
      <c r="I215" s="729"/>
      <c r="J215" s="729"/>
      <c r="K215" s="729"/>
      <c r="L215" s="729"/>
      <c r="M215" s="729"/>
      <c r="N215" s="729"/>
      <c r="O215" s="729"/>
      <c r="P215" s="729"/>
      <c r="Y215" s="730"/>
    </row>
    <row r="216" spans="5:25">
      <c r="E216" s="729"/>
      <c r="F216" s="729"/>
      <c r="G216" s="729"/>
      <c r="H216" s="729"/>
      <c r="I216" s="729"/>
      <c r="J216" s="729"/>
      <c r="K216" s="729"/>
      <c r="L216" s="729"/>
      <c r="M216" s="729"/>
      <c r="N216" s="729"/>
      <c r="O216" s="729"/>
      <c r="P216" s="729"/>
      <c r="Y216" s="730"/>
    </row>
    <row r="217" spans="5:25">
      <c r="E217" s="729"/>
      <c r="F217" s="729"/>
      <c r="G217" s="729"/>
      <c r="H217" s="729"/>
      <c r="I217" s="729"/>
      <c r="J217" s="729"/>
      <c r="K217" s="729"/>
      <c r="L217" s="729"/>
      <c r="M217" s="729"/>
      <c r="N217" s="729"/>
      <c r="O217" s="729"/>
      <c r="P217" s="729"/>
      <c r="Y217" s="730"/>
    </row>
    <row r="218" spans="5:25">
      <c r="E218" s="729"/>
      <c r="F218" s="729"/>
      <c r="G218" s="729"/>
      <c r="H218" s="729"/>
      <c r="I218" s="729"/>
      <c r="J218" s="729"/>
      <c r="K218" s="729"/>
      <c r="L218" s="729"/>
      <c r="M218" s="729"/>
      <c r="N218" s="729"/>
      <c r="O218" s="729"/>
      <c r="P218" s="729"/>
      <c r="Y218" s="730"/>
    </row>
    <row r="219" spans="5:25">
      <c r="E219" s="729"/>
      <c r="F219" s="729"/>
      <c r="G219" s="729"/>
      <c r="H219" s="729"/>
      <c r="I219" s="729"/>
      <c r="J219" s="729"/>
      <c r="K219" s="729"/>
      <c r="L219" s="729"/>
      <c r="M219" s="729"/>
      <c r="N219" s="729"/>
      <c r="O219" s="729"/>
      <c r="P219" s="729"/>
      <c r="Y219" s="730"/>
    </row>
    <row r="220" spans="5:25">
      <c r="E220" s="729"/>
      <c r="F220" s="729"/>
      <c r="G220" s="729"/>
      <c r="H220" s="729"/>
      <c r="I220" s="729"/>
      <c r="J220" s="729"/>
      <c r="K220" s="729"/>
      <c r="L220" s="729"/>
      <c r="M220" s="729"/>
      <c r="N220" s="729"/>
      <c r="O220" s="729"/>
      <c r="P220" s="729"/>
      <c r="Y220" s="730"/>
    </row>
    <row r="221" spans="5:25">
      <c r="E221" s="729"/>
      <c r="F221" s="729"/>
      <c r="G221" s="729"/>
      <c r="H221" s="729"/>
      <c r="I221" s="729"/>
      <c r="J221" s="729"/>
      <c r="K221" s="729"/>
      <c r="L221" s="729"/>
      <c r="M221" s="729"/>
      <c r="N221" s="729"/>
      <c r="O221" s="729"/>
      <c r="P221" s="729"/>
      <c r="Y221" s="730"/>
    </row>
    <row r="222" spans="5:25">
      <c r="E222" s="729"/>
      <c r="F222" s="729"/>
      <c r="G222" s="729"/>
      <c r="H222" s="729"/>
      <c r="I222" s="729"/>
      <c r="J222" s="729"/>
      <c r="K222" s="729"/>
      <c r="L222" s="729"/>
      <c r="M222" s="729"/>
      <c r="N222" s="729"/>
      <c r="O222" s="729"/>
      <c r="P222" s="729"/>
      <c r="Y222" s="730"/>
    </row>
    <row r="223" spans="5:25">
      <c r="E223" s="729"/>
      <c r="F223" s="729"/>
      <c r="G223" s="729"/>
      <c r="H223" s="729"/>
      <c r="I223" s="729"/>
      <c r="J223" s="729"/>
      <c r="K223" s="729"/>
      <c r="L223" s="729"/>
      <c r="M223" s="729"/>
      <c r="N223" s="729"/>
      <c r="O223" s="729"/>
      <c r="P223" s="729"/>
      <c r="Y223" s="730"/>
    </row>
    <row r="224" spans="5:25">
      <c r="E224" s="729"/>
      <c r="F224" s="729"/>
      <c r="G224" s="729"/>
      <c r="H224" s="729"/>
      <c r="I224" s="729"/>
      <c r="J224" s="729"/>
      <c r="K224" s="729"/>
      <c r="L224" s="729"/>
      <c r="M224" s="729"/>
      <c r="N224" s="729"/>
      <c r="O224" s="729"/>
      <c r="P224" s="729"/>
      <c r="Y224" s="730"/>
    </row>
    <row r="225" spans="5:25">
      <c r="E225" s="729"/>
      <c r="F225" s="729"/>
      <c r="G225" s="729"/>
      <c r="H225" s="729"/>
      <c r="I225" s="729"/>
      <c r="J225" s="729"/>
      <c r="K225" s="729"/>
      <c r="L225" s="729"/>
      <c r="M225" s="729"/>
      <c r="N225" s="729"/>
      <c r="O225" s="729"/>
      <c r="P225" s="729"/>
      <c r="Y225" s="730"/>
    </row>
    <row r="226" spans="5:25">
      <c r="E226" s="729"/>
      <c r="F226" s="729"/>
      <c r="G226" s="729"/>
      <c r="H226" s="729"/>
      <c r="I226" s="729"/>
      <c r="J226" s="729"/>
      <c r="K226" s="729"/>
      <c r="L226" s="729"/>
      <c r="M226" s="729"/>
      <c r="N226" s="729"/>
      <c r="O226" s="729"/>
      <c r="P226" s="729"/>
      <c r="Y226" s="730"/>
    </row>
    <row r="227" spans="5:25">
      <c r="E227" s="729"/>
      <c r="F227" s="729"/>
      <c r="G227" s="729"/>
      <c r="H227" s="729"/>
      <c r="I227" s="729"/>
      <c r="J227" s="729"/>
      <c r="K227" s="729"/>
      <c r="L227" s="729"/>
      <c r="M227" s="729"/>
      <c r="N227" s="729"/>
      <c r="O227" s="729"/>
      <c r="P227" s="729"/>
      <c r="Y227" s="730"/>
    </row>
    <row r="228" spans="5:25">
      <c r="E228" s="729"/>
      <c r="F228" s="729"/>
      <c r="G228" s="729"/>
      <c r="H228" s="729"/>
      <c r="I228" s="729"/>
      <c r="J228" s="729"/>
      <c r="K228" s="729"/>
      <c r="L228" s="729"/>
      <c r="M228" s="729"/>
      <c r="N228" s="729"/>
      <c r="O228" s="729"/>
      <c r="P228" s="729"/>
      <c r="Y228" s="730"/>
    </row>
    <row r="229" spans="5:25">
      <c r="E229" s="729"/>
      <c r="F229" s="729"/>
      <c r="G229" s="729"/>
      <c r="H229" s="729"/>
      <c r="I229" s="729"/>
      <c r="J229" s="729"/>
      <c r="K229" s="729"/>
      <c r="L229" s="729"/>
      <c r="M229" s="729"/>
      <c r="N229" s="729"/>
      <c r="O229" s="729"/>
      <c r="P229" s="729"/>
      <c r="Y229" s="730"/>
    </row>
    <row r="230" spans="5:25">
      <c r="E230" s="729"/>
      <c r="F230" s="729"/>
      <c r="G230" s="729"/>
      <c r="H230" s="729"/>
      <c r="I230" s="729"/>
      <c r="J230" s="729"/>
      <c r="K230" s="729"/>
      <c r="L230" s="729"/>
      <c r="M230" s="729"/>
      <c r="N230" s="729"/>
      <c r="O230" s="729"/>
      <c r="P230" s="729"/>
      <c r="Y230" s="730"/>
    </row>
    <row r="231" spans="5:25">
      <c r="E231" s="729"/>
      <c r="F231" s="729"/>
      <c r="G231" s="729"/>
      <c r="H231" s="729"/>
      <c r="I231" s="729"/>
      <c r="J231" s="729"/>
      <c r="K231" s="729"/>
      <c r="L231" s="729"/>
      <c r="M231" s="729"/>
      <c r="N231" s="729"/>
      <c r="O231" s="729"/>
      <c r="P231" s="729"/>
      <c r="Y231" s="730"/>
    </row>
    <row r="232" spans="5:25">
      <c r="E232" s="729"/>
      <c r="F232" s="729"/>
      <c r="G232" s="729"/>
      <c r="H232" s="729"/>
      <c r="I232" s="729"/>
      <c r="J232" s="729"/>
      <c r="K232" s="729"/>
      <c r="L232" s="729"/>
      <c r="M232" s="729"/>
      <c r="N232" s="729"/>
      <c r="O232" s="729"/>
      <c r="P232" s="729"/>
      <c r="Y232" s="730"/>
    </row>
    <row r="233" spans="5:25">
      <c r="E233" s="729"/>
      <c r="F233" s="729"/>
      <c r="G233" s="729"/>
      <c r="H233" s="729"/>
      <c r="I233" s="729"/>
      <c r="J233" s="729"/>
      <c r="K233" s="729"/>
      <c r="L233" s="729"/>
      <c r="M233" s="729"/>
      <c r="N233" s="729"/>
      <c r="O233" s="729"/>
      <c r="P233" s="729"/>
      <c r="Y233" s="730"/>
    </row>
    <row r="234" spans="5:25">
      <c r="E234" s="729"/>
      <c r="F234" s="729"/>
      <c r="G234" s="729"/>
      <c r="H234" s="729"/>
      <c r="I234" s="729"/>
      <c r="J234" s="729"/>
      <c r="K234" s="729"/>
      <c r="L234" s="729"/>
      <c r="M234" s="729"/>
      <c r="N234" s="729"/>
      <c r="O234" s="729"/>
      <c r="P234" s="729"/>
      <c r="Y234" s="730"/>
    </row>
    <row r="235" spans="5:25">
      <c r="E235" s="729"/>
      <c r="F235" s="729"/>
      <c r="G235" s="729"/>
      <c r="H235" s="729"/>
      <c r="I235" s="729"/>
      <c r="J235" s="729"/>
      <c r="K235" s="729"/>
      <c r="L235" s="729"/>
      <c r="M235" s="729"/>
      <c r="N235" s="729"/>
      <c r="O235" s="729"/>
      <c r="P235" s="729"/>
      <c r="Y235" s="730"/>
    </row>
    <row r="236" spans="5:25">
      <c r="E236" s="729"/>
      <c r="F236" s="729"/>
      <c r="G236" s="729"/>
      <c r="H236" s="729"/>
      <c r="I236" s="729"/>
      <c r="J236" s="729"/>
      <c r="K236" s="729"/>
      <c r="L236" s="729"/>
      <c r="M236" s="729"/>
      <c r="N236" s="729"/>
      <c r="O236" s="729"/>
      <c r="P236" s="729"/>
      <c r="Y236" s="730"/>
    </row>
    <row r="237" spans="5:25">
      <c r="E237" s="729"/>
      <c r="F237" s="729"/>
      <c r="G237" s="729"/>
      <c r="H237" s="729"/>
      <c r="I237" s="729"/>
      <c r="J237" s="729"/>
      <c r="K237" s="729"/>
      <c r="L237" s="729"/>
      <c r="M237" s="729"/>
      <c r="N237" s="729"/>
      <c r="O237" s="729"/>
      <c r="P237" s="729"/>
      <c r="Y237" s="730"/>
    </row>
    <row r="238" spans="5:25">
      <c r="E238" s="729"/>
      <c r="F238" s="729"/>
      <c r="G238" s="729"/>
      <c r="H238" s="729"/>
      <c r="I238" s="729"/>
      <c r="J238" s="729"/>
      <c r="K238" s="729"/>
      <c r="L238" s="729"/>
      <c r="M238" s="729"/>
      <c r="N238" s="729"/>
      <c r="O238" s="729"/>
      <c r="P238" s="729"/>
      <c r="Y238" s="730"/>
    </row>
    <row r="239" spans="5:25">
      <c r="E239" s="729"/>
      <c r="F239" s="729"/>
      <c r="G239" s="729"/>
      <c r="H239" s="729"/>
      <c r="I239" s="729"/>
      <c r="J239" s="729"/>
      <c r="K239" s="729"/>
      <c r="L239" s="729"/>
      <c r="M239" s="729"/>
      <c r="N239" s="729"/>
      <c r="O239" s="729"/>
      <c r="P239" s="729"/>
      <c r="Y239" s="730"/>
    </row>
    <row r="240" spans="5:25">
      <c r="E240" s="729"/>
      <c r="F240" s="729"/>
      <c r="G240" s="729"/>
      <c r="H240" s="729"/>
      <c r="I240" s="729"/>
      <c r="J240" s="729"/>
      <c r="K240" s="729"/>
      <c r="L240" s="729"/>
      <c r="M240" s="729"/>
      <c r="N240" s="729"/>
      <c r="O240" s="729"/>
      <c r="P240" s="729"/>
      <c r="Y240" s="730"/>
    </row>
    <row r="241" spans="5:25">
      <c r="E241" s="729"/>
      <c r="F241" s="729"/>
      <c r="G241" s="729"/>
      <c r="H241" s="729"/>
      <c r="I241" s="729"/>
      <c r="J241" s="729"/>
      <c r="K241" s="729"/>
      <c r="L241" s="729"/>
      <c r="M241" s="729"/>
      <c r="N241" s="729"/>
      <c r="O241" s="729"/>
      <c r="P241" s="729"/>
      <c r="Y241" s="730"/>
    </row>
    <row r="242" spans="5:25">
      <c r="E242" s="729"/>
      <c r="F242" s="729"/>
      <c r="G242" s="729"/>
      <c r="H242" s="729"/>
      <c r="I242" s="729"/>
      <c r="J242" s="729"/>
      <c r="K242" s="729"/>
      <c r="L242" s="729"/>
      <c r="M242" s="729"/>
      <c r="N242" s="729"/>
      <c r="O242" s="729"/>
      <c r="P242" s="729"/>
      <c r="Y242" s="730"/>
    </row>
    <row r="243" spans="5:25">
      <c r="E243" s="729"/>
      <c r="F243" s="729"/>
      <c r="G243" s="729"/>
      <c r="H243" s="729"/>
      <c r="I243" s="729"/>
      <c r="J243" s="729"/>
      <c r="K243" s="729"/>
      <c r="L243" s="729"/>
      <c r="M243" s="729"/>
      <c r="N243" s="729"/>
      <c r="O243" s="729"/>
      <c r="P243" s="729"/>
      <c r="Y243" s="730"/>
    </row>
    <row r="244" spans="5:25">
      <c r="E244" s="729"/>
      <c r="F244" s="729"/>
      <c r="G244" s="729"/>
      <c r="H244" s="729"/>
      <c r="I244" s="729"/>
      <c r="J244" s="729"/>
      <c r="K244" s="729"/>
      <c r="L244" s="729"/>
      <c r="M244" s="729"/>
      <c r="N244" s="729"/>
      <c r="O244" s="729"/>
      <c r="P244" s="729"/>
      <c r="Y244" s="730"/>
    </row>
    <row r="245" spans="5:25">
      <c r="E245" s="729"/>
      <c r="F245" s="729"/>
      <c r="G245" s="729"/>
      <c r="H245" s="729"/>
      <c r="I245" s="729"/>
      <c r="J245" s="729"/>
      <c r="K245" s="729"/>
      <c r="L245" s="729"/>
      <c r="M245" s="729"/>
      <c r="N245" s="729"/>
      <c r="O245" s="729"/>
      <c r="P245" s="729"/>
      <c r="Y245" s="730"/>
    </row>
    <row r="246" spans="5:25">
      <c r="E246" s="729"/>
      <c r="F246" s="729"/>
      <c r="G246" s="729"/>
      <c r="H246" s="729"/>
      <c r="I246" s="729"/>
      <c r="J246" s="729"/>
      <c r="K246" s="729"/>
      <c r="L246" s="729"/>
      <c r="M246" s="729"/>
      <c r="N246" s="729"/>
      <c r="O246" s="729"/>
      <c r="P246" s="729"/>
      <c r="Y246" s="730"/>
    </row>
    <row r="247" spans="5:25">
      <c r="E247" s="729"/>
      <c r="F247" s="729"/>
      <c r="G247" s="729"/>
      <c r="H247" s="729"/>
      <c r="I247" s="729"/>
      <c r="J247" s="729"/>
      <c r="K247" s="729"/>
      <c r="L247" s="729"/>
      <c r="M247" s="729"/>
      <c r="N247" s="729"/>
      <c r="O247" s="729"/>
      <c r="P247" s="729"/>
      <c r="Y247" s="730"/>
    </row>
    <row r="248" spans="5:25">
      <c r="E248" s="729"/>
      <c r="F248" s="729"/>
      <c r="G248" s="729"/>
      <c r="H248" s="729"/>
      <c r="I248" s="729"/>
      <c r="J248" s="729"/>
      <c r="K248" s="729"/>
      <c r="L248" s="729"/>
      <c r="M248" s="729"/>
      <c r="N248" s="729"/>
      <c r="O248" s="729"/>
      <c r="P248" s="729"/>
      <c r="Y248" s="730"/>
    </row>
    <row r="249" spans="5:25">
      <c r="E249" s="729"/>
      <c r="F249" s="729"/>
      <c r="G249" s="729"/>
      <c r="H249" s="729"/>
      <c r="I249" s="729"/>
      <c r="J249" s="729"/>
      <c r="K249" s="729"/>
      <c r="L249" s="729"/>
      <c r="M249" s="729"/>
      <c r="N249" s="729"/>
      <c r="O249" s="729"/>
      <c r="P249" s="729"/>
      <c r="Y249" s="730"/>
    </row>
    <row r="250" spans="5:25">
      <c r="E250" s="729"/>
      <c r="F250" s="729"/>
      <c r="G250" s="729"/>
      <c r="H250" s="729"/>
      <c r="I250" s="729"/>
      <c r="J250" s="729"/>
      <c r="K250" s="729"/>
      <c r="L250" s="729"/>
      <c r="M250" s="729"/>
      <c r="N250" s="729"/>
      <c r="O250" s="729"/>
      <c r="P250" s="729"/>
      <c r="Y250" s="730"/>
    </row>
    <row r="251" spans="5:25">
      <c r="E251" s="729"/>
      <c r="F251" s="729"/>
      <c r="G251" s="729"/>
      <c r="H251" s="729"/>
      <c r="I251" s="729"/>
      <c r="J251" s="729"/>
      <c r="K251" s="729"/>
      <c r="L251" s="729"/>
      <c r="M251" s="729"/>
      <c r="N251" s="729"/>
      <c r="O251" s="729"/>
      <c r="P251" s="729"/>
      <c r="Y251" s="730"/>
    </row>
    <row r="252" spans="5:25">
      <c r="E252" s="729"/>
      <c r="F252" s="729"/>
      <c r="G252" s="729"/>
      <c r="H252" s="729"/>
      <c r="I252" s="729"/>
      <c r="J252" s="729"/>
      <c r="K252" s="729"/>
      <c r="L252" s="729"/>
      <c r="M252" s="729"/>
      <c r="N252" s="729"/>
      <c r="O252" s="729"/>
      <c r="P252" s="729"/>
      <c r="Y252" s="730"/>
    </row>
    <row r="253" spans="5:25">
      <c r="E253" s="729"/>
      <c r="F253" s="729"/>
      <c r="G253" s="729"/>
      <c r="H253" s="729"/>
      <c r="I253" s="729"/>
      <c r="J253" s="729"/>
      <c r="K253" s="729"/>
      <c r="L253" s="729"/>
      <c r="M253" s="729"/>
      <c r="N253" s="729"/>
      <c r="O253" s="729"/>
      <c r="P253" s="729"/>
      <c r="Y253" s="730"/>
    </row>
    <row r="254" spans="5:25">
      <c r="E254" s="729"/>
      <c r="F254" s="729"/>
      <c r="G254" s="729"/>
      <c r="H254" s="729"/>
      <c r="I254" s="729"/>
      <c r="J254" s="729"/>
      <c r="K254" s="729"/>
      <c r="L254" s="729"/>
      <c r="M254" s="729"/>
      <c r="N254" s="729"/>
      <c r="O254" s="729"/>
      <c r="P254" s="729"/>
      <c r="Y254" s="730"/>
    </row>
    <row r="255" spans="5:25">
      <c r="E255" s="729"/>
      <c r="F255" s="729"/>
      <c r="G255" s="729"/>
      <c r="H255" s="729"/>
      <c r="I255" s="729"/>
      <c r="J255" s="729"/>
      <c r="K255" s="729"/>
      <c r="L255" s="729"/>
      <c r="M255" s="729"/>
      <c r="N255" s="729"/>
      <c r="O255" s="729"/>
      <c r="P255" s="729"/>
      <c r="Y255" s="730"/>
    </row>
    <row r="256" spans="5:25">
      <c r="E256" s="729"/>
      <c r="F256" s="729"/>
      <c r="G256" s="729"/>
      <c r="H256" s="729"/>
      <c r="I256" s="729"/>
      <c r="J256" s="729"/>
      <c r="K256" s="729"/>
      <c r="L256" s="729"/>
      <c r="M256" s="729"/>
      <c r="N256" s="729"/>
      <c r="O256" s="729"/>
      <c r="P256" s="729"/>
      <c r="Y256" s="730"/>
    </row>
    <row r="257" spans="5:25">
      <c r="E257" s="729"/>
      <c r="F257" s="729"/>
      <c r="G257" s="729"/>
      <c r="H257" s="729"/>
      <c r="I257" s="729"/>
      <c r="J257" s="729"/>
      <c r="K257" s="729"/>
      <c r="L257" s="729"/>
      <c r="M257" s="729"/>
      <c r="N257" s="729"/>
      <c r="O257" s="729"/>
      <c r="P257" s="729"/>
      <c r="Y257" s="730"/>
    </row>
    <row r="258" spans="5:25">
      <c r="E258" s="729"/>
      <c r="F258" s="729"/>
      <c r="G258" s="729"/>
      <c r="H258" s="729"/>
      <c r="I258" s="729"/>
      <c r="J258" s="729"/>
      <c r="K258" s="729"/>
      <c r="L258" s="729"/>
      <c r="M258" s="729"/>
      <c r="N258" s="729"/>
      <c r="O258" s="729"/>
      <c r="P258" s="729"/>
      <c r="Y258" s="730"/>
    </row>
    <row r="259" spans="5:25">
      <c r="E259" s="729"/>
      <c r="F259" s="729"/>
      <c r="G259" s="729"/>
      <c r="H259" s="729"/>
      <c r="I259" s="729"/>
      <c r="J259" s="729"/>
      <c r="K259" s="729"/>
      <c r="L259" s="729"/>
      <c r="M259" s="729"/>
      <c r="N259" s="729"/>
      <c r="O259" s="729"/>
      <c r="P259" s="729"/>
      <c r="Y259" s="730"/>
    </row>
    <row r="260" spans="5:25">
      <c r="E260" s="729"/>
      <c r="F260" s="729"/>
      <c r="G260" s="729"/>
      <c r="H260" s="729"/>
      <c r="I260" s="729"/>
      <c r="J260" s="729"/>
      <c r="K260" s="729"/>
      <c r="L260" s="729"/>
      <c r="M260" s="729"/>
      <c r="N260" s="729"/>
      <c r="O260" s="729"/>
      <c r="P260" s="729"/>
      <c r="Y260" s="730"/>
    </row>
    <row r="261" spans="5:25">
      <c r="E261" s="729"/>
      <c r="F261" s="729"/>
      <c r="G261" s="729"/>
      <c r="H261" s="729"/>
      <c r="I261" s="729"/>
      <c r="J261" s="729"/>
      <c r="K261" s="729"/>
      <c r="L261" s="729"/>
      <c r="M261" s="729"/>
      <c r="N261" s="729"/>
      <c r="O261" s="729"/>
      <c r="P261" s="729"/>
      <c r="Y261" s="730"/>
    </row>
    <row r="262" spans="5:25">
      <c r="E262" s="729"/>
      <c r="F262" s="729"/>
      <c r="G262" s="729"/>
      <c r="H262" s="729"/>
      <c r="I262" s="729"/>
      <c r="J262" s="729"/>
      <c r="K262" s="729"/>
      <c r="L262" s="729"/>
      <c r="M262" s="729"/>
      <c r="N262" s="729"/>
      <c r="O262" s="729"/>
      <c r="P262" s="729"/>
      <c r="Y262" s="730"/>
    </row>
    <row r="263" spans="5:25">
      <c r="E263" s="729"/>
      <c r="F263" s="729"/>
      <c r="G263" s="729"/>
      <c r="H263" s="729"/>
      <c r="I263" s="729"/>
      <c r="J263" s="729"/>
      <c r="K263" s="729"/>
      <c r="L263" s="729"/>
      <c r="M263" s="729"/>
      <c r="N263" s="729"/>
      <c r="O263" s="729"/>
      <c r="P263" s="729"/>
      <c r="Y263" s="730"/>
    </row>
    <row r="264" spans="5:25">
      <c r="E264" s="729"/>
      <c r="F264" s="729"/>
      <c r="G264" s="729"/>
      <c r="H264" s="729"/>
      <c r="I264" s="729"/>
      <c r="J264" s="729"/>
      <c r="K264" s="729"/>
      <c r="L264" s="729"/>
      <c r="M264" s="729"/>
      <c r="N264" s="729"/>
      <c r="O264" s="729"/>
      <c r="P264" s="729"/>
      <c r="Y264" s="730"/>
    </row>
    <row r="265" spans="5:25">
      <c r="E265" s="729"/>
      <c r="F265" s="729"/>
      <c r="G265" s="729"/>
      <c r="H265" s="729"/>
      <c r="I265" s="729"/>
      <c r="J265" s="729"/>
      <c r="K265" s="729"/>
      <c r="L265" s="729"/>
      <c r="M265" s="729"/>
      <c r="N265" s="729"/>
      <c r="O265" s="729"/>
      <c r="P265" s="729"/>
      <c r="Y265" s="730"/>
    </row>
    <row r="266" spans="5:25">
      <c r="E266" s="729"/>
      <c r="F266" s="729"/>
      <c r="G266" s="729"/>
      <c r="H266" s="729"/>
      <c r="I266" s="729"/>
      <c r="J266" s="729"/>
      <c r="K266" s="729"/>
      <c r="L266" s="729"/>
      <c r="M266" s="729"/>
      <c r="N266" s="729"/>
      <c r="O266" s="729"/>
      <c r="P266" s="729"/>
      <c r="Y266" s="730"/>
    </row>
    <row r="267" spans="5:25">
      <c r="E267" s="729"/>
      <c r="F267" s="729"/>
      <c r="G267" s="729"/>
      <c r="H267" s="729"/>
      <c r="I267" s="729"/>
      <c r="J267" s="729"/>
      <c r="K267" s="729"/>
      <c r="L267" s="729"/>
      <c r="M267" s="729"/>
      <c r="N267" s="729"/>
      <c r="O267" s="729"/>
      <c r="P267" s="729"/>
      <c r="Y267" s="730"/>
    </row>
    <row r="268" spans="5:25">
      <c r="E268" s="729"/>
      <c r="F268" s="729"/>
      <c r="G268" s="729"/>
      <c r="H268" s="729"/>
      <c r="I268" s="729"/>
      <c r="J268" s="729"/>
      <c r="K268" s="729"/>
      <c r="L268" s="729"/>
      <c r="M268" s="729"/>
      <c r="N268" s="729"/>
      <c r="O268" s="729"/>
      <c r="P268" s="729"/>
      <c r="Y268" s="730"/>
    </row>
    <row r="269" spans="5:25">
      <c r="E269" s="729"/>
      <c r="F269" s="729"/>
      <c r="G269" s="729"/>
      <c r="H269" s="729"/>
      <c r="I269" s="729"/>
      <c r="J269" s="729"/>
      <c r="K269" s="729"/>
      <c r="L269" s="729"/>
      <c r="M269" s="729"/>
      <c r="N269" s="729"/>
      <c r="O269" s="729"/>
      <c r="P269" s="729"/>
      <c r="Y269" s="730"/>
    </row>
    <row r="270" spans="5:25">
      <c r="E270" s="729"/>
      <c r="F270" s="729"/>
      <c r="G270" s="729"/>
      <c r="H270" s="729"/>
      <c r="I270" s="729"/>
      <c r="J270" s="729"/>
      <c r="K270" s="729"/>
      <c r="L270" s="729"/>
      <c r="M270" s="729"/>
      <c r="N270" s="729"/>
      <c r="O270" s="729"/>
      <c r="P270" s="729"/>
      <c r="Y270" s="730"/>
    </row>
    <row r="271" spans="5:25">
      <c r="E271" s="729"/>
      <c r="F271" s="729"/>
      <c r="G271" s="729"/>
      <c r="H271" s="729"/>
      <c r="I271" s="729"/>
      <c r="J271" s="729"/>
      <c r="K271" s="729"/>
      <c r="L271" s="729"/>
      <c r="M271" s="729"/>
      <c r="N271" s="729"/>
      <c r="O271" s="729"/>
      <c r="P271" s="729"/>
      <c r="Y271" s="730"/>
    </row>
    <row r="272" spans="5:25">
      <c r="E272" s="729"/>
      <c r="F272" s="729"/>
      <c r="G272" s="729"/>
      <c r="H272" s="729"/>
      <c r="I272" s="729"/>
      <c r="J272" s="729"/>
      <c r="K272" s="729"/>
      <c r="L272" s="729"/>
      <c r="M272" s="729"/>
      <c r="N272" s="729"/>
      <c r="O272" s="729"/>
      <c r="P272" s="729"/>
      <c r="Y272" s="730"/>
    </row>
    <row r="273" spans="5:25">
      <c r="E273" s="729"/>
      <c r="F273" s="729"/>
      <c r="G273" s="729"/>
      <c r="H273" s="729"/>
      <c r="I273" s="729"/>
      <c r="J273" s="729"/>
      <c r="K273" s="729"/>
      <c r="L273" s="729"/>
      <c r="M273" s="729"/>
      <c r="N273" s="729"/>
      <c r="O273" s="729"/>
      <c r="P273" s="729"/>
      <c r="Y273" s="730"/>
    </row>
    <row r="274" spans="5:25">
      <c r="E274" s="729"/>
      <c r="F274" s="729"/>
      <c r="G274" s="729"/>
      <c r="H274" s="729"/>
      <c r="I274" s="729"/>
      <c r="J274" s="729"/>
      <c r="K274" s="729"/>
      <c r="L274" s="729"/>
      <c r="M274" s="729"/>
      <c r="N274" s="729"/>
      <c r="O274" s="729"/>
      <c r="P274" s="729"/>
      <c r="Y274" s="730"/>
    </row>
    <row r="275" spans="5:25">
      <c r="E275" s="729"/>
      <c r="F275" s="729"/>
      <c r="G275" s="729"/>
      <c r="H275" s="729"/>
      <c r="I275" s="729"/>
      <c r="J275" s="729"/>
      <c r="K275" s="729"/>
      <c r="L275" s="729"/>
      <c r="M275" s="729"/>
      <c r="N275" s="729"/>
      <c r="O275" s="729"/>
      <c r="P275" s="729"/>
      <c r="Y275" s="730"/>
    </row>
    <row r="276" spans="5:25">
      <c r="E276" s="729"/>
      <c r="F276" s="729"/>
      <c r="G276" s="729"/>
      <c r="H276" s="729"/>
      <c r="I276" s="729"/>
      <c r="J276" s="729"/>
      <c r="K276" s="729"/>
      <c r="L276" s="729"/>
      <c r="M276" s="729"/>
      <c r="N276" s="729"/>
      <c r="O276" s="729"/>
      <c r="P276" s="729"/>
      <c r="Y276" s="730"/>
    </row>
    <row r="277" spans="5:25">
      <c r="E277" s="729"/>
      <c r="F277" s="729"/>
      <c r="G277" s="729"/>
      <c r="H277" s="729"/>
      <c r="I277" s="729"/>
      <c r="J277" s="729"/>
      <c r="K277" s="729"/>
      <c r="L277" s="729"/>
      <c r="M277" s="729"/>
      <c r="N277" s="729"/>
      <c r="O277" s="729"/>
      <c r="P277" s="729"/>
      <c r="Y277" s="730"/>
    </row>
    <row r="278" spans="5:25">
      <c r="E278" s="729"/>
      <c r="F278" s="729"/>
      <c r="G278" s="729"/>
      <c r="H278" s="729"/>
      <c r="I278" s="729"/>
      <c r="J278" s="729"/>
      <c r="K278" s="729"/>
      <c r="L278" s="729"/>
      <c r="M278" s="729"/>
      <c r="N278" s="729"/>
      <c r="O278" s="729"/>
      <c r="P278" s="729"/>
      <c r="Y278" s="730"/>
    </row>
    <row r="279" spans="5:25">
      <c r="E279" s="729"/>
      <c r="F279" s="729"/>
      <c r="G279" s="729"/>
      <c r="H279" s="729"/>
      <c r="I279" s="729"/>
      <c r="J279" s="729"/>
      <c r="K279" s="729"/>
      <c r="L279" s="729"/>
      <c r="M279" s="729"/>
      <c r="N279" s="729"/>
      <c r="O279" s="729"/>
      <c r="P279" s="729"/>
      <c r="Y279" s="730"/>
    </row>
    <row r="280" spans="5:25">
      <c r="E280" s="729"/>
      <c r="F280" s="729"/>
      <c r="G280" s="729"/>
      <c r="H280" s="729"/>
      <c r="I280" s="729"/>
      <c r="J280" s="729"/>
      <c r="K280" s="729"/>
      <c r="L280" s="729"/>
      <c r="M280" s="729"/>
      <c r="N280" s="729"/>
      <c r="O280" s="729"/>
      <c r="P280" s="729"/>
      <c r="Y280" s="730"/>
    </row>
    <row r="281" spans="5:25">
      <c r="E281" s="729"/>
      <c r="F281" s="729"/>
      <c r="G281" s="729"/>
      <c r="H281" s="729"/>
      <c r="I281" s="729"/>
      <c r="J281" s="729"/>
      <c r="K281" s="729"/>
      <c r="L281" s="729"/>
      <c r="M281" s="729"/>
      <c r="N281" s="729"/>
      <c r="O281" s="729"/>
      <c r="P281" s="729"/>
      <c r="Y281" s="730"/>
    </row>
    <row r="282" spans="5:25">
      <c r="E282" s="729"/>
      <c r="F282" s="729"/>
      <c r="G282" s="729"/>
      <c r="H282" s="729"/>
      <c r="I282" s="729"/>
      <c r="J282" s="729"/>
      <c r="K282" s="729"/>
      <c r="L282" s="729"/>
      <c r="M282" s="729"/>
      <c r="N282" s="729"/>
      <c r="O282" s="729"/>
      <c r="P282" s="729"/>
      <c r="Y282" s="730"/>
    </row>
    <row r="283" spans="5:25">
      <c r="E283" s="729"/>
      <c r="F283" s="729"/>
      <c r="G283" s="729"/>
      <c r="H283" s="729"/>
      <c r="I283" s="729"/>
      <c r="J283" s="729"/>
      <c r="K283" s="729"/>
      <c r="L283" s="729"/>
      <c r="M283" s="729"/>
      <c r="N283" s="729"/>
      <c r="O283" s="729"/>
      <c r="P283" s="729"/>
      <c r="Y283" s="730"/>
    </row>
    <row r="284" spans="5:25">
      <c r="E284" s="729"/>
      <c r="F284" s="729"/>
      <c r="G284" s="729"/>
      <c r="H284" s="729"/>
      <c r="I284" s="729"/>
      <c r="J284" s="729"/>
      <c r="K284" s="729"/>
      <c r="L284" s="729"/>
      <c r="M284" s="729"/>
      <c r="N284" s="729"/>
      <c r="O284" s="729"/>
      <c r="P284" s="729"/>
      <c r="Y284" s="730"/>
    </row>
    <row r="285" spans="5:25">
      <c r="E285" s="729"/>
      <c r="F285" s="729"/>
      <c r="G285" s="729"/>
      <c r="H285" s="729"/>
      <c r="I285" s="729"/>
      <c r="J285" s="729"/>
      <c r="K285" s="729"/>
      <c r="L285" s="729"/>
      <c r="M285" s="729"/>
      <c r="N285" s="729"/>
      <c r="O285" s="729"/>
      <c r="P285" s="729"/>
      <c r="Y285" s="730"/>
    </row>
    <row r="286" spans="5:25">
      <c r="E286" s="729"/>
      <c r="F286" s="729"/>
      <c r="G286" s="729"/>
      <c r="H286" s="729"/>
      <c r="I286" s="729"/>
      <c r="J286" s="729"/>
      <c r="K286" s="729"/>
      <c r="L286" s="729"/>
      <c r="M286" s="729"/>
      <c r="N286" s="729"/>
      <c r="O286" s="729"/>
      <c r="P286" s="729"/>
      <c r="Y286" s="730"/>
    </row>
    <row r="287" spans="5:25">
      <c r="E287" s="729"/>
      <c r="F287" s="729"/>
      <c r="G287" s="729"/>
      <c r="H287" s="729"/>
      <c r="I287" s="729"/>
      <c r="J287" s="729"/>
      <c r="K287" s="729"/>
      <c r="L287" s="729"/>
      <c r="M287" s="729"/>
      <c r="N287" s="729"/>
      <c r="O287" s="729"/>
      <c r="P287" s="729"/>
      <c r="Y287" s="730"/>
    </row>
    <row r="288" spans="5:25">
      <c r="E288" s="729"/>
      <c r="F288" s="729"/>
      <c r="G288" s="729"/>
      <c r="H288" s="729"/>
      <c r="I288" s="729"/>
      <c r="J288" s="729"/>
      <c r="K288" s="729"/>
      <c r="L288" s="729"/>
      <c r="M288" s="729"/>
      <c r="N288" s="729"/>
      <c r="O288" s="729"/>
      <c r="P288" s="729"/>
      <c r="Y288" s="730"/>
    </row>
    <row r="289" spans="5:25">
      <c r="E289" s="729"/>
      <c r="F289" s="729"/>
      <c r="G289" s="729"/>
      <c r="H289" s="729"/>
      <c r="I289" s="729"/>
      <c r="J289" s="729"/>
      <c r="K289" s="729"/>
      <c r="L289" s="729"/>
      <c r="M289" s="729"/>
      <c r="N289" s="729"/>
      <c r="O289" s="729"/>
      <c r="P289" s="729"/>
      <c r="Y289" s="730"/>
    </row>
    <row r="290" spans="5:25">
      <c r="E290" s="729"/>
      <c r="F290" s="729"/>
      <c r="G290" s="729"/>
      <c r="H290" s="729"/>
      <c r="I290" s="729"/>
      <c r="J290" s="729"/>
      <c r="K290" s="729"/>
      <c r="L290" s="729"/>
      <c r="M290" s="729"/>
      <c r="N290" s="729"/>
      <c r="O290" s="729"/>
      <c r="P290" s="729"/>
      <c r="Y290" s="730"/>
    </row>
    <row r="291" spans="5:25">
      <c r="E291" s="729"/>
      <c r="F291" s="729"/>
      <c r="G291" s="729"/>
      <c r="H291" s="729"/>
      <c r="I291" s="729"/>
      <c r="J291" s="729"/>
      <c r="K291" s="729"/>
      <c r="L291" s="729"/>
      <c r="M291" s="729"/>
      <c r="N291" s="729"/>
      <c r="O291" s="729"/>
      <c r="P291" s="729"/>
      <c r="Y291" s="730"/>
    </row>
    <row r="292" spans="5:25">
      <c r="E292" s="729"/>
      <c r="F292" s="729"/>
      <c r="G292" s="729"/>
      <c r="H292" s="729"/>
      <c r="I292" s="729"/>
      <c r="J292" s="729"/>
      <c r="K292" s="729"/>
      <c r="L292" s="729"/>
      <c r="M292" s="729"/>
      <c r="N292" s="729"/>
      <c r="O292" s="729"/>
      <c r="P292" s="729"/>
      <c r="Y292" s="730"/>
    </row>
    <row r="293" spans="5:25">
      <c r="E293" s="729"/>
      <c r="F293" s="729"/>
      <c r="G293" s="729"/>
      <c r="H293" s="729"/>
      <c r="I293" s="729"/>
      <c r="J293" s="729"/>
      <c r="K293" s="729"/>
      <c r="L293" s="729"/>
      <c r="M293" s="729"/>
      <c r="N293" s="729"/>
      <c r="O293" s="729"/>
      <c r="P293" s="729"/>
      <c r="Y293" s="730"/>
    </row>
    <row r="294" spans="5:25">
      <c r="E294" s="729"/>
      <c r="F294" s="729"/>
      <c r="G294" s="729"/>
      <c r="H294" s="729"/>
      <c r="I294" s="729"/>
      <c r="J294" s="729"/>
      <c r="K294" s="729"/>
      <c r="L294" s="729"/>
      <c r="M294" s="729"/>
      <c r="N294" s="729"/>
      <c r="O294" s="729"/>
      <c r="P294" s="729"/>
      <c r="Y294" s="730"/>
    </row>
    <row r="295" spans="5:25">
      <c r="E295" s="729"/>
      <c r="F295" s="729"/>
      <c r="G295" s="729"/>
      <c r="H295" s="729"/>
      <c r="I295" s="729"/>
      <c r="J295" s="729"/>
      <c r="K295" s="729"/>
      <c r="L295" s="729"/>
      <c r="M295" s="729"/>
      <c r="N295" s="729"/>
      <c r="O295" s="729"/>
      <c r="P295" s="729"/>
      <c r="Y295" s="730"/>
    </row>
    <row r="296" spans="5:25">
      <c r="E296" s="729"/>
      <c r="F296" s="729"/>
      <c r="G296" s="729"/>
      <c r="H296" s="729"/>
      <c r="I296" s="729"/>
      <c r="J296" s="729"/>
      <c r="K296" s="729"/>
      <c r="L296" s="729"/>
      <c r="M296" s="729"/>
      <c r="N296" s="729"/>
      <c r="O296" s="729"/>
      <c r="P296" s="729"/>
      <c r="Y296" s="730"/>
    </row>
    <row r="297" spans="5:25">
      <c r="E297" s="729"/>
      <c r="F297" s="729"/>
      <c r="G297" s="729"/>
      <c r="H297" s="729"/>
      <c r="I297" s="729"/>
      <c r="J297" s="729"/>
      <c r="K297" s="729"/>
      <c r="L297" s="729"/>
      <c r="M297" s="729"/>
      <c r="N297" s="729"/>
      <c r="O297" s="729"/>
      <c r="P297" s="729"/>
      <c r="Y297" s="730"/>
    </row>
    <row r="298" spans="5:25">
      <c r="E298" s="729"/>
      <c r="F298" s="729"/>
      <c r="G298" s="729"/>
      <c r="H298" s="729"/>
      <c r="I298" s="729"/>
      <c r="J298" s="729"/>
      <c r="K298" s="729"/>
      <c r="L298" s="729"/>
      <c r="M298" s="729"/>
      <c r="N298" s="729"/>
      <c r="O298" s="729"/>
      <c r="P298" s="729"/>
      <c r="Y298" s="730"/>
    </row>
    <row r="299" spans="5:25">
      <c r="E299" s="729"/>
      <c r="F299" s="729"/>
      <c r="G299" s="729"/>
      <c r="H299" s="729"/>
      <c r="I299" s="729"/>
      <c r="J299" s="729"/>
      <c r="K299" s="729"/>
      <c r="L299" s="729"/>
      <c r="M299" s="729"/>
      <c r="N299" s="729"/>
      <c r="O299" s="729"/>
      <c r="P299" s="729"/>
      <c r="Y299" s="730"/>
    </row>
    <row r="300" spans="5:25">
      <c r="E300" s="729"/>
      <c r="F300" s="729"/>
      <c r="G300" s="729"/>
      <c r="H300" s="729"/>
      <c r="I300" s="729"/>
      <c r="J300" s="729"/>
      <c r="K300" s="729"/>
      <c r="L300" s="729"/>
      <c r="M300" s="729"/>
      <c r="N300" s="729"/>
      <c r="O300" s="729"/>
      <c r="P300" s="729"/>
      <c r="Y300" s="730"/>
    </row>
    <row r="301" spans="5:25">
      <c r="E301" s="729"/>
      <c r="F301" s="729"/>
      <c r="G301" s="729"/>
      <c r="H301" s="729"/>
      <c r="I301" s="729"/>
      <c r="J301" s="729"/>
      <c r="K301" s="729"/>
      <c r="L301" s="729"/>
      <c r="M301" s="729"/>
      <c r="N301" s="729"/>
      <c r="O301" s="729"/>
      <c r="P301" s="729"/>
      <c r="Y301" s="730"/>
    </row>
    <row r="302" spans="5:25">
      <c r="E302" s="729"/>
      <c r="F302" s="729"/>
      <c r="G302" s="729"/>
      <c r="H302" s="729"/>
      <c r="I302" s="729"/>
      <c r="J302" s="729"/>
      <c r="K302" s="729"/>
      <c r="L302" s="729"/>
      <c r="M302" s="729"/>
      <c r="N302" s="729"/>
      <c r="O302" s="729"/>
      <c r="P302" s="729"/>
      <c r="Y302" s="730"/>
    </row>
    <row r="303" spans="5:25">
      <c r="E303" s="729"/>
      <c r="F303" s="729"/>
      <c r="G303" s="729"/>
      <c r="H303" s="729"/>
      <c r="I303" s="729"/>
      <c r="J303" s="729"/>
      <c r="K303" s="729"/>
      <c r="L303" s="729"/>
      <c r="M303" s="729"/>
      <c r="N303" s="729"/>
      <c r="O303" s="729"/>
      <c r="P303" s="729"/>
      <c r="Y303" s="730"/>
    </row>
    <row r="304" spans="5:25">
      <c r="E304" s="729"/>
      <c r="F304" s="729"/>
      <c r="G304" s="729"/>
      <c r="H304" s="729"/>
      <c r="I304" s="729"/>
      <c r="J304" s="729"/>
      <c r="K304" s="729"/>
      <c r="L304" s="729"/>
      <c r="M304" s="729"/>
      <c r="N304" s="729"/>
      <c r="O304" s="729"/>
      <c r="P304" s="729"/>
      <c r="Y304" s="730"/>
    </row>
    <row r="305" spans="5:25">
      <c r="E305" s="729"/>
      <c r="F305" s="729"/>
      <c r="G305" s="729"/>
      <c r="H305" s="729"/>
      <c r="I305" s="729"/>
      <c r="J305" s="729"/>
      <c r="K305" s="729"/>
      <c r="L305" s="729"/>
      <c r="M305" s="729"/>
      <c r="N305" s="729"/>
      <c r="O305" s="729"/>
      <c r="P305" s="729"/>
      <c r="Y305" s="730"/>
    </row>
    <row r="306" spans="5:25">
      <c r="E306" s="729"/>
      <c r="F306" s="729"/>
      <c r="G306" s="729"/>
      <c r="H306" s="729"/>
      <c r="I306" s="729"/>
      <c r="J306" s="729"/>
      <c r="K306" s="729"/>
      <c r="L306" s="729"/>
      <c r="M306" s="729"/>
      <c r="N306" s="729"/>
      <c r="O306" s="729"/>
      <c r="P306" s="729"/>
      <c r="Y306" s="730"/>
    </row>
    <row r="307" spans="5:25">
      <c r="E307" s="729"/>
      <c r="F307" s="729"/>
      <c r="G307" s="729"/>
      <c r="H307" s="729"/>
      <c r="I307" s="729"/>
      <c r="J307" s="729"/>
      <c r="K307" s="729"/>
      <c r="L307" s="729"/>
      <c r="M307" s="729"/>
      <c r="N307" s="729"/>
      <c r="O307" s="729"/>
      <c r="P307" s="729"/>
      <c r="Y307" s="730"/>
    </row>
    <row r="308" spans="5:25">
      <c r="E308" s="729"/>
      <c r="F308" s="729"/>
      <c r="G308" s="729"/>
      <c r="H308" s="729"/>
      <c r="I308" s="729"/>
      <c r="J308" s="729"/>
      <c r="K308" s="729"/>
      <c r="L308" s="729"/>
      <c r="M308" s="729"/>
      <c r="N308" s="729"/>
      <c r="O308" s="729"/>
      <c r="P308" s="729"/>
      <c r="Y308" s="730"/>
    </row>
    <row r="309" spans="5:25">
      <c r="E309" s="729"/>
      <c r="F309" s="729"/>
      <c r="G309" s="729"/>
      <c r="H309" s="729"/>
      <c r="I309" s="729"/>
      <c r="J309" s="729"/>
      <c r="K309" s="729"/>
      <c r="L309" s="729"/>
      <c r="M309" s="729"/>
      <c r="N309" s="729"/>
      <c r="O309" s="729"/>
      <c r="P309" s="729"/>
      <c r="Y309" s="730"/>
    </row>
    <row r="310" spans="5:25">
      <c r="E310" s="729"/>
      <c r="F310" s="729"/>
      <c r="G310" s="729"/>
      <c r="H310" s="729"/>
      <c r="I310" s="729"/>
      <c r="J310" s="729"/>
      <c r="K310" s="729"/>
      <c r="L310" s="729"/>
      <c r="M310" s="729"/>
      <c r="N310" s="729"/>
      <c r="O310" s="729"/>
      <c r="P310" s="729"/>
      <c r="Y310" s="730"/>
    </row>
    <row r="311" spans="5:25">
      <c r="E311" s="729"/>
      <c r="F311" s="729"/>
      <c r="G311" s="729"/>
      <c r="H311" s="729"/>
      <c r="I311" s="729"/>
      <c r="J311" s="729"/>
      <c r="K311" s="729"/>
      <c r="L311" s="729"/>
      <c r="M311" s="729"/>
      <c r="N311" s="729"/>
      <c r="O311" s="729"/>
      <c r="P311" s="729"/>
      <c r="Y311" s="730"/>
    </row>
    <row r="312" spans="5:25">
      <c r="E312" s="729"/>
      <c r="F312" s="729"/>
      <c r="G312" s="729"/>
      <c r="H312" s="729"/>
      <c r="I312" s="729"/>
      <c r="J312" s="729"/>
      <c r="K312" s="729"/>
      <c r="L312" s="729"/>
      <c r="M312" s="729"/>
      <c r="N312" s="729"/>
      <c r="O312" s="729"/>
      <c r="P312" s="729"/>
      <c r="Y312" s="730"/>
    </row>
    <row r="313" spans="5:25">
      <c r="E313" s="729"/>
      <c r="F313" s="729"/>
      <c r="G313" s="729"/>
      <c r="H313" s="729"/>
      <c r="I313" s="729"/>
      <c r="J313" s="729"/>
      <c r="K313" s="729"/>
      <c r="L313" s="729"/>
      <c r="M313" s="729"/>
      <c r="N313" s="729"/>
      <c r="O313" s="729"/>
      <c r="P313" s="729"/>
      <c r="Y313" s="730"/>
    </row>
    <row r="314" spans="5:25">
      <c r="E314" s="729"/>
      <c r="F314" s="729"/>
      <c r="G314" s="729"/>
      <c r="H314" s="729"/>
      <c r="I314" s="729"/>
      <c r="J314" s="729"/>
      <c r="K314" s="729"/>
      <c r="L314" s="729"/>
      <c r="M314" s="729"/>
      <c r="N314" s="729"/>
      <c r="O314" s="729"/>
      <c r="P314" s="729"/>
      <c r="Y314" s="730"/>
    </row>
    <row r="315" spans="5:25">
      <c r="E315" s="729"/>
      <c r="F315" s="729"/>
      <c r="G315" s="729"/>
      <c r="H315" s="729"/>
      <c r="I315" s="729"/>
      <c r="J315" s="729"/>
      <c r="K315" s="729"/>
      <c r="L315" s="729"/>
      <c r="M315" s="729"/>
      <c r="N315" s="729"/>
      <c r="O315" s="729"/>
      <c r="P315" s="729"/>
      <c r="Y315" s="730"/>
    </row>
    <row r="316" spans="5:25">
      <c r="E316" s="729"/>
      <c r="F316" s="729"/>
      <c r="G316" s="729"/>
      <c r="H316" s="729"/>
      <c r="I316" s="729"/>
      <c r="J316" s="729"/>
      <c r="K316" s="729"/>
      <c r="L316" s="729"/>
      <c r="M316" s="729"/>
      <c r="N316" s="729"/>
      <c r="O316" s="729"/>
      <c r="P316" s="729"/>
      <c r="Y316" s="730"/>
    </row>
    <row r="317" spans="5:25">
      <c r="E317" s="729"/>
      <c r="F317" s="729"/>
      <c r="G317" s="729"/>
      <c r="H317" s="729"/>
      <c r="I317" s="729"/>
      <c r="J317" s="729"/>
      <c r="K317" s="729"/>
      <c r="L317" s="729"/>
      <c r="M317" s="729"/>
      <c r="N317" s="729"/>
      <c r="O317" s="729"/>
      <c r="P317" s="729"/>
      <c r="Y317" s="730"/>
    </row>
    <row r="318" spans="5:25">
      <c r="E318" s="729"/>
      <c r="F318" s="729"/>
      <c r="G318" s="729"/>
      <c r="H318" s="729"/>
      <c r="I318" s="729"/>
      <c r="J318" s="729"/>
      <c r="K318" s="729"/>
      <c r="L318" s="729"/>
      <c r="M318" s="729"/>
      <c r="N318" s="729"/>
      <c r="O318" s="729"/>
      <c r="P318" s="729"/>
      <c r="Y318" s="730"/>
    </row>
    <row r="319" spans="5:25">
      <c r="E319" s="729"/>
      <c r="F319" s="729"/>
      <c r="G319" s="729"/>
      <c r="H319" s="729"/>
      <c r="I319" s="729"/>
      <c r="J319" s="729"/>
      <c r="K319" s="729"/>
      <c r="L319" s="729"/>
      <c r="M319" s="729"/>
      <c r="N319" s="729"/>
      <c r="O319" s="729"/>
      <c r="P319" s="729"/>
      <c r="Y319" s="730"/>
    </row>
    <row r="320" spans="5:25">
      <c r="E320" s="729"/>
      <c r="F320" s="729"/>
      <c r="G320" s="729"/>
      <c r="H320" s="729"/>
      <c r="I320" s="729"/>
      <c r="J320" s="729"/>
      <c r="K320" s="729"/>
      <c r="L320" s="729"/>
      <c r="M320" s="729"/>
      <c r="N320" s="729"/>
      <c r="O320" s="729"/>
      <c r="P320" s="729"/>
      <c r="Y320" s="730"/>
    </row>
    <row r="321" spans="5:25">
      <c r="E321" s="729"/>
      <c r="F321" s="729"/>
      <c r="G321" s="729"/>
      <c r="H321" s="729"/>
      <c r="I321" s="729"/>
      <c r="J321" s="729"/>
      <c r="K321" s="729"/>
      <c r="L321" s="729"/>
      <c r="M321" s="729"/>
      <c r="N321" s="729"/>
      <c r="O321" s="729"/>
      <c r="P321" s="729"/>
      <c r="Y321" s="730"/>
    </row>
    <row r="322" spans="5:25">
      <c r="E322" s="729"/>
      <c r="F322" s="729"/>
      <c r="G322" s="729"/>
      <c r="H322" s="729"/>
      <c r="I322" s="729"/>
      <c r="J322" s="729"/>
      <c r="K322" s="729"/>
      <c r="L322" s="729"/>
      <c r="M322" s="729"/>
      <c r="N322" s="729"/>
      <c r="O322" s="729"/>
      <c r="P322" s="729"/>
      <c r="Y322" s="730"/>
    </row>
    <row r="323" spans="5:25">
      <c r="E323" s="729"/>
      <c r="F323" s="729"/>
      <c r="G323" s="729"/>
      <c r="H323" s="729"/>
      <c r="I323" s="729"/>
      <c r="J323" s="729"/>
      <c r="K323" s="729"/>
      <c r="L323" s="729"/>
      <c r="M323" s="729"/>
      <c r="N323" s="729"/>
      <c r="O323" s="729"/>
      <c r="P323" s="729"/>
      <c r="Y323" s="730"/>
    </row>
    <row r="324" spans="5:25">
      <c r="E324" s="729"/>
      <c r="F324" s="729"/>
      <c r="G324" s="729"/>
      <c r="H324" s="729"/>
      <c r="I324" s="729"/>
      <c r="J324" s="729"/>
      <c r="K324" s="729"/>
      <c r="L324" s="729"/>
      <c r="M324" s="729"/>
      <c r="N324" s="729"/>
      <c r="O324" s="729"/>
      <c r="P324" s="729"/>
      <c r="Y324" s="730"/>
    </row>
    <row r="325" spans="5:25">
      <c r="E325" s="729"/>
      <c r="F325" s="729"/>
      <c r="G325" s="729"/>
      <c r="H325" s="729"/>
      <c r="I325" s="729"/>
      <c r="J325" s="729"/>
      <c r="K325" s="729"/>
      <c r="L325" s="729"/>
      <c r="M325" s="729"/>
      <c r="N325" s="729"/>
      <c r="O325" s="729"/>
      <c r="P325" s="729"/>
      <c r="Y325" s="730"/>
    </row>
    <row r="326" spans="5:25">
      <c r="E326" s="729"/>
      <c r="F326" s="729"/>
      <c r="G326" s="729"/>
      <c r="H326" s="729"/>
      <c r="I326" s="729"/>
      <c r="J326" s="729"/>
      <c r="K326" s="729"/>
      <c r="L326" s="729"/>
      <c r="M326" s="729"/>
      <c r="N326" s="729"/>
      <c r="O326" s="729"/>
      <c r="P326" s="729"/>
      <c r="Y326" s="730"/>
    </row>
    <row r="327" spans="5:25">
      <c r="E327" s="729"/>
      <c r="F327" s="729"/>
      <c r="G327" s="729"/>
      <c r="H327" s="729"/>
      <c r="I327" s="729"/>
      <c r="J327" s="729"/>
      <c r="K327" s="729"/>
      <c r="L327" s="729"/>
      <c r="M327" s="729"/>
      <c r="N327" s="729"/>
      <c r="O327" s="729"/>
      <c r="P327" s="729"/>
      <c r="Y327" s="730"/>
    </row>
    <row r="328" spans="5:25">
      <c r="E328" s="729"/>
      <c r="F328" s="729"/>
      <c r="G328" s="729"/>
      <c r="H328" s="729"/>
      <c r="I328" s="729"/>
      <c r="J328" s="729"/>
      <c r="K328" s="729"/>
      <c r="L328" s="729"/>
      <c r="M328" s="729"/>
      <c r="N328" s="729"/>
      <c r="O328" s="729"/>
      <c r="P328" s="729"/>
      <c r="Y328" s="730"/>
    </row>
    <row r="329" spans="5:25">
      <c r="E329" s="729"/>
      <c r="F329" s="729"/>
      <c r="G329" s="729"/>
      <c r="H329" s="729"/>
      <c r="I329" s="729"/>
      <c r="J329" s="729"/>
      <c r="K329" s="729"/>
      <c r="L329" s="729"/>
      <c r="M329" s="729"/>
      <c r="N329" s="729"/>
      <c r="O329" s="729"/>
      <c r="P329" s="729"/>
      <c r="Y329" s="730"/>
    </row>
    <row r="330" spans="5:25">
      <c r="E330" s="729"/>
      <c r="F330" s="729"/>
      <c r="G330" s="729"/>
      <c r="H330" s="729"/>
      <c r="I330" s="729"/>
      <c r="J330" s="729"/>
      <c r="K330" s="729"/>
      <c r="L330" s="729"/>
      <c r="M330" s="729"/>
      <c r="N330" s="729"/>
      <c r="O330" s="729"/>
      <c r="P330" s="729"/>
      <c r="Y330" s="730"/>
    </row>
    <row r="331" spans="5:25">
      <c r="E331" s="729"/>
      <c r="F331" s="729"/>
      <c r="G331" s="729"/>
      <c r="H331" s="729"/>
      <c r="I331" s="729"/>
      <c r="J331" s="729"/>
      <c r="K331" s="729"/>
      <c r="L331" s="729"/>
      <c r="M331" s="729"/>
      <c r="N331" s="729"/>
      <c r="O331" s="729"/>
      <c r="P331" s="729"/>
      <c r="Y331" s="730"/>
    </row>
    <row r="332" spans="5:25">
      <c r="E332" s="729"/>
      <c r="F332" s="729"/>
      <c r="G332" s="729"/>
      <c r="H332" s="729"/>
      <c r="I332" s="729"/>
      <c r="J332" s="729"/>
      <c r="K332" s="729"/>
      <c r="L332" s="729"/>
      <c r="M332" s="729"/>
      <c r="N332" s="729"/>
      <c r="O332" s="729"/>
      <c r="P332" s="729"/>
      <c r="Y332" s="730"/>
    </row>
    <row r="333" spans="5:25">
      <c r="E333" s="729"/>
      <c r="F333" s="729"/>
      <c r="G333" s="729"/>
      <c r="H333" s="729"/>
      <c r="I333" s="729"/>
      <c r="J333" s="729"/>
      <c r="K333" s="729"/>
      <c r="L333" s="729"/>
      <c r="M333" s="729"/>
      <c r="N333" s="729"/>
      <c r="O333" s="729"/>
      <c r="P333" s="729"/>
      <c r="Y333" s="730"/>
    </row>
    <row r="334" spans="5:25">
      <c r="E334" s="729"/>
      <c r="F334" s="729"/>
      <c r="G334" s="729"/>
      <c r="H334" s="729"/>
      <c r="I334" s="729"/>
      <c r="J334" s="729"/>
      <c r="K334" s="729"/>
      <c r="L334" s="729"/>
      <c r="M334" s="729"/>
      <c r="N334" s="729"/>
      <c r="O334" s="729"/>
      <c r="P334" s="729"/>
      <c r="Y334" s="730"/>
    </row>
    <row r="335" spans="5:25">
      <c r="E335" s="729"/>
      <c r="F335" s="729"/>
      <c r="G335" s="729"/>
      <c r="H335" s="729"/>
      <c r="I335" s="729"/>
      <c r="J335" s="729"/>
      <c r="K335" s="729"/>
      <c r="L335" s="729"/>
      <c r="M335" s="729"/>
      <c r="N335" s="729"/>
      <c r="O335" s="729"/>
      <c r="P335" s="729"/>
      <c r="Y335" s="730"/>
    </row>
    <row r="336" spans="5:25">
      <c r="E336" s="729"/>
      <c r="F336" s="729"/>
      <c r="G336" s="729"/>
      <c r="H336" s="729"/>
      <c r="I336" s="729"/>
      <c r="J336" s="729"/>
      <c r="K336" s="729"/>
      <c r="L336" s="729"/>
      <c r="M336" s="729"/>
      <c r="N336" s="729"/>
      <c r="O336" s="729"/>
      <c r="P336" s="729"/>
      <c r="Y336" s="730"/>
    </row>
    <row r="337" spans="5:25">
      <c r="E337" s="729"/>
      <c r="F337" s="729"/>
      <c r="G337" s="729"/>
      <c r="H337" s="729"/>
      <c r="I337" s="729"/>
      <c r="J337" s="729"/>
      <c r="K337" s="729"/>
      <c r="L337" s="729"/>
      <c r="M337" s="729"/>
      <c r="N337" s="729"/>
      <c r="O337" s="729"/>
      <c r="P337" s="729"/>
      <c r="Y337" s="730"/>
    </row>
    <row r="338" spans="5:25">
      <c r="E338" s="729"/>
      <c r="F338" s="729"/>
      <c r="G338" s="729"/>
      <c r="H338" s="729"/>
      <c r="I338" s="729"/>
      <c r="J338" s="729"/>
      <c r="K338" s="729"/>
      <c r="L338" s="729"/>
      <c r="M338" s="729"/>
      <c r="N338" s="729"/>
      <c r="O338" s="729"/>
      <c r="P338" s="729"/>
      <c r="Y338" s="730"/>
    </row>
    <row r="339" spans="5:25">
      <c r="E339" s="729"/>
      <c r="F339" s="729"/>
      <c r="G339" s="729"/>
      <c r="H339" s="729"/>
      <c r="I339" s="729"/>
      <c r="J339" s="729"/>
      <c r="K339" s="729"/>
      <c r="L339" s="729"/>
      <c r="M339" s="729"/>
      <c r="N339" s="729"/>
      <c r="O339" s="729"/>
      <c r="P339" s="729"/>
      <c r="Y339" s="730"/>
    </row>
    <row r="340" spans="5:25">
      <c r="E340" s="729"/>
      <c r="F340" s="729"/>
      <c r="G340" s="729"/>
      <c r="H340" s="729"/>
      <c r="I340" s="729"/>
      <c r="J340" s="729"/>
      <c r="K340" s="729"/>
      <c r="L340" s="729"/>
      <c r="M340" s="729"/>
      <c r="N340" s="729"/>
      <c r="O340" s="729"/>
      <c r="P340" s="729"/>
      <c r="Y340" s="730"/>
    </row>
    <row r="341" spans="5:25">
      <c r="E341" s="729"/>
      <c r="F341" s="729"/>
      <c r="G341" s="729"/>
      <c r="H341" s="729"/>
      <c r="I341" s="729"/>
      <c r="J341" s="729"/>
      <c r="K341" s="729"/>
      <c r="L341" s="729"/>
      <c r="M341" s="729"/>
      <c r="N341" s="729"/>
      <c r="O341" s="729"/>
      <c r="P341" s="729"/>
      <c r="Y341" s="730"/>
    </row>
    <row r="342" spans="5:25">
      <c r="E342" s="729"/>
      <c r="F342" s="729"/>
      <c r="G342" s="729"/>
      <c r="H342" s="729"/>
      <c r="I342" s="729"/>
      <c r="J342" s="729"/>
      <c r="K342" s="729"/>
      <c r="L342" s="729"/>
      <c r="M342" s="729"/>
      <c r="N342" s="729"/>
      <c r="O342" s="729"/>
      <c r="P342" s="729"/>
      <c r="Y342" s="730"/>
    </row>
    <row r="343" spans="5:25">
      <c r="E343" s="729"/>
      <c r="F343" s="729"/>
      <c r="G343" s="729"/>
      <c r="H343" s="729"/>
      <c r="I343" s="729"/>
      <c r="J343" s="729"/>
      <c r="K343" s="729"/>
      <c r="L343" s="729"/>
      <c r="M343" s="729"/>
      <c r="N343" s="729"/>
      <c r="O343" s="729"/>
      <c r="P343" s="729"/>
      <c r="Y343" s="730"/>
    </row>
    <row r="344" spans="5:25">
      <c r="E344" s="729"/>
      <c r="F344" s="729"/>
      <c r="G344" s="729"/>
      <c r="H344" s="729"/>
      <c r="I344" s="729"/>
      <c r="J344" s="729"/>
      <c r="K344" s="729"/>
      <c r="L344" s="729"/>
      <c r="M344" s="729"/>
      <c r="N344" s="729"/>
      <c r="O344" s="729"/>
      <c r="P344" s="729"/>
      <c r="Y344" s="730"/>
    </row>
    <row r="345" spans="5:25">
      <c r="E345" s="729"/>
      <c r="F345" s="729"/>
      <c r="G345" s="729"/>
      <c r="H345" s="729"/>
      <c r="I345" s="729"/>
      <c r="J345" s="729"/>
      <c r="K345" s="729"/>
      <c r="L345" s="729"/>
      <c r="M345" s="729"/>
      <c r="N345" s="729"/>
      <c r="O345" s="729"/>
      <c r="P345" s="729"/>
      <c r="Y345" s="730"/>
    </row>
    <row r="346" spans="5:25">
      <c r="E346" s="729"/>
      <c r="F346" s="729"/>
      <c r="G346" s="729"/>
      <c r="H346" s="729"/>
      <c r="I346" s="729"/>
      <c r="J346" s="729"/>
      <c r="K346" s="729"/>
      <c r="L346" s="729"/>
      <c r="M346" s="729"/>
      <c r="N346" s="729"/>
      <c r="O346" s="729"/>
      <c r="P346" s="729"/>
      <c r="Y346" s="730"/>
    </row>
    <row r="347" spans="5:25">
      <c r="E347" s="729"/>
      <c r="F347" s="729"/>
      <c r="G347" s="729"/>
      <c r="H347" s="729"/>
      <c r="I347" s="729"/>
      <c r="J347" s="729"/>
      <c r="K347" s="729"/>
      <c r="L347" s="729"/>
      <c r="M347" s="729"/>
      <c r="N347" s="729"/>
      <c r="O347" s="729"/>
      <c r="P347" s="729"/>
      <c r="Y347" s="730"/>
    </row>
    <row r="348" spans="5:25">
      <c r="E348" s="729"/>
      <c r="F348" s="729"/>
      <c r="G348" s="729"/>
      <c r="H348" s="729"/>
      <c r="I348" s="729"/>
      <c r="J348" s="729"/>
      <c r="K348" s="729"/>
      <c r="L348" s="729"/>
      <c r="M348" s="729"/>
      <c r="N348" s="729"/>
      <c r="O348" s="729"/>
      <c r="P348" s="729"/>
      <c r="Y348" s="730"/>
    </row>
    <row r="349" spans="5:25">
      <c r="E349" s="729"/>
      <c r="F349" s="729"/>
      <c r="G349" s="729"/>
      <c r="H349" s="729"/>
      <c r="I349" s="729"/>
      <c r="J349" s="729"/>
      <c r="K349" s="729"/>
      <c r="L349" s="729"/>
      <c r="M349" s="729"/>
      <c r="N349" s="729"/>
      <c r="O349" s="729"/>
      <c r="P349" s="729"/>
      <c r="Y349" s="730"/>
    </row>
    <row r="350" spans="5:25">
      <c r="E350" s="729"/>
      <c r="F350" s="729"/>
      <c r="G350" s="729"/>
      <c r="H350" s="729"/>
      <c r="I350" s="729"/>
      <c r="J350" s="729"/>
      <c r="K350" s="729"/>
      <c r="L350" s="729"/>
      <c r="M350" s="729"/>
      <c r="N350" s="729"/>
      <c r="O350" s="729"/>
      <c r="P350" s="729"/>
      <c r="Y350" s="730"/>
    </row>
    <row r="351" spans="5:25">
      <c r="E351" s="729"/>
      <c r="F351" s="729"/>
      <c r="G351" s="729"/>
      <c r="H351" s="729"/>
      <c r="I351" s="729"/>
      <c r="J351" s="729"/>
      <c r="K351" s="729"/>
      <c r="L351" s="729"/>
      <c r="M351" s="729"/>
      <c r="N351" s="729"/>
      <c r="O351" s="729"/>
      <c r="P351" s="729"/>
      <c r="Y351" s="730"/>
    </row>
    <row r="352" spans="5:25">
      <c r="E352" s="729"/>
      <c r="F352" s="729"/>
      <c r="G352" s="729"/>
      <c r="H352" s="729"/>
      <c r="I352" s="729"/>
      <c r="J352" s="729"/>
      <c r="K352" s="729"/>
      <c r="L352" s="729"/>
      <c r="M352" s="729"/>
      <c r="N352" s="729"/>
      <c r="O352" s="729"/>
      <c r="P352" s="729"/>
      <c r="Y352" s="730"/>
    </row>
    <row r="353" spans="5:25">
      <c r="E353" s="729"/>
      <c r="F353" s="729"/>
      <c r="G353" s="729"/>
      <c r="H353" s="729"/>
      <c r="I353" s="729"/>
      <c r="J353" s="729"/>
      <c r="K353" s="729"/>
      <c r="L353" s="729"/>
      <c r="M353" s="729"/>
      <c r="N353" s="729"/>
      <c r="O353" s="729"/>
      <c r="P353" s="729"/>
      <c r="Y353" s="730"/>
    </row>
    <row r="354" spans="5:25">
      <c r="E354" s="729"/>
      <c r="F354" s="729"/>
      <c r="G354" s="729"/>
      <c r="H354" s="729"/>
      <c r="I354" s="729"/>
      <c r="J354" s="729"/>
      <c r="K354" s="729"/>
      <c r="L354" s="729"/>
      <c r="M354" s="729"/>
      <c r="N354" s="729"/>
      <c r="O354" s="729"/>
      <c r="P354" s="729"/>
      <c r="Y354" s="730"/>
    </row>
    <row r="355" spans="5:25">
      <c r="E355" s="729"/>
      <c r="F355" s="729"/>
      <c r="G355" s="729"/>
      <c r="H355" s="729"/>
      <c r="I355" s="729"/>
      <c r="J355" s="729"/>
      <c r="K355" s="729"/>
      <c r="L355" s="729"/>
      <c r="M355" s="729"/>
      <c r="N355" s="729"/>
      <c r="O355" s="729"/>
      <c r="P355" s="729"/>
      <c r="Y355" s="730"/>
    </row>
    <row r="356" spans="5:25">
      <c r="E356" s="729"/>
      <c r="F356" s="729"/>
      <c r="G356" s="729"/>
      <c r="H356" s="729"/>
      <c r="I356" s="729"/>
      <c r="J356" s="729"/>
      <c r="K356" s="729"/>
      <c r="L356" s="729"/>
      <c r="M356" s="729"/>
      <c r="N356" s="729"/>
      <c r="O356" s="729"/>
      <c r="P356" s="729"/>
      <c r="Y356" s="730"/>
    </row>
    <row r="357" spans="5:25">
      <c r="E357" s="729"/>
      <c r="F357" s="729"/>
      <c r="G357" s="729"/>
      <c r="H357" s="729"/>
      <c r="I357" s="729"/>
      <c r="J357" s="729"/>
      <c r="K357" s="729"/>
      <c r="L357" s="729"/>
      <c r="M357" s="729"/>
      <c r="N357" s="729"/>
      <c r="O357" s="729"/>
      <c r="P357" s="729"/>
      <c r="Y357" s="730"/>
    </row>
    <row r="358" spans="5:25">
      <c r="E358" s="729"/>
      <c r="F358" s="729"/>
      <c r="G358" s="729"/>
      <c r="H358" s="729"/>
      <c r="I358" s="729"/>
      <c r="J358" s="729"/>
      <c r="K358" s="729"/>
      <c r="L358" s="729"/>
      <c r="M358" s="729"/>
      <c r="N358" s="729"/>
      <c r="O358" s="729"/>
      <c r="P358" s="729"/>
      <c r="Y358" s="730"/>
    </row>
    <row r="359" spans="5:25">
      <c r="E359" s="729"/>
      <c r="F359" s="729"/>
      <c r="G359" s="729"/>
      <c r="H359" s="729"/>
      <c r="I359" s="729"/>
      <c r="J359" s="729"/>
      <c r="K359" s="729"/>
      <c r="L359" s="729"/>
      <c r="M359" s="729"/>
      <c r="N359" s="729"/>
      <c r="O359" s="729"/>
      <c r="P359" s="729"/>
      <c r="Y359" s="730"/>
    </row>
    <row r="360" spans="5:25">
      <c r="E360" s="729"/>
      <c r="F360" s="729"/>
      <c r="G360" s="729"/>
      <c r="H360" s="729"/>
      <c r="I360" s="729"/>
      <c r="J360" s="729"/>
      <c r="K360" s="729"/>
      <c r="L360" s="729"/>
      <c r="M360" s="729"/>
      <c r="N360" s="729"/>
      <c r="O360" s="729"/>
      <c r="P360" s="729"/>
      <c r="Y360" s="730"/>
    </row>
    <row r="361" spans="5:25">
      <c r="E361" s="729"/>
      <c r="F361" s="729"/>
      <c r="G361" s="729"/>
      <c r="H361" s="729"/>
      <c r="I361" s="729"/>
      <c r="J361" s="729"/>
      <c r="K361" s="729"/>
      <c r="L361" s="729"/>
      <c r="M361" s="729"/>
      <c r="N361" s="729"/>
      <c r="O361" s="729"/>
      <c r="P361" s="729"/>
      <c r="Y361" s="730"/>
    </row>
    <row r="362" spans="5:25">
      <c r="E362" s="729"/>
      <c r="F362" s="729"/>
      <c r="G362" s="729"/>
      <c r="H362" s="729"/>
      <c r="I362" s="729"/>
      <c r="J362" s="729"/>
      <c r="K362" s="729"/>
      <c r="L362" s="729"/>
      <c r="M362" s="729"/>
      <c r="N362" s="729"/>
      <c r="O362" s="729"/>
      <c r="P362" s="729"/>
      <c r="Y362" s="730"/>
    </row>
    <row r="363" spans="5:25">
      <c r="E363" s="729"/>
      <c r="F363" s="729"/>
      <c r="G363" s="729"/>
      <c r="H363" s="729"/>
      <c r="I363" s="729"/>
      <c r="J363" s="729"/>
      <c r="K363" s="729"/>
      <c r="L363" s="729"/>
      <c r="M363" s="729"/>
      <c r="N363" s="729"/>
      <c r="O363" s="729"/>
      <c r="P363" s="729"/>
      <c r="Y363" s="730"/>
    </row>
    <row r="364" spans="5:25">
      <c r="E364" s="729"/>
      <c r="F364" s="729"/>
      <c r="G364" s="729"/>
      <c r="H364" s="729"/>
      <c r="I364" s="729"/>
      <c r="J364" s="729"/>
      <c r="K364" s="729"/>
      <c r="L364" s="729"/>
      <c r="M364" s="729"/>
      <c r="N364" s="729"/>
      <c r="O364" s="729"/>
      <c r="P364" s="729"/>
      <c r="Y364" s="730"/>
    </row>
    <row r="365" spans="5:25">
      <c r="E365" s="729"/>
      <c r="F365" s="729"/>
      <c r="G365" s="729"/>
      <c r="H365" s="729"/>
      <c r="I365" s="729"/>
      <c r="J365" s="729"/>
      <c r="K365" s="729"/>
      <c r="L365" s="729"/>
      <c r="M365" s="729"/>
      <c r="N365" s="729"/>
      <c r="O365" s="729"/>
      <c r="P365" s="729"/>
      <c r="Y365" s="730"/>
    </row>
    <row r="366" spans="5:25">
      <c r="E366" s="729"/>
      <c r="F366" s="729"/>
      <c r="G366" s="729"/>
      <c r="H366" s="729"/>
      <c r="I366" s="729"/>
      <c r="J366" s="729"/>
      <c r="K366" s="729"/>
      <c r="L366" s="729"/>
      <c r="M366" s="729"/>
      <c r="N366" s="729"/>
      <c r="O366" s="729"/>
      <c r="P366" s="729"/>
      <c r="Y366" s="730"/>
    </row>
    <row r="367" spans="5:25">
      <c r="E367" s="729"/>
      <c r="F367" s="729"/>
      <c r="G367" s="729"/>
      <c r="H367" s="729"/>
      <c r="I367" s="729"/>
      <c r="J367" s="729"/>
      <c r="K367" s="729"/>
      <c r="L367" s="729"/>
      <c r="M367" s="729"/>
      <c r="N367" s="729"/>
      <c r="O367" s="729"/>
      <c r="P367" s="729"/>
      <c r="Y367" s="730"/>
    </row>
    <row r="368" spans="5:25">
      <c r="E368" s="729"/>
      <c r="F368" s="729"/>
      <c r="G368" s="729"/>
      <c r="H368" s="729"/>
      <c r="I368" s="729"/>
      <c r="J368" s="729"/>
      <c r="K368" s="729"/>
      <c r="L368" s="729"/>
      <c r="M368" s="729"/>
      <c r="N368" s="729"/>
      <c r="O368" s="729"/>
      <c r="P368" s="729"/>
      <c r="Y368" s="730"/>
    </row>
    <row r="369" spans="5:25">
      <c r="E369" s="729"/>
      <c r="F369" s="729"/>
      <c r="G369" s="729"/>
      <c r="H369" s="729"/>
      <c r="I369" s="729"/>
      <c r="J369" s="729"/>
      <c r="K369" s="729"/>
      <c r="L369" s="729"/>
      <c r="M369" s="729"/>
      <c r="N369" s="729"/>
      <c r="O369" s="729"/>
      <c r="P369" s="729"/>
      <c r="Y369" s="730"/>
    </row>
    <row r="370" spans="5:25">
      <c r="E370" s="729"/>
      <c r="F370" s="729"/>
      <c r="G370" s="729"/>
      <c r="H370" s="729"/>
      <c r="I370" s="729"/>
      <c r="J370" s="729"/>
      <c r="K370" s="729"/>
      <c r="L370" s="729"/>
      <c r="M370" s="729"/>
      <c r="N370" s="729"/>
      <c r="O370" s="729"/>
      <c r="P370" s="729"/>
      <c r="Y370" s="730"/>
    </row>
    <row r="371" spans="5:25">
      <c r="E371" s="729"/>
      <c r="F371" s="729"/>
      <c r="G371" s="729"/>
      <c r="H371" s="729"/>
      <c r="I371" s="729"/>
      <c r="J371" s="729"/>
      <c r="K371" s="729"/>
      <c r="L371" s="729"/>
      <c r="M371" s="729"/>
      <c r="N371" s="729"/>
      <c r="O371" s="729"/>
      <c r="P371" s="729"/>
      <c r="Y371" s="730"/>
    </row>
    <row r="372" spans="5:25">
      <c r="E372" s="729"/>
      <c r="F372" s="729"/>
      <c r="G372" s="729"/>
      <c r="H372" s="729"/>
      <c r="I372" s="729"/>
      <c r="J372" s="729"/>
      <c r="K372" s="729"/>
      <c r="L372" s="729"/>
      <c r="M372" s="729"/>
      <c r="N372" s="729"/>
      <c r="O372" s="729"/>
      <c r="P372" s="729"/>
      <c r="Y372" s="730"/>
    </row>
    <row r="373" spans="5:25">
      <c r="E373" s="729"/>
      <c r="F373" s="729"/>
      <c r="G373" s="729"/>
      <c r="H373" s="729"/>
      <c r="I373" s="729"/>
      <c r="J373" s="729"/>
      <c r="K373" s="729"/>
      <c r="L373" s="729"/>
      <c r="M373" s="729"/>
      <c r="N373" s="729"/>
      <c r="O373" s="729"/>
      <c r="P373" s="729"/>
      <c r="Y373" s="730"/>
    </row>
    <row r="374" spans="5:25">
      <c r="E374" s="729"/>
      <c r="F374" s="729"/>
      <c r="G374" s="729"/>
      <c r="H374" s="729"/>
      <c r="I374" s="729"/>
      <c r="J374" s="729"/>
      <c r="K374" s="729"/>
      <c r="L374" s="729"/>
      <c r="M374" s="729"/>
      <c r="N374" s="729"/>
      <c r="O374" s="729"/>
      <c r="P374" s="729"/>
      <c r="Y374" s="730"/>
    </row>
    <row r="375" spans="5:25">
      <c r="E375" s="729"/>
      <c r="F375" s="729"/>
      <c r="G375" s="729"/>
      <c r="H375" s="729"/>
      <c r="I375" s="729"/>
      <c r="J375" s="729"/>
      <c r="K375" s="729"/>
      <c r="L375" s="729"/>
      <c r="M375" s="729"/>
      <c r="N375" s="729"/>
      <c r="O375" s="729"/>
      <c r="P375" s="729"/>
      <c r="Y375" s="730"/>
    </row>
    <row r="376" spans="5:25">
      <c r="E376" s="729"/>
      <c r="F376" s="729"/>
      <c r="G376" s="729"/>
      <c r="H376" s="729"/>
      <c r="I376" s="729"/>
      <c r="J376" s="729"/>
      <c r="K376" s="729"/>
      <c r="L376" s="729"/>
      <c r="M376" s="729"/>
      <c r="N376" s="729"/>
      <c r="O376" s="729"/>
      <c r="P376" s="729"/>
      <c r="Y376" s="730"/>
    </row>
    <row r="377" spans="5:25">
      <c r="E377" s="729"/>
      <c r="F377" s="729"/>
      <c r="G377" s="729"/>
      <c r="H377" s="729"/>
      <c r="I377" s="729"/>
      <c r="J377" s="729"/>
      <c r="K377" s="729"/>
      <c r="L377" s="729"/>
      <c r="M377" s="729"/>
      <c r="N377" s="729"/>
      <c r="O377" s="729"/>
      <c r="P377" s="729"/>
      <c r="Y377" s="730"/>
    </row>
    <row r="378" spans="5:25">
      <c r="E378" s="729"/>
      <c r="F378" s="729"/>
      <c r="G378" s="729"/>
      <c r="H378" s="729"/>
      <c r="I378" s="729"/>
      <c r="J378" s="729"/>
      <c r="K378" s="729"/>
      <c r="L378" s="729"/>
      <c r="M378" s="729"/>
      <c r="N378" s="729"/>
      <c r="O378" s="729"/>
      <c r="P378" s="729"/>
      <c r="Y378" s="730"/>
    </row>
    <row r="379" spans="5:25">
      <c r="E379" s="729"/>
      <c r="F379" s="729"/>
      <c r="G379" s="729"/>
      <c r="H379" s="729"/>
      <c r="I379" s="729"/>
      <c r="J379" s="729"/>
      <c r="K379" s="729"/>
      <c r="L379" s="729"/>
      <c r="M379" s="729"/>
      <c r="N379" s="729"/>
      <c r="O379" s="729"/>
      <c r="P379" s="729"/>
      <c r="Y379" s="730"/>
    </row>
    <row r="380" spans="5:25">
      <c r="E380" s="729"/>
      <c r="F380" s="729"/>
      <c r="G380" s="729"/>
      <c r="H380" s="729"/>
      <c r="I380" s="729"/>
      <c r="J380" s="729"/>
      <c r="K380" s="729"/>
      <c r="L380" s="729"/>
      <c r="M380" s="729"/>
      <c r="N380" s="729"/>
      <c r="O380" s="729"/>
      <c r="P380" s="729"/>
      <c r="Y380" s="730"/>
    </row>
    <row r="381" spans="5:25">
      <c r="E381" s="729"/>
      <c r="F381" s="729"/>
      <c r="G381" s="729"/>
      <c r="H381" s="729"/>
      <c r="I381" s="729"/>
      <c r="J381" s="729"/>
      <c r="K381" s="729"/>
      <c r="L381" s="729"/>
      <c r="M381" s="729"/>
      <c r="N381" s="729"/>
      <c r="O381" s="729"/>
      <c r="P381" s="729"/>
      <c r="Y381" s="730"/>
    </row>
    <row r="382" spans="5:25">
      <c r="E382" s="729"/>
      <c r="F382" s="729"/>
      <c r="G382" s="729"/>
      <c r="H382" s="729"/>
      <c r="I382" s="729"/>
      <c r="J382" s="729"/>
      <c r="K382" s="729"/>
      <c r="L382" s="729"/>
      <c r="M382" s="729"/>
      <c r="N382" s="729"/>
      <c r="O382" s="729"/>
      <c r="P382" s="729"/>
      <c r="Y382" s="730"/>
    </row>
    <row r="383" spans="5:25">
      <c r="E383" s="729"/>
      <c r="F383" s="729"/>
      <c r="G383" s="729"/>
      <c r="H383" s="729"/>
      <c r="I383" s="729"/>
      <c r="J383" s="729"/>
      <c r="K383" s="729"/>
      <c r="L383" s="729"/>
      <c r="M383" s="729"/>
      <c r="N383" s="729"/>
      <c r="O383" s="729"/>
      <c r="P383" s="729"/>
      <c r="Y383" s="730"/>
    </row>
    <row r="384" spans="5:25">
      <c r="E384" s="729"/>
      <c r="F384" s="729"/>
      <c r="G384" s="729"/>
      <c r="H384" s="729"/>
      <c r="I384" s="729"/>
      <c r="J384" s="729"/>
      <c r="K384" s="729"/>
      <c r="L384" s="729"/>
      <c r="M384" s="729"/>
      <c r="N384" s="729"/>
      <c r="O384" s="729"/>
      <c r="P384" s="729"/>
      <c r="Y384" s="730"/>
    </row>
    <row r="385" spans="5:25">
      <c r="E385" s="729"/>
      <c r="F385" s="729"/>
      <c r="G385" s="729"/>
      <c r="H385" s="729"/>
      <c r="I385" s="729"/>
      <c r="J385" s="729"/>
      <c r="K385" s="729"/>
      <c r="L385" s="729"/>
      <c r="M385" s="729"/>
      <c r="N385" s="729"/>
      <c r="O385" s="729"/>
      <c r="P385" s="729"/>
      <c r="Y385" s="730"/>
    </row>
    <row r="386" spans="5:25">
      <c r="E386" s="729"/>
      <c r="F386" s="729"/>
      <c r="G386" s="729"/>
      <c r="H386" s="729"/>
      <c r="I386" s="729"/>
      <c r="J386" s="729"/>
      <c r="K386" s="729"/>
      <c r="L386" s="729"/>
      <c r="M386" s="729"/>
      <c r="N386" s="729"/>
      <c r="O386" s="729"/>
      <c r="P386" s="729"/>
      <c r="Y386" s="730"/>
    </row>
    <row r="387" spans="5:25">
      <c r="E387" s="729"/>
      <c r="F387" s="729"/>
      <c r="G387" s="729"/>
      <c r="H387" s="729"/>
      <c r="I387" s="729"/>
      <c r="J387" s="729"/>
      <c r="K387" s="729"/>
      <c r="L387" s="729"/>
      <c r="M387" s="729"/>
      <c r="N387" s="729"/>
      <c r="O387" s="729"/>
      <c r="P387" s="729"/>
      <c r="Y387" s="730"/>
    </row>
    <row r="388" spans="5:25">
      <c r="E388" s="729"/>
      <c r="F388" s="729"/>
      <c r="G388" s="729"/>
      <c r="H388" s="729"/>
      <c r="I388" s="729"/>
      <c r="J388" s="729"/>
      <c r="K388" s="729"/>
      <c r="L388" s="729"/>
      <c r="M388" s="729"/>
      <c r="N388" s="729"/>
      <c r="O388" s="729"/>
      <c r="P388" s="729"/>
      <c r="Y388" s="730"/>
    </row>
    <row r="389" spans="5:25">
      <c r="E389" s="729"/>
      <c r="F389" s="729"/>
      <c r="G389" s="729"/>
      <c r="H389" s="729"/>
      <c r="I389" s="729"/>
      <c r="J389" s="729"/>
      <c r="K389" s="729"/>
      <c r="L389" s="729"/>
      <c r="M389" s="729"/>
      <c r="N389" s="729"/>
      <c r="O389" s="729"/>
      <c r="P389" s="729"/>
      <c r="Y389" s="730"/>
    </row>
    <row r="390" spans="5:25">
      <c r="E390" s="729"/>
      <c r="F390" s="729"/>
      <c r="G390" s="729"/>
      <c r="H390" s="729"/>
      <c r="I390" s="729"/>
      <c r="J390" s="729"/>
      <c r="K390" s="729"/>
      <c r="L390" s="729"/>
      <c r="M390" s="729"/>
      <c r="N390" s="729"/>
      <c r="O390" s="729"/>
      <c r="P390" s="729"/>
      <c r="Y390" s="730"/>
    </row>
    <row r="391" spans="5:25">
      <c r="E391" s="729"/>
      <c r="F391" s="729"/>
      <c r="G391" s="729"/>
      <c r="H391" s="729"/>
      <c r="I391" s="729"/>
      <c r="J391" s="729"/>
      <c r="K391" s="729"/>
      <c r="L391" s="729"/>
      <c r="M391" s="729"/>
      <c r="N391" s="729"/>
      <c r="O391" s="729"/>
      <c r="P391" s="729"/>
      <c r="Y391" s="730"/>
    </row>
    <row r="392" spans="5:25">
      <c r="E392" s="729"/>
      <c r="F392" s="729"/>
      <c r="G392" s="729"/>
      <c r="H392" s="729"/>
      <c r="I392" s="729"/>
      <c r="J392" s="729"/>
      <c r="K392" s="729"/>
      <c r="L392" s="729"/>
      <c r="M392" s="729"/>
      <c r="N392" s="729"/>
      <c r="O392" s="729"/>
      <c r="P392" s="729"/>
      <c r="Y392" s="730"/>
    </row>
    <row r="393" spans="5:25">
      <c r="E393" s="729"/>
      <c r="F393" s="729"/>
      <c r="G393" s="729"/>
      <c r="H393" s="729"/>
      <c r="I393" s="729"/>
      <c r="J393" s="729"/>
      <c r="K393" s="729"/>
      <c r="L393" s="729"/>
      <c r="M393" s="729"/>
      <c r="N393" s="729"/>
      <c r="O393" s="729"/>
      <c r="P393" s="729"/>
      <c r="Y393" s="730"/>
    </row>
    <row r="394" spans="5:25">
      <c r="E394" s="729"/>
      <c r="F394" s="729"/>
      <c r="G394" s="729"/>
      <c r="H394" s="729"/>
      <c r="I394" s="729"/>
      <c r="J394" s="729"/>
      <c r="K394" s="729"/>
      <c r="L394" s="729"/>
      <c r="M394" s="729"/>
      <c r="N394" s="729"/>
      <c r="O394" s="729"/>
      <c r="P394" s="729"/>
      <c r="Y394" s="730"/>
    </row>
    <row r="395" spans="5:25">
      <c r="E395" s="729"/>
      <c r="F395" s="729"/>
      <c r="G395" s="729"/>
      <c r="H395" s="729"/>
      <c r="I395" s="729"/>
      <c r="J395" s="729"/>
      <c r="K395" s="729"/>
      <c r="L395" s="729"/>
      <c r="M395" s="729"/>
      <c r="N395" s="729"/>
      <c r="O395" s="729"/>
      <c r="P395" s="729"/>
      <c r="Y395" s="730"/>
    </row>
    <row r="396" spans="5:25">
      <c r="E396" s="729"/>
      <c r="F396" s="729"/>
      <c r="G396" s="729"/>
      <c r="H396" s="729"/>
      <c r="I396" s="729"/>
      <c r="J396" s="729"/>
      <c r="K396" s="729"/>
      <c r="L396" s="729"/>
      <c r="M396" s="729"/>
      <c r="N396" s="729"/>
      <c r="O396" s="729"/>
      <c r="P396" s="729"/>
      <c r="Y396" s="730"/>
    </row>
    <row r="397" spans="5:25">
      <c r="E397" s="729"/>
      <c r="F397" s="729"/>
      <c r="G397" s="729"/>
      <c r="H397" s="729"/>
      <c r="I397" s="729"/>
      <c r="J397" s="729"/>
      <c r="K397" s="729"/>
      <c r="L397" s="729"/>
      <c r="M397" s="729"/>
      <c r="N397" s="729"/>
      <c r="O397" s="729"/>
      <c r="P397" s="729"/>
      <c r="Y397" s="730"/>
    </row>
    <row r="398" spans="5:25">
      <c r="E398" s="729"/>
      <c r="F398" s="729"/>
      <c r="G398" s="729"/>
      <c r="H398" s="729"/>
      <c r="I398" s="729"/>
      <c r="J398" s="729"/>
      <c r="K398" s="729"/>
      <c r="L398" s="729"/>
      <c r="M398" s="729"/>
      <c r="N398" s="729"/>
      <c r="O398" s="729"/>
      <c r="P398" s="729"/>
      <c r="Y398" s="730"/>
    </row>
    <row r="399" spans="5:25">
      <c r="E399" s="729"/>
      <c r="F399" s="729"/>
      <c r="G399" s="729"/>
      <c r="H399" s="729"/>
      <c r="I399" s="729"/>
      <c r="J399" s="729"/>
      <c r="K399" s="729"/>
      <c r="L399" s="729"/>
      <c r="M399" s="729"/>
      <c r="N399" s="729"/>
      <c r="O399" s="729"/>
      <c r="P399" s="729"/>
      <c r="Y399" s="730"/>
    </row>
    <row r="400" spans="5:25">
      <c r="E400" s="729"/>
      <c r="F400" s="729"/>
      <c r="G400" s="729"/>
      <c r="H400" s="729"/>
      <c r="I400" s="729"/>
      <c r="J400" s="729"/>
      <c r="K400" s="729"/>
      <c r="L400" s="729"/>
      <c r="M400" s="729"/>
      <c r="N400" s="729"/>
      <c r="O400" s="729"/>
      <c r="P400" s="729"/>
      <c r="Y400" s="730"/>
    </row>
    <row r="401" spans="5:25">
      <c r="E401" s="729"/>
      <c r="F401" s="729"/>
      <c r="G401" s="729"/>
      <c r="H401" s="729"/>
      <c r="I401" s="729"/>
      <c r="J401" s="729"/>
      <c r="K401" s="729"/>
      <c r="L401" s="729"/>
      <c r="M401" s="729"/>
      <c r="N401" s="729"/>
      <c r="O401" s="729"/>
      <c r="P401" s="729"/>
      <c r="Y401" s="730"/>
    </row>
    <row r="402" spans="5:25">
      <c r="E402" s="729"/>
      <c r="F402" s="729"/>
      <c r="G402" s="729"/>
      <c r="H402" s="729"/>
      <c r="I402" s="729"/>
      <c r="J402" s="729"/>
      <c r="K402" s="729"/>
      <c r="L402" s="729"/>
      <c r="M402" s="729"/>
      <c r="N402" s="729"/>
      <c r="O402" s="729"/>
      <c r="P402" s="729"/>
      <c r="Y402" s="730"/>
    </row>
    <row r="403" spans="5:25">
      <c r="E403" s="729"/>
      <c r="F403" s="729"/>
      <c r="G403" s="729"/>
      <c r="H403" s="729"/>
      <c r="I403" s="729"/>
      <c r="J403" s="729"/>
      <c r="K403" s="729"/>
      <c r="L403" s="729"/>
      <c r="M403" s="729"/>
      <c r="N403" s="729"/>
      <c r="O403" s="729"/>
      <c r="P403" s="729"/>
      <c r="Y403" s="730"/>
    </row>
    <row r="404" spans="5:25">
      <c r="E404" s="729"/>
      <c r="F404" s="729"/>
      <c r="G404" s="729"/>
      <c r="H404" s="729"/>
      <c r="I404" s="729"/>
      <c r="J404" s="729"/>
      <c r="K404" s="729"/>
      <c r="L404" s="729"/>
      <c r="M404" s="729"/>
      <c r="N404" s="729"/>
      <c r="O404" s="729"/>
      <c r="P404" s="729"/>
      <c r="Y404" s="730"/>
    </row>
    <row r="405" spans="5:25">
      <c r="E405" s="729"/>
      <c r="F405" s="729"/>
      <c r="G405" s="729"/>
      <c r="H405" s="729"/>
      <c r="I405" s="729"/>
      <c r="J405" s="729"/>
      <c r="K405" s="729"/>
      <c r="L405" s="729"/>
      <c r="M405" s="729"/>
      <c r="N405" s="729"/>
      <c r="O405" s="729"/>
      <c r="P405" s="729"/>
      <c r="Y405" s="730"/>
    </row>
    <row r="406" spans="5:25">
      <c r="E406" s="729"/>
      <c r="F406" s="729"/>
      <c r="G406" s="729"/>
      <c r="H406" s="729"/>
      <c r="I406" s="729"/>
      <c r="J406" s="729"/>
      <c r="K406" s="729"/>
      <c r="L406" s="729"/>
      <c r="M406" s="729"/>
      <c r="N406" s="729"/>
      <c r="O406" s="729"/>
      <c r="P406" s="729"/>
      <c r="Y406" s="730"/>
    </row>
    <row r="407" spans="5:25">
      <c r="E407" s="729"/>
      <c r="F407" s="729"/>
      <c r="G407" s="729"/>
      <c r="H407" s="729"/>
      <c r="I407" s="729"/>
      <c r="J407" s="729"/>
      <c r="K407" s="729"/>
      <c r="L407" s="729"/>
      <c r="M407" s="729"/>
      <c r="N407" s="729"/>
      <c r="O407" s="729"/>
      <c r="P407" s="729"/>
      <c r="Y407" s="730"/>
    </row>
    <row r="408" spans="5:25">
      <c r="E408" s="729"/>
      <c r="F408" s="729"/>
      <c r="G408" s="729"/>
      <c r="H408" s="729"/>
      <c r="I408" s="729"/>
      <c r="J408" s="729"/>
      <c r="K408" s="729"/>
      <c r="L408" s="729"/>
      <c r="M408" s="729"/>
      <c r="N408" s="729"/>
      <c r="O408" s="729"/>
      <c r="P408" s="729"/>
      <c r="Y408" s="730"/>
    </row>
    <row r="409" spans="5:25">
      <c r="E409" s="729"/>
      <c r="F409" s="729"/>
      <c r="G409" s="729"/>
      <c r="H409" s="729"/>
      <c r="I409" s="729"/>
      <c r="J409" s="729"/>
      <c r="K409" s="729"/>
      <c r="L409" s="729"/>
      <c r="M409" s="729"/>
      <c r="N409" s="729"/>
      <c r="O409" s="729"/>
      <c r="P409" s="729"/>
      <c r="Y409" s="730"/>
    </row>
    <row r="410" spans="5:25">
      <c r="E410" s="729"/>
      <c r="F410" s="729"/>
      <c r="G410" s="729"/>
      <c r="H410" s="729"/>
      <c r="I410" s="729"/>
      <c r="J410" s="729"/>
      <c r="K410" s="729"/>
      <c r="L410" s="729"/>
      <c r="M410" s="729"/>
      <c r="N410" s="729"/>
      <c r="O410" s="729"/>
      <c r="P410" s="729"/>
      <c r="Y410" s="730"/>
    </row>
    <row r="411" spans="5:25">
      <c r="E411" s="729"/>
      <c r="F411" s="729"/>
      <c r="G411" s="729"/>
      <c r="H411" s="729"/>
      <c r="I411" s="729"/>
      <c r="J411" s="729"/>
      <c r="K411" s="729"/>
      <c r="L411" s="729"/>
      <c r="M411" s="729"/>
      <c r="N411" s="729"/>
      <c r="O411" s="729"/>
      <c r="P411" s="729"/>
      <c r="Y411" s="730"/>
    </row>
    <row r="412" spans="5:25">
      <c r="E412" s="729"/>
      <c r="F412" s="729"/>
      <c r="G412" s="729"/>
      <c r="H412" s="729"/>
      <c r="I412" s="729"/>
      <c r="J412" s="729"/>
      <c r="K412" s="729"/>
      <c r="L412" s="729"/>
      <c r="M412" s="729"/>
      <c r="N412" s="729"/>
      <c r="O412" s="729"/>
      <c r="P412" s="729"/>
      <c r="Y412" s="730"/>
    </row>
    <row r="413" spans="5:25">
      <c r="E413" s="729"/>
      <c r="F413" s="729"/>
      <c r="G413" s="729"/>
      <c r="H413" s="729"/>
      <c r="I413" s="729"/>
      <c r="J413" s="729"/>
      <c r="K413" s="729"/>
      <c r="L413" s="729"/>
      <c r="M413" s="729"/>
      <c r="N413" s="729"/>
      <c r="O413" s="729"/>
      <c r="P413" s="729"/>
      <c r="Y413" s="730"/>
    </row>
    <row r="414" spans="5:25">
      <c r="E414" s="729"/>
      <c r="F414" s="729"/>
      <c r="G414" s="729"/>
      <c r="H414" s="729"/>
      <c r="I414" s="729"/>
      <c r="J414" s="729"/>
      <c r="K414" s="729"/>
      <c r="L414" s="729"/>
      <c r="M414" s="729"/>
      <c r="N414" s="729"/>
      <c r="O414" s="729"/>
      <c r="P414" s="729"/>
      <c r="Y414" s="730"/>
    </row>
    <row r="415" spans="5:25">
      <c r="E415" s="729"/>
      <c r="F415" s="729"/>
      <c r="G415" s="729"/>
      <c r="H415" s="729"/>
      <c r="I415" s="729"/>
      <c r="J415" s="729"/>
      <c r="K415" s="729"/>
      <c r="L415" s="729"/>
      <c r="M415" s="729"/>
      <c r="N415" s="729"/>
      <c r="O415" s="729"/>
      <c r="P415" s="729"/>
      <c r="Y415" s="730"/>
    </row>
    <row r="416" spans="5:25">
      <c r="E416" s="729"/>
      <c r="F416" s="729"/>
      <c r="G416" s="729"/>
      <c r="H416" s="729"/>
      <c r="I416" s="729"/>
      <c r="J416" s="729"/>
      <c r="K416" s="729"/>
      <c r="L416" s="729"/>
      <c r="M416" s="729"/>
      <c r="N416" s="729"/>
      <c r="O416" s="729"/>
      <c r="P416" s="729"/>
      <c r="Y416" s="730"/>
    </row>
    <row r="417" spans="5:25">
      <c r="E417" s="729"/>
      <c r="F417" s="729"/>
      <c r="G417" s="729"/>
      <c r="H417" s="729"/>
      <c r="I417" s="729"/>
      <c r="J417" s="729"/>
      <c r="K417" s="729"/>
      <c r="L417" s="729"/>
      <c r="M417" s="729"/>
      <c r="N417" s="729"/>
      <c r="O417" s="729"/>
      <c r="P417" s="729"/>
      <c r="Y417" s="730"/>
    </row>
    <row r="418" spans="5:25">
      <c r="E418" s="729"/>
      <c r="F418" s="729"/>
      <c r="G418" s="729"/>
      <c r="H418" s="729"/>
      <c r="I418" s="729"/>
      <c r="J418" s="729"/>
      <c r="K418" s="729"/>
      <c r="L418" s="729"/>
      <c r="M418" s="729"/>
      <c r="N418" s="729"/>
      <c r="O418" s="729"/>
      <c r="P418" s="729"/>
      <c r="Y418" s="730"/>
    </row>
    <row r="419" spans="5:25">
      <c r="E419" s="729"/>
      <c r="F419" s="729"/>
      <c r="G419" s="729"/>
      <c r="H419" s="729"/>
      <c r="I419" s="729"/>
      <c r="J419" s="729"/>
      <c r="K419" s="729"/>
      <c r="L419" s="729"/>
      <c r="M419" s="729"/>
      <c r="N419" s="729"/>
      <c r="O419" s="729"/>
      <c r="P419" s="729"/>
      <c r="Y419" s="730"/>
    </row>
    <row r="420" spans="5:25">
      <c r="E420" s="729"/>
      <c r="F420" s="729"/>
      <c r="G420" s="729"/>
      <c r="H420" s="729"/>
      <c r="I420" s="729"/>
      <c r="J420" s="729"/>
      <c r="K420" s="729"/>
      <c r="L420" s="729"/>
      <c r="M420" s="729"/>
      <c r="N420" s="729"/>
      <c r="O420" s="729"/>
      <c r="P420" s="729"/>
      <c r="Y420" s="730"/>
    </row>
    <row r="421" spans="5:25">
      <c r="E421" s="729"/>
      <c r="F421" s="729"/>
      <c r="G421" s="729"/>
      <c r="H421" s="729"/>
      <c r="I421" s="729"/>
      <c r="J421" s="729"/>
      <c r="K421" s="729"/>
      <c r="L421" s="729"/>
      <c r="M421" s="729"/>
      <c r="N421" s="729"/>
      <c r="O421" s="729"/>
      <c r="P421" s="729"/>
      <c r="Y421" s="730"/>
    </row>
    <row r="422" spans="5:25">
      <c r="E422" s="729"/>
      <c r="F422" s="729"/>
      <c r="G422" s="729"/>
      <c r="H422" s="729"/>
      <c r="I422" s="729"/>
      <c r="J422" s="729"/>
      <c r="K422" s="729"/>
      <c r="L422" s="729"/>
      <c r="M422" s="729"/>
      <c r="N422" s="729"/>
      <c r="O422" s="729"/>
      <c r="P422" s="729"/>
      <c r="Y422" s="730"/>
    </row>
    <row r="423" spans="5:25">
      <c r="E423" s="729"/>
      <c r="F423" s="729"/>
      <c r="G423" s="729"/>
      <c r="H423" s="729"/>
      <c r="I423" s="729"/>
      <c r="J423" s="729"/>
      <c r="K423" s="729"/>
      <c r="L423" s="729"/>
      <c r="M423" s="729"/>
      <c r="N423" s="729"/>
      <c r="O423" s="729"/>
      <c r="P423" s="729"/>
      <c r="Y423" s="730"/>
    </row>
    <row r="424" spans="5:25">
      <c r="E424" s="729"/>
      <c r="F424" s="729"/>
      <c r="G424" s="729"/>
      <c r="H424" s="729"/>
      <c r="I424" s="729"/>
      <c r="J424" s="729"/>
      <c r="K424" s="729"/>
      <c r="L424" s="729"/>
      <c r="M424" s="729"/>
      <c r="N424" s="729"/>
      <c r="O424" s="729"/>
      <c r="P424" s="729"/>
      <c r="Y424" s="730"/>
    </row>
    <row r="425" spans="5:25">
      <c r="E425" s="729"/>
      <c r="F425" s="729"/>
      <c r="G425" s="729"/>
      <c r="H425" s="729"/>
      <c r="I425" s="729"/>
      <c r="J425" s="729"/>
      <c r="K425" s="729"/>
      <c r="L425" s="729"/>
      <c r="M425" s="729"/>
      <c r="N425" s="729"/>
      <c r="O425" s="729"/>
      <c r="P425" s="729"/>
      <c r="Y425" s="730"/>
    </row>
    <row r="426" spans="5:25">
      <c r="E426" s="729"/>
      <c r="F426" s="729"/>
      <c r="G426" s="729"/>
      <c r="H426" s="729"/>
      <c r="I426" s="729"/>
      <c r="J426" s="729"/>
      <c r="K426" s="729"/>
      <c r="L426" s="729"/>
      <c r="M426" s="729"/>
      <c r="N426" s="729"/>
      <c r="O426" s="729"/>
      <c r="P426" s="729"/>
      <c r="Y426" s="730"/>
    </row>
    <row r="427" spans="5:25">
      <c r="E427" s="729"/>
      <c r="F427" s="729"/>
      <c r="G427" s="729"/>
      <c r="H427" s="729"/>
      <c r="I427" s="729"/>
      <c r="J427" s="729"/>
      <c r="K427" s="729"/>
      <c r="L427" s="729"/>
      <c r="M427" s="729"/>
      <c r="N427" s="729"/>
      <c r="O427" s="729"/>
      <c r="P427" s="729"/>
      <c r="Y427" s="730"/>
    </row>
    <row r="428" spans="5:25">
      <c r="E428" s="729"/>
      <c r="F428" s="729"/>
      <c r="G428" s="729"/>
      <c r="H428" s="729"/>
      <c r="I428" s="729"/>
      <c r="J428" s="729"/>
      <c r="K428" s="729"/>
      <c r="L428" s="729"/>
      <c r="M428" s="729"/>
      <c r="N428" s="729"/>
      <c r="O428" s="729"/>
      <c r="P428" s="729"/>
      <c r="Y428" s="730"/>
    </row>
    <row r="429" spans="5:25">
      <c r="E429" s="729"/>
      <c r="F429" s="729"/>
      <c r="G429" s="729"/>
      <c r="H429" s="729"/>
      <c r="I429" s="729"/>
      <c r="J429" s="729"/>
      <c r="K429" s="729"/>
      <c r="L429" s="729"/>
      <c r="M429" s="729"/>
      <c r="N429" s="729"/>
      <c r="O429" s="729"/>
      <c r="P429" s="729"/>
      <c r="Y429" s="730"/>
    </row>
    <row r="430" spans="5:25">
      <c r="E430" s="729"/>
      <c r="F430" s="729"/>
      <c r="G430" s="729"/>
      <c r="H430" s="729"/>
      <c r="I430" s="729"/>
      <c r="J430" s="729"/>
      <c r="K430" s="729"/>
      <c r="L430" s="729"/>
      <c r="M430" s="729"/>
      <c r="N430" s="729"/>
      <c r="O430" s="729"/>
      <c r="P430" s="729"/>
      <c r="Y430" s="730"/>
    </row>
    <row r="431" spans="5:25">
      <c r="E431" s="729"/>
      <c r="F431" s="729"/>
      <c r="G431" s="729"/>
      <c r="H431" s="729"/>
      <c r="I431" s="729"/>
      <c r="J431" s="729"/>
      <c r="K431" s="729"/>
      <c r="L431" s="729"/>
      <c r="M431" s="729"/>
      <c r="N431" s="729"/>
      <c r="O431" s="729"/>
      <c r="P431" s="729"/>
      <c r="Y431" s="730"/>
    </row>
    <row r="432" spans="5:25">
      <c r="E432" s="729"/>
      <c r="F432" s="729"/>
      <c r="G432" s="729"/>
      <c r="H432" s="729"/>
      <c r="I432" s="729"/>
      <c r="J432" s="729"/>
      <c r="K432" s="729"/>
      <c r="L432" s="729"/>
      <c r="M432" s="729"/>
      <c r="N432" s="729"/>
      <c r="O432" s="729"/>
      <c r="P432" s="729"/>
      <c r="Y432" s="730"/>
    </row>
    <row r="433" spans="5:25">
      <c r="E433" s="729"/>
      <c r="F433" s="729"/>
      <c r="G433" s="729"/>
      <c r="H433" s="729"/>
      <c r="I433" s="729"/>
      <c r="J433" s="729"/>
      <c r="K433" s="729"/>
      <c r="L433" s="729"/>
      <c r="M433" s="729"/>
      <c r="N433" s="729"/>
      <c r="O433" s="729"/>
      <c r="P433" s="729"/>
      <c r="Y433" s="730"/>
    </row>
    <row r="434" spans="5:25">
      <c r="E434" s="729"/>
      <c r="F434" s="729"/>
      <c r="G434" s="729"/>
      <c r="H434" s="729"/>
      <c r="I434" s="729"/>
      <c r="J434" s="729"/>
      <c r="K434" s="729"/>
      <c r="L434" s="729"/>
      <c r="M434" s="729"/>
      <c r="N434" s="729"/>
      <c r="O434" s="729"/>
      <c r="P434" s="729"/>
      <c r="Y434" s="730"/>
    </row>
    <row r="435" spans="5:25">
      <c r="E435" s="729"/>
      <c r="F435" s="729"/>
      <c r="G435" s="729"/>
      <c r="H435" s="729"/>
      <c r="I435" s="729"/>
      <c r="J435" s="729"/>
      <c r="K435" s="729"/>
      <c r="L435" s="729"/>
      <c r="M435" s="729"/>
      <c r="N435" s="729"/>
      <c r="O435" s="729"/>
      <c r="P435" s="729"/>
      <c r="Y435" s="730"/>
    </row>
    <row r="436" spans="5:25">
      <c r="E436" s="729"/>
      <c r="F436" s="729"/>
      <c r="G436" s="729"/>
      <c r="H436" s="729"/>
      <c r="I436" s="729"/>
      <c r="J436" s="729"/>
      <c r="K436" s="729"/>
      <c r="L436" s="729"/>
      <c r="M436" s="729"/>
      <c r="N436" s="729"/>
      <c r="O436" s="729"/>
      <c r="P436" s="729"/>
      <c r="Y436" s="730"/>
    </row>
    <row r="437" spans="5:25">
      <c r="E437" s="729"/>
      <c r="F437" s="729"/>
      <c r="G437" s="729"/>
      <c r="H437" s="729"/>
      <c r="I437" s="729"/>
      <c r="J437" s="729"/>
      <c r="K437" s="729"/>
      <c r="L437" s="729"/>
      <c r="M437" s="729"/>
      <c r="N437" s="729"/>
      <c r="O437" s="729"/>
      <c r="P437" s="729"/>
      <c r="Y437" s="730"/>
    </row>
    <row r="438" spans="5:25">
      <c r="E438" s="729"/>
      <c r="F438" s="729"/>
      <c r="G438" s="729"/>
      <c r="H438" s="729"/>
      <c r="I438" s="729"/>
      <c r="J438" s="729"/>
      <c r="K438" s="729"/>
      <c r="L438" s="729"/>
      <c r="M438" s="729"/>
      <c r="N438" s="729"/>
      <c r="O438" s="729"/>
      <c r="P438" s="729"/>
      <c r="Y438" s="730"/>
    </row>
    <row r="439" spans="5:25">
      <c r="E439" s="729"/>
      <c r="F439" s="729"/>
      <c r="G439" s="729"/>
      <c r="H439" s="729"/>
      <c r="I439" s="729"/>
      <c r="J439" s="729"/>
      <c r="K439" s="729"/>
      <c r="L439" s="729"/>
      <c r="M439" s="729"/>
      <c r="N439" s="729"/>
      <c r="O439" s="729"/>
      <c r="P439" s="729"/>
      <c r="Y439" s="730"/>
    </row>
    <row r="440" spans="5:25">
      <c r="E440" s="729"/>
      <c r="F440" s="729"/>
      <c r="G440" s="729"/>
      <c r="H440" s="729"/>
      <c r="I440" s="729"/>
      <c r="J440" s="729"/>
      <c r="K440" s="729"/>
      <c r="L440" s="729"/>
      <c r="M440" s="729"/>
      <c r="N440" s="729"/>
      <c r="O440" s="729"/>
      <c r="P440" s="729"/>
      <c r="Y440" s="730"/>
    </row>
    <row r="441" spans="5:25">
      <c r="E441" s="729"/>
      <c r="F441" s="729"/>
      <c r="G441" s="729"/>
      <c r="H441" s="729"/>
      <c r="I441" s="729"/>
      <c r="J441" s="729"/>
      <c r="K441" s="729"/>
      <c r="L441" s="729"/>
      <c r="M441" s="729"/>
      <c r="N441" s="729"/>
      <c r="O441" s="729"/>
      <c r="P441" s="729"/>
      <c r="Y441" s="730"/>
    </row>
    <row r="442" spans="5:25">
      <c r="E442" s="729"/>
      <c r="F442" s="729"/>
      <c r="G442" s="729"/>
      <c r="H442" s="729"/>
      <c r="I442" s="729"/>
      <c r="J442" s="729"/>
      <c r="K442" s="729"/>
      <c r="L442" s="729"/>
      <c r="M442" s="729"/>
      <c r="N442" s="729"/>
      <c r="O442" s="729"/>
      <c r="P442" s="729"/>
      <c r="Y442" s="730"/>
    </row>
    <row r="443" spans="5:25">
      <c r="E443" s="729"/>
      <c r="F443" s="729"/>
      <c r="G443" s="729"/>
      <c r="H443" s="729"/>
      <c r="I443" s="729"/>
      <c r="J443" s="729"/>
      <c r="K443" s="729"/>
      <c r="L443" s="729"/>
      <c r="M443" s="729"/>
      <c r="N443" s="729"/>
      <c r="O443" s="729"/>
      <c r="P443" s="729"/>
      <c r="Y443" s="730"/>
    </row>
    <row r="444" spans="5:25">
      <c r="E444" s="729"/>
      <c r="F444" s="729"/>
      <c r="G444" s="729"/>
      <c r="H444" s="729"/>
      <c r="I444" s="729"/>
      <c r="J444" s="729"/>
      <c r="K444" s="729"/>
      <c r="L444" s="729"/>
      <c r="M444" s="729"/>
      <c r="N444" s="729"/>
      <c r="O444" s="729"/>
      <c r="P444" s="729"/>
      <c r="Y444" s="730"/>
    </row>
    <row r="445" spans="5:25">
      <c r="E445" s="729"/>
      <c r="F445" s="729"/>
      <c r="G445" s="729"/>
      <c r="H445" s="729"/>
      <c r="I445" s="729"/>
      <c r="J445" s="729"/>
      <c r="K445" s="729"/>
      <c r="L445" s="729"/>
      <c r="M445" s="729"/>
      <c r="N445" s="729"/>
      <c r="O445" s="729"/>
      <c r="P445" s="729"/>
      <c r="Y445" s="730"/>
    </row>
    <row r="446" spans="5:25">
      <c r="E446" s="729"/>
      <c r="F446" s="729"/>
      <c r="G446" s="729"/>
      <c r="H446" s="729"/>
      <c r="I446" s="729"/>
      <c r="J446" s="729"/>
      <c r="K446" s="729"/>
      <c r="L446" s="729"/>
      <c r="M446" s="729"/>
      <c r="N446" s="729"/>
      <c r="O446" s="729"/>
      <c r="P446" s="729"/>
      <c r="Y446" s="730"/>
    </row>
    <row r="447" spans="5:25">
      <c r="E447" s="729"/>
      <c r="F447" s="729"/>
      <c r="G447" s="729"/>
      <c r="H447" s="729"/>
      <c r="I447" s="729"/>
      <c r="J447" s="729"/>
      <c r="K447" s="729"/>
      <c r="L447" s="729"/>
      <c r="M447" s="729"/>
      <c r="N447" s="729"/>
      <c r="O447" s="729"/>
      <c r="P447" s="729"/>
      <c r="Y447" s="730"/>
    </row>
    <row r="448" spans="5:25">
      <c r="E448" s="729"/>
      <c r="F448" s="729"/>
      <c r="G448" s="729"/>
      <c r="H448" s="729"/>
      <c r="I448" s="729"/>
      <c r="J448" s="729"/>
      <c r="K448" s="729"/>
      <c r="L448" s="729"/>
      <c r="M448" s="729"/>
      <c r="N448" s="729"/>
      <c r="O448" s="729"/>
      <c r="P448" s="729"/>
      <c r="Y448" s="730"/>
    </row>
    <row r="449" spans="5:25">
      <c r="E449" s="729"/>
      <c r="F449" s="729"/>
      <c r="G449" s="729"/>
      <c r="H449" s="729"/>
      <c r="I449" s="729"/>
      <c r="J449" s="729"/>
      <c r="K449" s="729"/>
      <c r="L449" s="729"/>
      <c r="M449" s="729"/>
      <c r="N449" s="729"/>
      <c r="O449" s="729"/>
      <c r="P449" s="729"/>
      <c r="Y449" s="730"/>
    </row>
    <row r="450" spans="5:25">
      <c r="E450" s="729"/>
      <c r="F450" s="729"/>
      <c r="G450" s="729"/>
      <c r="H450" s="729"/>
      <c r="I450" s="729"/>
      <c r="J450" s="729"/>
      <c r="K450" s="729"/>
      <c r="L450" s="729"/>
      <c r="M450" s="729"/>
      <c r="N450" s="729"/>
      <c r="O450" s="729"/>
      <c r="P450" s="729"/>
      <c r="Y450" s="730"/>
    </row>
    <row r="451" spans="5:25">
      <c r="E451" s="729"/>
      <c r="F451" s="729"/>
      <c r="G451" s="729"/>
      <c r="H451" s="729"/>
      <c r="I451" s="729"/>
      <c r="J451" s="729"/>
      <c r="K451" s="729"/>
      <c r="L451" s="729"/>
      <c r="M451" s="729"/>
      <c r="N451" s="729"/>
      <c r="O451" s="729"/>
      <c r="P451" s="729"/>
      <c r="Y451" s="730"/>
    </row>
    <row r="452" spans="5:25">
      <c r="E452" s="729"/>
      <c r="F452" s="729"/>
      <c r="G452" s="729"/>
      <c r="H452" s="729"/>
      <c r="I452" s="729"/>
      <c r="J452" s="729"/>
      <c r="K452" s="729"/>
      <c r="L452" s="729"/>
      <c r="M452" s="729"/>
      <c r="N452" s="729"/>
      <c r="O452" s="729"/>
      <c r="P452" s="729"/>
      <c r="Y452" s="730"/>
    </row>
    <row r="453" spans="5:25">
      <c r="E453" s="729"/>
      <c r="F453" s="729"/>
      <c r="G453" s="729"/>
      <c r="H453" s="729"/>
      <c r="I453" s="729"/>
      <c r="J453" s="729"/>
      <c r="K453" s="729"/>
      <c r="L453" s="729"/>
      <c r="M453" s="729"/>
      <c r="N453" s="729"/>
      <c r="O453" s="729"/>
      <c r="P453" s="729"/>
      <c r="Y453" s="730"/>
    </row>
    <row r="454" spans="5:25">
      <c r="E454" s="729"/>
      <c r="F454" s="729"/>
      <c r="G454" s="729"/>
      <c r="H454" s="729"/>
      <c r="I454" s="729"/>
      <c r="J454" s="729"/>
      <c r="K454" s="729"/>
      <c r="L454" s="729"/>
      <c r="M454" s="729"/>
      <c r="N454" s="729"/>
      <c r="O454" s="729"/>
      <c r="P454" s="729"/>
      <c r="Y454" s="730"/>
    </row>
    <row r="455" spans="5:25">
      <c r="E455" s="729"/>
      <c r="F455" s="729"/>
      <c r="G455" s="729"/>
      <c r="H455" s="729"/>
      <c r="I455" s="729"/>
      <c r="J455" s="729"/>
      <c r="K455" s="729"/>
      <c r="L455" s="729"/>
      <c r="M455" s="729"/>
      <c r="N455" s="729"/>
      <c r="O455" s="729"/>
      <c r="P455" s="729"/>
      <c r="Y455" s="730"/>
    </row>
    <row r="456" spans="5:25">
      <c r="E456" s="729"/>
      <c r="F456" s="729"/>
      <c r="G456" s="729"/>
      <c r="H456" s="729"/>
      <c r="I456" s="729"/>
      <c r="J456" s="729"/>
      <c r="K456" s="729"/>
      <c r="L456" s="729"/>
      <c r="M456" s="729"/>
      <c r="N456" s="729"/>
      <c r="O456" s="729"/>
      <c r="P456" s="729"/>
      <c r="Y456" s="730"/>
    </row>
    <row r="457" spans="5:25">
      <c r="E457" s="729"/>
      <c r="F457" s="729"/>
      <c r="G457" s="729"/>
      <c r="H457" s="729"/>
      <c r="I457" s="729"/>
      <c r="J457" s="729"/>
      <c r="K457" s="729"/>
      <c r="L457" s="729"/>
      <c r="M457" s="729"/>
      <c r="N457" s="729"/>
      <c r="O457" s="729"/>
      <c r="P457" s="729"/>
      <c r="Y457" s="730"/>
    </row>
    <row r="458" spans="5:25">
      <c r="E458" s="729"/>
      <c r="F458" s="729"/>
      <c r="G458" s="729"/>
      <c r="H458" s="729"/>
      <c r="I458" s="729"/>
      <c r="J458" s="729"/>
      <c r="K458" s="729"/>
      <c r="L458" s="729"/>
      <c r="M458" s="729"/>
      <c r="N458" s="729"/>
      <c r="O458" s="729"/>
      <c r="P458" s="729"/>
      <c r="Y458" s="730"/>
    </row>
    <row r="459" spans="5:25">
      <c r="E459" s="729"/>
      <c r="F459" s="729"/>
      <c r="G459" s="729"/>
      <c r="H459" s="729"/>
      <c r="I459" s="729"/>
      <c r="J459" s="729"/>
      <c r="K459" s="729"/>
      <c r="L459" s="729"/>
      <c r="M459" s="729"/>
      <c r="N459" s="729"/>
      <c r="O459" s="729"/>
      <c r="P459" s="729"/>
      <c r="Y459" s="730"/>
    </row>
    <row r="460" spans="5:25">
      <c r="E460" s="729"/>
      <c r="F460" s="729"/>
      <c r="G460" s="729"/>
      <c r="H460" s="729"/>
      <c r="I460" s="729"/>
      <c r="J460" s="729"/>
      <c r="K460" s="729"/>
      <c r="L460" s="729"/>
      <c r="M460" s="729"/>
      <c r="N460" s="729"/>
      <c r="O460" s="729"/>
      <c r="P460" s="729"/>
      <c r="Y460" s="730"/>
    </row>
    <row r="461" spans="5:25">
      <c r="E461" s="729"/>
      <c r="F461" s="729"/>
      <c r="G461" s="729"/>
      <c r="H461" s="729"/>
      <c r="I461" s="729"/>
      <c r="J461" s="729"/>
      <c r="K461" s="729"/>
      <c r="L461" s="729"/>
      <c r="M461" s="729"/>
      <c r="N461" s="729"/>
      <c r="O461" s="729"/>
      <c r="P461" s="729"/>
      <c r="Y461" s="730"/>
    </row>
    <row r="462" spans="5:25">
      <c r="E462" s="729"/>
      <c r="F462" s="729"/>
      <c r="G462" s="729"/>
      <c r="H462" s="729"/>
      <c r="I462" s="729"/>
      <c r="J462" s="729"/>
      <c r="K462" s="729"/>
      <c r="L462" s="729"/>
      <c r="M462" s="729"/>
      <c r="N462" s="729"/>
      <c r="O462" s="729"/>
      <c r="P462" s="729"/>
      <c r="Y462" s="730"/>
    </row>
    <row r="463" spans="5:25">
      <c r="E463" s="729"/>
      <c r="F463" s="729"/>
      <c r="G463" s="729"/>
      <c r="H463" s="729"/>
      <c r="I463" s="729"/>
      <c r="J463" s="729"/>
      <c r="K463" s="729"/>
      <c r="L463" s="729"/>
      <c r="M463" s="729"/>
      <c r="N463" s="729"/>
      <c r="O463" s="729"/>
      <c r="P463" s="729"/>
      <c r="Y463" s="730"/>
    </row>
    <row r="464" spans="5:25">
      <c r="E464" s="729"/>
      <c r="F464" s="729"/>
      <c r="G464" s="729"/>
      <c r="H464" s="729"/>
      <c r="I464" s="729"/>
      <c r="J464" s="729"/>
      <c r="K464" s="729"/>
      <c r="L464" s="729"/>
      <c r="M464" s="729"/>
      <c r="N464" s="729"/>
      <c r="O464" s="729"/>
      <c r="P464" s="729"/>
      <c r="Y464" s="730"/>
    </row>
    <row r="465" spans="5:25">
      <c r="E465" s="729"/>
      <c r="F465" s="729"/>
      <c r="G465" s="729"/>
      <c r="H465" s="729"/>
      <c r="I465" s="729"/>
      <c r="J465" s="729"/>
      <c r="K465" s="729"/>
      <c r="L465" s="729"/>
      <c r="M465" s="729"/>
      <c r="N465" s="729"/>
      <c r="O465" s="729"/>
      <c r="P465" s="729"/>
      <c r="Y465" s="730"/>
    </row>
    <row r="466" spans="5:25">
      <c r="E466" s="729"/>
      <c r="F466" s="729"/>
      <c r="G466" s="729"/>
      <c r="H466" s="729"/>
      <c r="I466" s="729"/>
      <c r="J466" s="729"/>
      <c r="K466" s="729"/>
      <c r="L466" s="729"/>
      <c r="M466" s="729"/>
      <c r="N466" s="729"/>
      <c r="O466" s="729"/>
      <c r="P466" s="729"/>
      <c r="Y466" s="730"/>
    </row>
    <row r="467" spans="5:25">
      <c r="E467" s="729"/>
      <c r="F467" s="729"/>
      <c r="G467" s="729"/>
      <c r="H467" s="729"/>
      <c r="I467" s="729"/>
      <c r="J467" s="729"/>
      <c r="K467" s="729"/>
      <c r="L467" s="729"/>
      <c r="M467" s="729"/>
      <c r="N467" s="729"/>
      <c r="O467" s="729"/>
      <c r="P467" s="729"/>
      <c r="Y467" s="730"/>
    </row>
    <row r="468" spans="5:25">
      <c r="E468" s="729"/>
      <c r="F468" s="729"/>
      <c r="G468" s="729"/>
      <c r="H468" s="729"/>
      <c r="I468" s="729"/>
      <c r="J468" s="729"/>
      <c r="K468" s="729"/>
      <c r="L468" s="729"/>
      <c r="M468" s="729"/>
      <c r="N468" s="729"/>
      <c r="O468" s="729"/>
      <c r="P468" s="729"/>
      <c r="Y468" s="730"/>
    </row>
    <row r="469" spans="5:25">
      <c r="E469" s="729"/>
      <c r="F469" s="729"/>
      <c r="G469" s="729"/>
      <c r="H469" s="729"/>
      <c r="I469" s="729"/>
      <c r="J469" s="729"/>
      <c r="K469" s="729"/>
      <c r="L469" s="729"/>
      <c r="M469" s="729"/>
      <c r="N469" s="729"/>
      <c r="O469" s="729"/>
      <c r="P469" s="729"/>
      <c r="Y469" s="730"/>
    </row>
    <row r="470" spans="5:25">
      <c r="E470" s="729"/>
      <c r="F470" s="729"/>
      <c r="G470" s="729"/>
      <c r="H470" s="729"/>
      <c r="I470" s="729"/>
      <c r="J470" s="729"/>
      <c r="K470" s="729"/>
      <c r="L470" s="729"/>
      <c r="M470" s="729"/>
      <c r="N470" s="729"/>
      <c r="O470" s="729"/>
      <c r="P470" s="729"/>
      <c r="Y470" s="730"/>
    </row>
    <row r="471" spans="5:25">
      <c r="E471" s="729"/>
      <c r="F471" s="729"/>
      <c r="G471" s="729"/>
      <c r="H471" s="729"/>
      <c r="I471" s="729"/>
      <c r="J471" s="729"/>
      <c r="K471" s="729"/>
      <c r="L471" s="729"/>
      <c r="M471" s="729"/>
      <c r="N471" s="729"/>
      <c r="O471" s="729"/>
      <c r="P471" s="729"/>
      <c r="Y471" s="730"/>
    </row>
    <row r="472" spans="5:25">
      <c r="E472" s="729"/>
      <c r="F472" s="729"/>
      <c r="G472" s="729"/>
      <c r="H472" s="729"/>
      <c r="I472" s="729"/>
      <c r="J472" s="729"/>
      <c r="K472" s="729"/>
      <c r="L472" s="729"/>
      <c r="M472" s="729"/>
      <c r="N472" s="729"/>
      <c r="O472" s="729"/>
      <c r="P472" s="729"/>
      <c r="Y472" s="730"/>
    </row>
    <row r="473" spans="5:25">
      <c r="E473" s="729"/>
      <c r="F473" s="729"/>
      <c r="G473" s="729"/>
      <c r="H473" s="729"/>
      <c r="I473" s="729"/>
      <c r="J473" s="729"/>
      <c r="K473" s="729"/>
      <c r="L473" s="729"/>
      <c r="M473" s="729"/>
      <c r="N473" s="729"/>
      <c r="O473" s="729"/>
      <c r="P473" s="729"/>
      <c r="Y473" s="730"/>
    </row>
    <row r="474" spans="5:25">
      <c r="E474" s="729"/>
      <c r="F474" s="729"/>
      <c r="G474" s="729"/>
      <c r="H474" s="729"/>
      <c r="I474" s="729"/>
      <c r="J474" s="729"/>
      <c r="K474" s="729"/>
      <c r="L474" s="729"/>
      <c r="M474" s="729"/>
      <c r="N474" s="729"/>
      <c r="O474" s="729"/>
      <c r="P474" s="729"/>
      <c r="Y474" s="730"/>
    </row>
    <row r="475" spans="5:25">
      <c r="E475" s="729"/>
      <c r="F475" s="729"/>
      <c r="G475" s="729"/>
      <c r="H475" s="729"/>
      <c r="I475" s="729"/>
      <c r="J475" s="729"/>
      <c r="K475" s="729"/>
      <c r="L475" s="729"/>
      <c r="M475" s="729"/>
      <c r="N475" s="729"/>
      <c r="O475" s="729"/>
      <c r="P475" s="729"/>
      <c r="Y475" s="730"/>
    </row>
    <row r="476" spans="5:25">
      <c r="E476" s="729"/>
      <c r="F476" s="729"/>
      <c r="G476" s="729"/>
      <c r="H476" s="729"/>
      <c r="I476" s="729"/>
      <c r="J476" s="729"/>
      <c r="K476" s="729"/>
      <c r="L476" s="729"/>
      <c r="M476" s="729"/>
      <c r="N476" s="729"/>
      <c r="O476" s="729"/>
      <c r="P476" s="729"/>
      <c r="Y476" s="730"/>
    </row>
    <row r="477" spans="5:25">
      <c r="E477" s="729"/>
      <c r="F477" s="729"/>
      <c r="G477" s="729"/>
      <c r="H477" s="729"/>
      <c r="I477" s="729"/>
      <c r="J477" s="729"/>
      <c r="K477" s="729"/>
      <c r="L477" s="729"/>
      <c r="M477" s="729"/>
      <c r="N477" s="729"/>
      <c r="O477" s="729"/>
      <c r="P477" s="729"/>
      <c r="Y477" s="730"/>
    </row>
    <row r="478" spans="5:25">
      <c r="E478" s="729"/>
      <c r="F478" s="729"/>
      <c r="G478" s="729"/>
      <c r="H478" s="729"/>
      <c r="I478" s="729"/>
      <c r="J478" s="729"/>
      <c r="K478" s="729"/>
      <c r="L478" s="729"/>
      <c r="M478" s="729"/>
      <c r="N478" s="729"/>
      <c r="O478" s="729"/>
      <c r="P478" s="729"/>
      <c r="Y478" s="730"/>
    </row>
    <row r="479" spans="5:25">
      <c r="E479" s="729"/>
      <c r="F479" s="729"/>
      <c r="G479" s="729"/>
      <c r="H479" s="729"/>
      <c r="I479" s="729"/>
      <c r="J479" s="729"/>
      <c r="K479" s="729"/>
      <c r="L479" s="729"/>
      <c r="M479" s="729"/>
      <c r="N479" s="729"/>
      <c r="O479" s="729"/>
      <c r="P479" s="729"/>
      <c r="Y479" s="730"/>
    </row>
    <row r="480" spans="5:25">
      <c r="E480" s="729"/>
      <c r="F480" s="729"/>
      <c r="G480" s="729"/>
      <c r="H480" s="729"/>
      <c r="I480" s="729"/>
      <c r="J480" s="729"/>
      <c r="K480" s="729"/>
      <c r="L480" s="729"/>
      <c r="M480" s="729"/>
      <c r="N480" s="729"/>
      <c r="O480" s="729"/>
      <c r="P480" s="729"/>
      <c r="Y480" s="730"/>
    </row>
    <row r="481" spans="5:25">
      <c r="E481" s="729"/>
      <c r="F481" s="729"/>
      <c r="G481" s="729"/>
      <c r="H481" s="729"/>
      <c r="I481" s="729"/>
      <c r="J481" s="729"/>
      <c r="K481" s="729"/>
      <c r="L481" s="729"/>
      <c r="M481" s="729"/>
      <c r="N481" s="729"/>
      <c r="O481" s="729"/>
      <c r="P481" s="729"/>
      <c r="Y481" s="730"/>
    </row>
    <row r="482" spans="5:25">
      <c r="E482" s="729"/>
      <c r="F482" s="729"/>
      <c r="G482" s="729"/>
      <c r="H482" s="729"/>
      <c r="I482" s="729"/>
      <c r="J482" s="729"/>
      <c r="K482" s="729"/>
      <c r="L482" s="729"/>
      <c r="M482" s="729"/>
      <c r="N482" s="729"/>
      <c r="O482" s="729"/>
      <c r="P482" s="729"/>
      <c r="Y482" s="730"/>
    </row>
    <row r="483" spans="5:25">
      <c r="E483" s="729"/>
      <c r="F483" s="729"/>
      <c r="G483" s="729"/>
      <c r="H483" s="729"/>
      <c r="I483" s="729"/>
      <c r="J483" s="729"/>
      <c r="K483" s="729"/>
      <c r="L483" s="729"/>
      <c r="M483" s="729"/>
      <c r="N483" s="729"/>
      <c r="O483" s="729"/>
      <c r="P483" s="729"/>
      <c r="Y483" s="730"/>
    </row>
    <row r="484" spans="5:25">
      <c r="E484" s="729"/>
      <c r="F484" s="729"/>
      <c r="G484" s="729"/>
      <c r="H484" s="729"/>
      <c r="I484" s="729"/>
      <c r="J484" s="729"/>
      <c r="K484" s="729"/>
      <c r="L484" s="729"/>
      <c r="M484" s="729"/>
      <c r="N484" s="729"/>
      <c r="O484" s="729"/>
      <c r="P484" s="729"/>
      <c r="Y484" s="730"/>
    </row>
    <row r="485" spans="5:25">
      <c r="E485" s="729"/>
      <c r="F485" s="729"/>
      <c r="G485" s="729"/>
      <c r="H485" s="729"/>
      <c r="I485" s="729"/>
      <c r="J485" s="729"/>
      <c r="K485" s="729"/>
      <c r="L485" s="729"/>
      <c r="M485" s="729"/>
      <c r="N485" s="729"/>
      <c r="O485" s="729"/>
      <c r="P485" s="729"/>
      <c r="Y485" s="730"/>
    </row>
    <row r="486" spans="5:25">
      <c r="E486" s="729"/>
      <c r="F486" s="729"/>
      <c r="G486" s="729"/>
      <c r="H486" s="729"/>
      <c r="I486" s="729"/>
      <c r="J486" s="729"/>
      <c r="K486" s="729"/>
      <c r="L486" s="729"/>
      <c r="M486" s="729"/>
      <c r="N486" s="729"/>
      <c r="O486" s="729"/>
      <c r="P486" s="729"/>
      <c r="Y486" s="730"/>
    </row>
    <row r="487" spans="5:25">
      <c r="E487" s="729"/>
      <c r="F487" s="729"/>
      <c r="G487" s="729"/>
      <c r="H487" s="729"/>
      <c r="I487" s="729"/>
      <c r="J487" s="729"/>
      <c r="K487" s="729"/>
      <c r="L487" s="729"/>
      <c r="M487" s="729"/>
      <c r="N487" s="729"/>
      <c r="O487" s="729"/>
      <c r="P487" s="729"/>
      <c r="Y487" s="730"/>
    </row>
    <row r="488" spans="5:25">
      <c r="E488" s="729"/>
      <c r="F488" s="729"/>
      <c r="G488" s="729"/>
      <c r="H488" s="729"/>
      <c r="I488" s="729"/>
      <c r="J488" s="729"/>
      <c r="K488" s="729"/>
      <c r="L488" s="729"/>
      <c r="M488" s="729"/>
      <c r="N488" s="729"/>
      <c r="O488" s="729"/>
      <c r="P488" s="729"/>
      <c r="Y488" s="730"/>
    </row>
    <row r="489" spans="5:25">
      <c r="E489" s="729"/>
      <c r="F489" s="729"/>
      <c r="G489" s="729"/>
      <c r="H489" s="729"/>
      <c r="I489" s="729"/>
      <c r="J489" s="729"/>
      <c r="K489" s="729"/>
      <c r="L489" s="729"/>
      <c r="M489" s="729"/>
      <c r="N489" s="729"/>
      <c r="O489" s="729"/>
      <c r="P489" s="729"/>
      <c r="Y489" s="730"/>
    </row>
    <row r="490" spans="5:25">
      <c r="E490" s="729"/>
      <c r="F490" s="729"/>
      <c r="G490" s="729"/>
      <c r="H490" s="729"/>
      <c r="I490" s="729"/>
      <c r="J490" s="729"/>
      <c r="K490" s="729"/>
      <c r="L490" s="729"/>
      <c r="M490" s="729"/>
      <c r="N490" s="729"/>
      <c r="O490" s="729"/>
      <c r="P490" s="729"/>
      <c r="Y490" s="730"/>
    </row>
    <row r="491" spans="5:25">
      <c r="E491" s="729"/>
      <c r="F491" s="729"/>
      <c r="G491" s="729"/>
      <c r="H491" s="729"/>
      <c r="I491" s="729"/>
      <c r="J491" s="729"/>
      <c r="K491" s="729"/>
      <c r="L491" s="729"/>
      <c r="M491" s="729"/>
      <c r="N491" s="729"/>
      <c r="O491" s="729"/>
      <c r="P491" s="729"/>
      <c r="Y491" s="730"/>
    </row>
    <row r="492" spans="5:25">
      <c r="E492" s="729"/>
      <c r="F492" s="729"/>
      <c r="G492" s="729"/>
      <c r="H492" s="729"/>
      <c r="I492" s="729"/>
      <c r="J492" s="729"/>
      <c r="K492" s="729"/>
      <c r="L492" s="729"/>
      <c r="M492" s="729"/>
      <c r="N492" s="729"/>
      <c r="O492" s="729"/>
      <c r="P492" s="729"/>
      <c r="Y492" s="730"/>
    </row>
    <row r="493" spans="5:25">
      <c r="E493" s="729"/>
      <c r="F493" s="729"/>
      <c r="G493" s="729"/>
      <c r="H493" s="729"/>
      <c r="I493" s="729"/>
      <c r="J493" s="729"/>
      <c r="K493" s="729"/>
      <c r="L493" s="729"/>
      <c r="M493" s="729"/>
      <c r="N493" s="729"/>
      <c r="O493" s="729"/>
      <c r="P493" s="729"/>
      <c r="Y493" s="730"/>
    </row>
    <row r="494" spans="5:25">
      <c r="E494" s="729"/>
      <c r="F494" s="729"/>
      <c r="G494" s="729"/>
      <c r="H494" s="729"/>
      <c r="I494" s="729"/>
      <c r="J494" s="729"/>
      <c r="K494" s="729"/>
      <c r="L494" s="729"/>
      <c r="M494" s="729"/>
      <c r="N494" s="729"/>
      <c r="O494" s="729"/>
      <c r="P494" s="729"/>
      <c r="Y494" s="730"/>
    </row>
    <row r="495" spans="5:25">
      <c r="E495" s="729"/>
      <c r="F495" s="729"/>
      <c r="G495" s="729"/>
      <c r="H495" s="729"/>
      <c r="I495" s="729"/>
      <c r="J495" s="729"/>
      <c r="K495" s="729"/>
      <c r="L495" s="729"/>
      <c r="M495" s="729"/>
      <c r="N495" s="729"/>
      <c r="O495" s="729"/>
      <c r="P495" s="729"/>
      <c r="Y495" s="730"/>
    </row>
    <row r="496" spans="5:25">
      <c r="E496" s="729"/>
      <c r="F496" s="729"/>
      <c r="G496" s="729"/>
      <c r="H496" s="729"/>
      <c r="I496" s="729"/>
      <c r="J496" s="729"/>
      <c r="K496" s="729"/>
      <c r="L496" s="729"/>
      <c r="M496" s="729"/>
      <c r="N496" s="729"/>
      <c r="O496" s="729"/>
      <c r="P496" s="729"/>
      <c r="Y496" s="730"/>
    </row>
    <row r="497" spans="5:25">
      <c r="E497" s="729"/>
      <c r="F497" s="729"/>
      <c r="G497" s="729"/>
      <c r="H497" s="729"/>
      <c r="I497" s="729"/>
      <c r="J497" s="729"/>
      <c r="K497" s="729"/>
      <c r="L497" s="729"/>
      <c r="M497" s="729"/>
      <c r="N497" s="729"/>
      <c r="O497" s="729"/>
      <c r="P497" s="729"/>
      <c r="Y497" s="730"/>
    </row>
    <row r="498" spans="5:25">
      <c r="E498" s="729"/>
      <c r="F498" s="729"/>
      <c r="G498" s="729"/>
      <c r="H498" s="729"/>
      <c r="I498" s="729"/>
      <c r="J498" s="729"/>
      <c r="K498" s="729"/>
      <c r="L498" s="729"/>
      <c r="M498" s="729"/>
      <c r="N498" s="729"/>
      <c r="O498" s="729"/>
      <c r="P498" s="729"/>
      <c r="Y498" s="730"/>
    </row>
    <row r="499" spans="5:25">
      <c r="E499" s="729"/>
      <c r="F499" s="729"/>
      <c r="G499" s="729"/>
      <c r="H499" s="729"/>
      <c r="I499" s="729"/>
      <c r="J499" s="729"/>
      <c r="K499" s="729"/>
      <c r="L499" s="729"/>
      <c r="M499" s="729"/>
      <c r="N499" s="729"/>
      <c r="O499" s="729"/>
      <c r="P499" s="729"/>
      <c r="Y499" s="730"/>
    </row>
    <row r="500" spans="5:25">
      <c r="E500" s="729"/>
      <c r="F500" s="729"/>
      <c r="G500" s="729"/>
      <c r="H500" s="729"/>
      <c r="I500" s="729"/>
      <c r="J500" s="729"/>
      <c r="K500" s="729"/>
      <c r="L500" s="729"/>
      <c r="M500" s="729"/>
      <c r="N500" s="729"/>
      <c r="O500" s="729"/>
      <c r="P500" s="729"/>
      <c r="Y500" s="730"/>
    </row>
    <row r="501" spans="5:25">
      <c r="E501" s="729"/>
      <c r="F501" s="729"/>
      <c r="G501" s="729"/>
      <c r="H501" s="729"/>
      <c r="I501" s="729"/>
      <c r="J501" s="729"/>
      <c r="K501" s="729"/>
      <c r="L501" s="729"/>
      <c r="M501" s="729"/>
      <c r="N501" s="729"/>
      <c r="O501" s="729"/>
      <c r="P501" s="729"/>
      <c r="Y501" s="730"/>
    </row>
    <row r="502" spans="5:25">
      <c r="E502" s="729"/>
      <c r="F502" s="729"/>
      <c r="G502" s="729"/>
      <c r="H502" s="729"/>
      <c r="I502" s="729"/>
      <c r="J502" s="729"/>
      <c r="K502" s="729"/>
      <c r="L502" s="729"/>
      <c r="M502" s="729"/>
      <c r="N502" s="729"/>
      <c r="O502" s="729"/>
      <c r="P502" s="729"/>
      <c r="Y502" s="730"/>
    </row>
    <row r="503" spans="5:25">
      <c r="E503" s="729"/>
      <c r="F503" s="729"/>
      <c r="G503" s="729"/>
      <c r="H503" s="729"/>
      <c r="I503" s="729"/>
      <c r="J503" s="729"/>
      <c r="K503" s="729"/>
      <c r="L503" s="729"/>
      <c r="M503" s="729"/>
      <c r="N503" s="729"/>
      <c r="O503" s="729"/>
      <c r="P503" s="729"/>
      <c r="Y503" s="730"/>
    </row>
    <row r="504" spans="5:25">
      <c r="E504" s="729"/>
      <c r="F504" s="729"/>
      <c r="G504" s="729"/>
      <c r="H504" s="729"/>
      <c r="I504" s="729"/>
      <c r="J504" s="729"/>
      <c r="K504" s="729"/>
      <c r="L504" s="729"/>
      <c r="M504" s="729"/>
      <c r="N504" s="729"/>
      <c r="O504" s="729"/>
      <c r="P504" s="729"/>
      <c r="Y504" s="730"/>
    </row>
    <row r="505" spans="5:25">
      <c r="E505" s="729"/>
      <c r="F505" s="729"/>
      <c r="G505" s="729"/>
      <c r="H505" s="729"/>
      <c r="I505" s="729"/>
      <c r="J505" s="729"/>
      <c r="K505" s="729"/>
      <c r="L505" s="729"/>
      <c r="M505" s="729"/>
      <c r="N505" s="729"/>
      <c r="O505" s="729"/>
      <c r="P505" s="729"/>
      <c r="Y505" s="730"/>
    </row>
    <row r="506" spans="5:25">
      <c r="E506" s="729"/>
      <c r="F506" s="729"/>
      <c r="G506" s="729"/>
      <c r="H506" s="729"/>
      <c r="I506" s="729"/>
      <c r="J506" s="729"/>
      <c r="K506" s="729"/>
      <c r="L506" s="729"/>
      <c r="M506" s="729"/>
      <c r="N506" s="729"/>
      <c r="O506" s="729"/>
      <c r="P506" s="729"/>
      <c r="Y506" s="730"/>
    </row>
    <row r="507" spans="5:25">
      <c r="E507" s="729"/>
      <c r="F507" s="729"/>
      <c r="G507" s="729"/>
      <c r="H507" s="729"/>
      <c r="I507" s="729"/>
      <c r="J507" s="729"/>
      <c r="K507" s="729"/>
      <c r="L507" s="729"/>
      <c r="M507" s="729"/>
      <c r="N507" s="729"/>
      <c r="O507" s="729"/>
      <c r="P507" s="729"/>
      <c r="Y507" s="730"/>
    </row>
    <row r="508" spans="5:25">
      <c r="E508" s="729"/>
      <c r="F508" s="729"/>
      <c r="G508" s="729"/>
      <c r="H508" s="729"/>
      <c r="I508" s="729"/>
      <c r="J508" s="729"/>
      <c r="K508" s="729"/>
      <c r="L508" s="729"/>
      <c r="M508" s="729"/>
      <c r="N508" s="729"/>
      <c r="O508" s="729"/>
      <c r="P508" s="729"/>
      <c r="Y508" s="730"/>
    </row>
    <row r="509" spans="5:25">
      <c r="E509" s="729"/>
      <c r="F509" s="729"/>
      <c r="G509" s="729"/>
      <c r="H509" s="729"/>
      <c r="I509" s="729"/>
      <c r="J509" s="729"/>
      <c r="K509" s="729"/>
      <c r="L509" s="729"/>
      <c r="M509" s="729"/>
      <c r="N509" s="729"/>
      <c r="O509" s="729"/>
      <c r="P509" s="729"/>
      <c r="Y509" s="730"/>
    </row>
    <row r="510" spans="5:25">
      <c r="E510" s="729"/>
      <c r="F510" s="729"/>
      <c r="G510" s="729"/>
      <c r="H510" s="729"/>
      <c r="I510" s="729"/>
      <c r="J510" s="729"/>
      <c r="K510" s="729"/>
      <c r="L510" s="729"/>
      <c r="M510" s="729"/>
      <c r="N510" s="729"/>
      <c r="O510" s="729"/>
      <c r="P510" s="729"/>
      <c r="Y510" s="730"/>
    </row>
    <row r="511" spans="5:25">
      <c r="E511" s="729"/>
      <c r="F511" s="729"/>
      <c r="G511" s="729"/>
      <c r="H511" s="729"/>
      <c r="I511" s="729"/>
      <c r="J511" s="729"/>
      <c r="K511" s="729"/>
      <c r="L511" s="729"/>
      <c r="M511" s="729"/>
      <c r="N511" s="729"/>
      <c r="O511" s="729"/>
      <c r="P511" s="729"/>
      <c r="Y511" s="730"/>
    </row>
    <row r="512" spans="5:25">
      <c r="E512" s="729"/>
      <c r="F512" s="729"/>
      <c r="G512" s="729"/>
      <c r="H512" s="729"/>
      <c r="I512" s="729"/>
      <c r="J512" s="729"/>
      <c r="K512" s="729"/>
      <c r="L512" s="729"/>
      <c r="M512" s="729"/>
      <c r="N512" s="729"/>
      <c r="O512" s="729"/>
      <c r="P512" s="729"/>
      <c r="Y512" s="730"/>
    </row>
    <row r="513" spans="5:25">
      <c r="E513" s="729"/>
      <c r="F513" s="729"/>
      <c r="G513" s="729"/>
      <c r="H513" s="729"/>
      <c r="I513" s="729"/>
      <c r="J513" s="729"/>
      <c r="K513" s="729"/>
      <c r="L513" s="729"/>
      <c r="M513" s="729"/>
      <c r="N513" s="729"/>
      <c r="O513" s="729"/>
      <c r="P513" s="729"/>
      <c r="Y513" s="730"/>
    </row>
    <row r="514" spans="5:25">
      <c r="E514" s="729"/>
      <c r="F514" s="729"/>
      <c r="G514" s="729"/>
      <c r="H514" s="729"/>
      <c r="I514" s="729"/>
      <c r="J514" s="729"/>
      <c r="K514" s="729"/>
      <c r="L514" s="729"/>
      <c r="M514" s="729"/>
      <c r="N514" s="729"/>
      <c r="O514" s="729"/>
      <c r="P514" s="729"/>
      <c r="Y514" s="730"/>
    </row>
    <row r="515" spans="5:25">
      <c r="E515" s="729"/>
      <c r="F515" s="729"/>
      <c r="G515" s="729"/>
      <c r="H515" s="729"/>
      <c r="I515" s="729"/>
      <c r="J515" s="729"/>
      <c r="K515" s="729"/>
      <c r="L515" s="729"/>
      <c r="M515" s="729"/>
      <c r="N515" s="729"/>
      <c r="O515" s="729"/>
      <c r="P515" s="729"/>
      <c r="Y515" s="730"/>
    </row>
    <row r="516" spans="5:25">
      <c r="E516" s="729"/>
      <c r="F516" s="729"/>
      <c r="G516" s="729"/>
      <c r="H516" s="729"/>
      <c r="I516" s="729"/>
      <c r="J516" s="729"/>
      <c r="K516" s="729"/>
      <c r="L516" s="729"/>
      <c r="M516" s="729"/>
      <c r="N516" s="729"/>
      <c r="O516" s="729"/>
      <c r="P516" s="729"/>
      <c r="Y516" s="730"/>
    </row>
    <row r="517" spans="5:25">
      <c r="E517" s="729"/>
      <c r="F517" s="729"/>
      <c r="G517" s="729"/>
      <c r="H517" s="729"/>
      <c r="I517" s="729"/>
      <c r="J517" s="729"/>
      <c r="K517" s="729"/>
      <c r="L517" s="729"/>
      <c r="M517" s="729"/>
      <c r="N517" s="729"/>
      <c r="O517" s="729"/>
      <c r="P517" s="729"/>
      <c r="Y517" s="730"/>
    </row>
    <row r="518" spans="5:25">
      <c r="E518" s="729"/>
      <c r="F518" s="729"/>
      <c r="G518" s="729"/>
      <c r="H518" s="729"/>
      <c r="I518" s="729"/>
      <c r="J518" s="729"/>
      <c r="K518" s="729"/>
      <c r="L518" s="729"/>
      <c r="M518" s="729"/>
      <c r="N518" s="729"/>
      <c r="O518" s="729"/>
      <c r="P518" s="729"/>
      <c r="Y518" s="730"/>
    </row>
    <row r="519" spans="5:25">
      <c r="E519" s="729"/>
      <c r="F519" s="729"/>
      <c r="G519" s="729"/>
      <c r="H519" s="729"/>
      <c r="I519" s="729"/>
      <c r="J519" s="729"/>
      <c r="K519" s="729"/>
      <c r="L519" s="729"/>
      <c r="M519" s="729"/>
      <c r="N519" s="729"/>
      <c r="O519" s="729"/>
      <c r="P519" s="729"/>
      <c r="Y519" s="730"/>
    </row>
    <row r="520" spans="5:25">
      <c r="E520" s="729"/>
      <c r="F520" s="729"/>
      <c r="G520" s="729"/>
      <c r="H520" s="729"/>
      <c r="I520" s="729"/>
      <c r="J520" s="729"/>
      <c r="K520" s="729"/>
      <c r="L520" s="729"/>
      <c r="M520" s="729"/>
      <c r="N520" s="729"/>
      <c r="O520" s="729"/>
      <c r="P520" s="729"/>
      <c r="Y520" s="730"/>
    </row>
    <row r="521" spans="5:25">
      <c r="E521" s="729"/>
      <c r="F521" s="729"/>
      <c r="G521" s="729"/>
      <c r="H521" s="729"/>
      <c r="I521" s="729"/>
      <c r="J521" s="729"/>
      <c r="K521" s="729"/>
      <c r="L521" s="729"/>
      <c r="M521" s="729"/>
      <c r="N521" s="729"/>
      <c r="O521" s="729"/>
      <c r="P521" s="729"/>
      <c r="Y521" s="730"/>
    </row>
    <row r="522" spans="5:25">
      <c r="E522" s="729"/>
      <c r="F522" s="729"/>
      <c r="G522" s="729"/>
      <c r="H522" s="729"/>
      <c r="I522" s="729"/>
      <c r="J522" s="729"/>
      <c r="K522" s="729"/>
      <c r="L522" s="729"/>
      <c r="M522" s="729"/>
      <c r="N522" s="729"/>
      <c r="O522" s="729"/>
      <c r="P522" s="729"/>
      <c r="Y522" s="730"/>
    </row>
    <row r="523" spans="5:25">
      <c r="E523" s="729"/>
      <c r="F523" s="729"/>
      <c r="G523" s="729"/>
      <c r="H523" s="729"/>
      <c r="I523" s="729"/>
      <c r="J523" s="729"/>
      <c r="K523" s="729"/>
      <c r="L523" s="729"/>
      <c r="M523" s="729"/>
      <c r="N523" s="729"/>
      <c r="O523" s="729"/>
      <c r="P523" s="729"/>
      <c r="Y523" s="730"/>
    </row>
    <row r="524" spans="5:25">
      <c r="E524" s="729"/>
      <c r="F524" s="729"/>
      <c r="G524" s="729"/>
      <c r="H524" s="729"/>
      <c r="I524" s="729"/>
      <c r="J524" s="729"/>
      <c r="K524" s="729"/>
      <c r="L524" s="729"/>
      <c r="M524" s="729"/>
      <c r="N524" s="729"/>
      <c r="O524" s="729"/>
      <c r="P524" s="729"/>
      <c r="Y524" s="730"/>
    </row>
    <row r="525" spans="5:25">
      <c r="E525" s="729"/>
      <c r="F525" s="729"/>
      <c r="G525" s="729"/>
      <c r="H525" s="729"/>
      <c r="I525" s="729"/>
      <c r="J525" s="729"/>
      <c r="K525" s="729"/>
      <c r="L525" s="729"/>
      <c r="M525" s="729"/>
      <c r="N525" s="729"/>
      <c r="O525" s="729"/>
      <c r="P525" s="729"/>
      <c r="Y525" s="730"/>
    </row>
    <row r="526" spans="5:25">
      <c r="E526" s="729"/>
      <c r="F526" s="729"/>
      <c r="G526" s="729"/>
      <c r="H526" s="729"/>
      <c r="I526" s="729"/>
      <c r="J526" s="729"/>
      <c r="K526" s="729"/>
      <c r="L526" s="729"/>
      <c r="M526" s="729"/>
      <c r="N526" s="729"/>
      <c r="O526" s="729"/>
      <c r="P526" s="729"/>
      <c r="Y526" s="730"/>
    </row>
    <row r="527" spans="5:25">
      <c r="E527" s="729"/>
      <c r="F527" s="729"/>
      <c r="G527" s="729"/>
      <c r="H527" s="729"/>
      <c r="I527" s="729"/>
      <c r="J527" s="729"/>
      <c r="K527" s="729"/>
      <c r="L527" s="729"/>
      <c r="M527" s="729"/>
      <c r="N527" s="729"/>
      <c r="O527" s="729"/>
      <c r="P527" s="729"/>
      <c r="Y527" s="730"/>
    </row>
  </sheetData>
  <mergeCells count="86">
    <mergeCell ref="Y94:Y99"/>
    <mergeCell ref="Y100:Y102"/>
    <mergeCell ref="C105:C108"/>
    <mergeCell ref="Y103:Y108"/>
    <mergeCell ref="Y109:Y111"/>
    <mergeCell ref="C110:C111"/>
    <mergeCell ref="X109:X111"/>
    <mergeCell ref="A144:Y145"/>
    <mergeCell ref="A87:A93"/>
    <mergeCell ref="Y87:Y93"/>
    <mergeCell ref="C89:C90"/>
    <mergeCell ref="C92:C93"/>
    <mergeCell ref="X91:X93"/>
    <mergeCell ref="A136:A142"/>
    <mergeCell ref="Y136:Y142"/>
    <mergeCell ref="C138:C139"/>
    <mergeCell ref="C141:C142"/>
    <mergeCell ref="X140:X142"/>
    <mergeCell ref="A94:A102"/>
    <mergeCell ref="C101:C102"/>
    <mergeCell ref="C96:C99"/>
    <mergeCell ref="X100:X102"/>
    <mergeCell ref="A103:A111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W5"/>
    <mergeCell ref="A21:A29"/>
    <mergeCell ref="Y21:Y29"/>
    <mergeCell ref="C23:C26"/>
    <mergeCell ref="C28:C29"/>
    <mergeCell ref="X17:X20"/>
    <mergeCell ref="X27:X29"/>
    <mergeCell ref="A30:A38"/>
    <mergeCell ref="Y30:Y38"/>
    <mergeCell ref="C32:C35"/>
    <mergeCell ref="C37:C38"/>
    <mergeCell ref="X36:X38"/>
    <mergeCell ref="A39:A47"/>
    <mergeCell ref="Y39:Y47"/>
    <mergeCell ref="C41:C44"/>
    <mergeCell ref="C46:C47"/>
    <mergeCell ref="X45:X47"/>
    <mergeCell ref="A48:A54"/>
    <mergeCell ref="Y48:Y54"/>
    <mergeCell ref="C50:C51"/>
    <mergeCell ref="C53:C54"/>
    <mergeCell ref="X52:X54"/>
    <mergeCell ref="A55:A63"/>
    <mergeCell ref="Y55:Y63"/>
    <mergeCell ref="C62:C63"/>
    <mergeCell ref="C57:C60"/>
    <mergeCell ref="X61:X63"/>
    <mergeCell ref="A64:A70"/>
    <mergeCell ref="Y64:Y70"/>
    <mergeCell ref="C66:C67"/>
    <mergeCell ref="C69:C70"/>
    <mergeCell ref="X68:X70"/>
    <mergeCell ref="A71:A77"/>
    <mergeCell ref="Y71:Y77"/>
    <mergeCell ref="C73:C74"/>
    <mergeCell ref="C76:C77"/>
    <mergeCell ref="X75:X77"/>
    <mergeCell ref="A78:A86"/>
    <mergeCell ref="Y78:Y86"/>
    <mergeCell ref="C85:C86"/>
    <mergeCell ref="X84:X86"/>
    <mergeCell ref="C80:C83"/>
    <mergeCell ref="A132:A135"/>
    <mergeCell ref="Y132:Y135"/>
    <mergeCell ref="C134:C135"/>
    <mergeCell ref="C126:C128"/>
    <mergeCell ref="Y122:Y131"/>
    <mergeCell ref="X129:X131"/>
    <mergeCell ref="A112:A120"/>
    <mergeCell ref="C119:C120"/>
    <mergeCell ref="X118:X120"/>
    <mergeCell ref="C114:C117"/>
    <mergeCell ref="Y113:Y117"/>
    <mergeCell ref="Y118:Y120"/>
  </mergeCells>
  <pageMargins left="0.59055118110236227" right="0.47244094488188981" top="0.59055118110236227" bottom="0.39370078740157483" header="0.19685039370078741" footer="0.11811023622047245"/>
  <pageSetup paperSize="9" scale="68" firstPageNumber="41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_______________________________________________________________________________________________________________________</oddHeader>
    <oddFooter>&amp;C&amp;9&amp;P</oddFooter>
  </headerFooter>
  <rowBreaks count="1" manualBreakCount="1">
    <brk id="102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20</vt:i4>
      </vt:variant>
    </vt:vector>
  </HeadingPairs>
  <TitlesOfParts>
    <vt:vector size="32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Dane do WPF</vt:lpstr>
      <vt:lpstr>'Dane do WPF'!Obszar_wydruku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'Tabela nr 6'!Obszar_wydruku</vt:lpstr>
      <vt:lpstr>'Dane do WPF'!Tytuły_wydruku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 Wioletta Stachera</cp:lastModifiedBy>
  <cp:lastPrinted>2016-09-16T11:42:35Z</cp:lastPrinted>
  <dcterms:created xsi:type="dcterms:W3CDTF">2015-01-20T07:24:04Z</dcterms:created>
  <dcterms:modified xsi:type="dcterms:W3CDTF">2016-09-21T07:12:59Z</dcterms:modified>
</cp:coreProperties>
</file>